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 calcMode="manual"/>
  <pivotCaches>
    <pivotCache cacheId="2" r:id="rId6"/>
  </pivotCaches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B41" i="1" l="1"/>
  <c r="H41" i="1" s="1"/>
  <c r="A41" i="1" s="1"/>
  <c r="AD41" i="1" s="1"/>
  <c r="C41" i="1"/>
  <c r="I41" i="1"/>
  <c r="J41" i="1"/>
  <c r="Y41" i="1"/>
  <c r="Z41" i="1" s="1"/>
  <c r="AF41" i="1"/>
  <c r="B46" i="1"/>
  <c r="H46" i="1" s="1"/>
  <c r="A46" i="1" s="1"/>
  <c r="AD46" i="1" s="1"/>
  <c r="C46" i="1"/>
  <c r="I46" i="1"/>
  <c r="J46" i="1"/>
  <c r="W46" i="1"/>
  <c r="X46" i="1" s="1"/>
  <c r="Y46" i="1"/>
  <c r="Z46" i="1" s="1"/>
  <c r="AA46" i="1"/>
  <c r="AB46" i="1"/>
  <c r="AC46" i="1"/>
  <c r="T46" i="1" s="1"/>
  <c r="AF46" i="1"/>
  <c r="AA41" i="1" l="1"/>
  <c r="AB41" i="1"/>
  <c r="AC41" i="1" s="1"/>
  <c r="T41" i="1" s="1"/>
  <c r="B5" i="1" l="1"/>
  <c r="H5" i="1" s="1"/>
  <c r="A5" i="1" s="1"/>
  <c r="AD5" i="1" s="1"/>
  <c r="C5" i="1"/>
  <c r="I5" i="1"/>
  <c r="J5" i="1"/>
  <c r="Y5" i="1"/>
  <c r="Z5" i="1" s="1"/>
  <c r="AA5" i="1"/>
  <c r="AF5" i="1"/>
  <c r="AB5" i="1" l="1"/>
  <c r="AC5" i="1" s="1"/>
  <c r="T5" i="1" s="1"/>
  <c r="E22" i="3"/>
  <c r="C98" i="1" l="1"/>
  <c r="I98" i="1"/>
  <c r="J98" i="1"/>
  <c r="Y98" i="1"/>
  <c r="Z98" i="1" s="1"/>
  <c r="AF98" i="1"/>
  <c r="AA98" i="1" l="1"/>
  <c r="AB98" i="1" s="1"/>
  <c r="AC98" i="1" s="1"/>
  <c r="T98" i="1" s="1"/>
  <c r="B88" i="1" l="1"/>
  <c r="H88" i="1" s="1"/>
  <c r="A88" i="1" s="1"/>
  <c r="AD88" i="1" s="1"/>
  <c r="B89" i="1"/>
  <c r="H89" i="1" s="1"/>
  <c r="A89" i="1" s="1"/>
  <c r="AD89" i="1" s="1"/>
  <c r="B90" i="1"/>
  <c r="H90" i="1" s="1"/>
  <c r="A90" i="1" s="1"/>
  <c r="AD90" i="1" s="1"/>
  <c r="B91" i="1"/>
  <c r="H91" i="1" s="1"/>
  <c r="A91" i="1" s="1"/>
  <c r="AD91" i="1" s="1"/>
  <c r="C88" i="1"/>
  <c r="C89" i="1"/>
  <c r="C90" i="1"/>
  <c r="C91" i="1"/>
  <c r="I88" i="1"/>
  <c r="I89" i="1"/>
  <c r="I90" i="1"/>
  <c r="I91" i="1"/>
  <c r="J88" i="1"/>
  <c r="J89" i="1"/>
  <c r="J90" i="1"/>
  <c r="J91" i="1"/>
  <c r="Y88" i="1"/>
  <c r="Y89" i="1"/>
  <c r="Y90" i="1"/>
  <c r="Y91" i="1"/>
  <c r="Z88" i="1"/>
  <c r="Z89" i="1"/>
  <c r="Z90" i="1"/>
  <c r="Z91" i="1"/>
  <c r="AA88" i="1"/>
  <c r="AA89" i="1"/>
  <c r="AA90" i="1"/>
  <c r="AA91" i="1"/>
  <c r="AB88" i="1"/>
  <c r="AB89" i="1"/>
  <c r="AB90" i="1"/>
  <c r="AB91" i="1"/>
  <c r="AC88" i="1"/>
  <c r="T88" i="1" s="1"/>
  <c r="AC89" i="1"/>
  <c r="T89" i="1" s="1"/>
  <c r="AC90" i="1"/>
  <c r="T90" i="1" s="1"/>
  <c r="AC91" i="1"/>
  <c r="T91" i="1" s="1"/>
  <c r="AF88" i="1"/>
  <c r="AF89" i="1"/>
  <c r="AF90" i="1"/>
  <c r="AF91" i="1"/>
  <c r="C3" i="1" l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2" i="1"/>
  <c r="C43" i="1"/>
  <c r="C44" i="1"/>
  <c r="C45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92" i="1"/>
  <c r="C93" i="1"/>
  <c r="C94" i="1"/>
  <c r="C95" i="1"/>
  <c r="C96" i="1"/>
  <c r="C97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B24" i="1" l="1"/>
  <c r="H24" i="1" s="1"/>
  <c r="A24" i="1" s="1"/>
  <c r="AD24" i="1" s="1"/>
  <c r="I24" i="1"/>
  <c r="J24" i="1"/>
  <c r="Y24" i="1"/>
  <c r="Z24" i="1" s="1"/>
  <c r="AF24" i="1"/>
  <c r="AA24" i="1" l="1"/>
  <c r="AB24" i="1" s="1"/>
  <c r="AC24" i="1" s="1"/>
  <c r="T24" i="1" s="1"/>
  <c r="B6" i="1" l="1"/>
  <c r="B8" i="1"/>
  <c r="B12" i="1"/>
  <c r="B15" i="1"/>
  <c r="B17" i="1"/>
  <c r="B22" i="1"/>
  <c r="B23" i="1"/>
  <c r="B28" i="1"/>
  <c r="B30" i="1"/>
  <c r="B32" i="1"/>
  <c r="B34" i="1"/>
  <c r="B36" i="1"/>
  <c r="B38" i="1"/>
  <c r="B49" i="1"/>
  <c r="B50" i="1"/>
  <c r="B55" i="1"/>
  <c r="B56" i="1"/>
  <c r="B58" i="1"/>
  <c r="B59" i="1"/>
  <c r="B63" i="1"/>
  <c r="B65" i="1"/>
  <c r="B66" i="1"/>
  <c r="B71" i="1"/>
  <c r="B73" i="1"/>
  <c r="B75" i="1"/>
  <c r="B76" i="1"/>
  <c r="B78" i="1"/>
  <c r="B80" i="1"/>
  <c r="B85" i="1"/>
  <c r="B86" i="1"/>
  <c r="B99" i="1"/>
  <c r="B101" i="1"/>
  <c r="B102" i="1"/>
  <c r="B104" i="1"/>
  <c r="B105" i="1"/>
  <c r="B107" i="1"/>
  <c r="B110" i="1"/>
  <c r="B112" i="1"/>
  <c r="B113" i="1"/>
  <c r="B115" i="1"/>
  <c r="B116" i="1"/>
  <c r="B118" i="1"/>
  <c r="B119" i="1"/>
  <c r="B121" i="1"/>
  <c r="B122" i="1"/>
  <c r="B123" i="1"/>
  <c r="B124" i="1"/>
  <c r="B125" i="1"/>
  <c r="B126" i="1"/>
  <c r="B128" i="1"/>
  <c r="B130" i="1"/>
  <c r="B131" i="1"/>
  <c r="B132" i="1"/>
  <c r="B135" i="1"/>
  <c r="B137" i="1"/>
  <c r="B139" i="1"/>
  <c r="B140" i="1"/>
  <c r="B142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4" i="1"/>
  <c r="B175" i="1"/>
  <c r="B176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3" i="1"/>
  <c r="B14" i="1"/>
  <c r="B26" i="1"/>
  <c r="B52" i="1"/>
  <c r="B54" i="1"/>
  <c r="B60" i="1"/>
  <c r="B62" i="1"/>
  <c r="B69" i="1"/>
  <c r="B77" i="1"/>
  <c r="B81" i="1"/>
  <c r="B83" i="1"/>
  <c r="B92" i="1"/>
  <c r="B94" i="1"/>
  <c r="B96" i="1"/>
  <c r="B106" i="1"/>
  <c r="B114" i="1"/>
  <c r="B117" i="1"/>
  <c r="B120" i="1"/>
  <c r="B134" i="1"/>
  <c r="B136" i="1"/>
  <c r="B138" i="1"/>
  <c r="B141" i="1" s="1"/>
  <c r="B4" i="1"/>
  <c r="H140" i="1" l="1"/>
  <c r="A140" i="1" s="1"/>
  <c r="AD140" i="1" s="1"/>
  <c r="I140" i="1"/>
  <c r="J140" i="1"/>
  <c r="W140" i="1"/>
  <c r="X140" i="1" s="1"/>
  <c r="Y140" i="1"/>
  <c r="Z140" i="1" s="1"/>
  <c r="AB140" i="1"/>
  <c r="AC140" i="1"/>
  <c r="T140" i="1" s="1"/>
  <c r="AF140" i="1"/>
  <c r="B143" i="1"/>
  <c r="B160" i="1"/>
  <c r="B173" i="1" s="1"/>
  <c r="B7" i="1"/>
  <c r="AA140" i="1" l="1"/>
  <c r="I97" i="1"/>
  <c r="Y97" i="1"/>
  <c r="Z97" i="1" s="1"/>
  <c r="AF97" i="1"/>
  <c r="I108" i="1"/>
  <c r="I109" i="1"/>
  <c r="J109" i="1"/>
  <c r="Y108" i="1"/>
  <c r="Y109" i="1"/>
  <c r="Z108" i="1"/>
  <c r="Z109" i="1"/>
  <c r="AA108" i="1"/>
  <c r="AA109" i="1"/>
  <c r="AB109" i="1" s="1"/>
  <c r="AC109" i="1" s="1"/>
  <c r="T109" i="1" s="1"/>
  <c r="AB108" i="1"/>
  <c r="AC108" i="1"/>
  <c r="T108" i="1" s="1"/>
  <c r="AF108" i="1"/>
  <c r="AF109" i="1"/>
  <c r="B177" i="1"/>
  <c r="B10" i="1"/>
  <c r="B9" i="1"/>
  <c r="AA97" i="1" l="1"/>
  <c r="AB97" i="1" s="1"/>
  <c r="AC97" i="1" s="1"/>
  <c r="T97" i="1" s="1"/>
  <c r="B13" i="1"/>
  <c r="B11" i="1"/>
  <c r="H3" i="4" l="1"/>
  <c r="B16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8" i="1"/>
  <c r="B19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0" i="1"/>
  <c r="B21" i="1"/>
  <c r="H231" i="1" l="1"/>
  <c r="A231" i="1" s="1"/>
  <c r="AD231" i="1" s="1"/>
  <c r="I231" i="1"/>
  <c r="J231" i="1"/>
  <c r="Y231" i="1"/>
  <c r="Z231" i="1" s="1"/>
  <c r="AF231" i="1"/>
  <c r="B25" i="1"/>
  <c r="AA231" i="1" l="1"/>
  <c r="AB231" i="1" s="1"/>
  <c r="AC231" i="1" s="1"/>
  <c r="T231" i="1" s="1"/>
  <c r="B33" i="1"/>
  <c r="B27" i="1"/>
  <c r="B29" i="1"/>
  <c r="H185" i="1" l="1"/>
  <c r="A185" i="1" s="1"/>
  <c r="AD185" i="1" s="1"/>
  <c r="I185" i="1"/>
  <c r="J185" i="1"/>
  <c r="W185" i="1"/>
  <c r="X185" i="1" s="1"/>
  <c r="Y185" i="1"/>
  <c r="Z185" i="1" s="1"/>
  <c r="AB185" i="1"/>
  <c r="AC185" i="1"/>
  <c r="T185" i="1" s="1"/>
  <c r="AF185" i="1"/>
  <c r="E3" i="3"/>
  <c r="E4" i="3"/>
  <c r="E5" i="3"/>
  <c r="E6" i="3"/>
  <c r="J108" i="1" s="1"/>
  <c r="E7" i="3"/>
  <c r="E8" i="3"/>
  <c r="E9" i="3"/>
  <c r="E10" i="3"/>
  <c r="E11" i="3"/>
  <c r="E12" i="3"/>
  <c r="E13" i="3"/>
  <c r="E14" i="3"/>
  <c r="J97" i="1" s="1"/>
  <c r="E15" i="3"/>
  <c r="E16" i="3"/>
  <c r="E17" i="3"/>
  <c r="E18" i="3"/>
  <c r="E19" i="3"/>
  <c r="E20" i="3"/>
  <c r="E21" i="3"/>
  <c r="B35" i="1"/>
  <c r="B37" i="1"/>
  <c r="B39" i="1" s="1"/>
  <c r="B31" i="1"/>
  <c r="AA185" i="1" l="1"/>
  <c r="B42" i="1"/>
  <c r="B44" i="1"/>
  <c r="B40" i="1"/>
  <c r="H162" i="1" l="1"/>
  <c r="A162" i="1" s="1"/>
  <c r="AD162" i="1" s="1"/>
  <c r="I162" i="1"/>
  <c r="J162" i="1"/>
  <c r="Y162" i="1"/>
  <c r="Z162" i="1" s="1"/>
  <c r="AF162" i="1"/>
  <c r="B47" i="1"/>
  <c r="B51" i="1"/>
  <c r="B61" i="1"/>
  <c r="B43" i="1"/>
  <c r="B45" i="1"/>
  <c r="AA162" i="1" l="1"/>
  <c r="AB162" i="1" s="1"/>
  <c r="AC162" i="1" s="1"/>
  <c r="T162" i="1" s="1"/>
  <c r="H156" i="1"/>
  <c r="A156" i="1" s="1"/>
  <c r="AD156" i="1" s="1"/>
  <c r="I156" i="1"/>
  <c r="J156" i="1"/>
  <c r="Y156" i="1"/>
  <c r="Z156" i="1" s="1"/>
  <c r="AF156" i="1"/>
  <c r="B67" i="1"/>
  <c r="B72" i="1"/>
  <c r="B74" i="1"/>
  <c r="B87" i="1" s="1"/>
  <c r="B48" i="1"/>
  <c r="AA156" i="1" l="1"/>
  <c r="AB156" i="1" s="1"/>
  <c r="AC156" i="1" s="1"/>
  <c r="T156" i="1" s="1"/>
  <c r="H144" i="1"/>
  <c r="A144" i="1" s="1"/>
  <c r="AD144" i="1" s="1"/>
  <c r="I144" i="1"/>
  <c r="J144" i="1"/>
  <c r="Y144" i="1"/>
  <c r="Z144" i="1" s="1"/>
  <c r="AF144" i="1"/>
  <c r="I138" i="1"/>
  <c r="J138" i="1"/>
  <c r="Y138" i="1"/>
  <c r="Z138" i="1" s="1"/>
  <c r="AF138" i="1"/>
  <c r="H122" i="1"/>
  <c r="A122" i="1" s="1"/>
  <c r="AD122" i="1" s="1"/>
  <c r="H123" i="1"/>
  <c r="A123" i="1" s="1"/>
  <c r="AD123" i="1" s="1"/>
  <c r="H124" i="1"/>
  <c r="A124" i="1" s="1"/>
  <c r="AD124" i="1" s="1"/>
  <c r="H125" i="1"/>
  <c r="A125" i="1" s="1"/>
  <c r="AD125" i="1" s="1"/>
  <c r="H126" i="1"/>
  <c r="A126" i="1" s="1"/>
  <c r="AD126" i="1" s="1"/>
  <c r="H128" i="1"/>
  <c r="A128" i="1" s="1"/>
  <c r="AD128" i="1" s="1"/>
  <c r="H130" i="1"/>
  <c r="A130" i="1" s="1"/>
  <c r="AD130" i="1" s="1"/>
  <c r="H121" i="1"/>
  <c r="A121" i="1" s="1"/>
  <c r="AD121" i="1" s="1"/>
  <c r="I120" i="1"/>
  <c r="I121" i="1"/>
  <c r="I122" i="1"/>
  <c r="I123" i="1"/>
  <c r="I124" i="1"/>
  <c r="I125" i="1"/>
  <c r="I126" i="1"/>
  <c r="I127" i="1"/>
  <c r="I128" i="1"/>
  <c r="I129" i="1"/>
  <c r="I130" i="1"/>
  <c r="J120" i="1"/>
  <c r="J121" i="1"/>
  <c r="J122" i="1"/>
  <c r="J123" i="1"/>
  <c r="J124" i="1"/>
  <c r="J125" i="1"/>
  <c r="J126" i="1"/>
  <c r="J127" i="1"/>
  <c r="J128" i="1"/>
  <c r="J129" i="1"/>
  <c r="J130" i="1"/>
  <c r="Y120" i="1"/>
  <c r="Z120" i="1" s="1"/>
  <c r="Y121" i="1"/>
  <c r="AA121" i="1" s="1"/>
  <c r="Y122" i="1"/>
  <c r="Z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Y129" i="1"/>
  <c r="Z129" i="1" s="1"/>
  <c r="Y130" i="1"/>
  <c r="Z130" i="1" s="1"/>
  <c r="Z121" i="1"/>
  <c r="AF120" i="1"/>
  <c r="AF121" i="1"/>
  <c r="AF122" i="1"/>
  <c r="AF123" i="1"/>
  <c r="AF124" i="1"/>
  <c r="AF125" i="1"/>
  <c r="AF126" i="1"/>
  <c r="AF127" i="1"/>
  <c r="AF128" i="1"/>
  <c r="AF129" i="1"/>
  <c r="AF130" i="1"/>
  <c r="B93" i="1"/>
  <c r="B95" i="1"/>
  <c r="B97" i="1" s="1"/>
  <c r="B53" i="1"/>
  <c r="H97" i="1" l="1"/>
  <c r="A97" i="1" s="1"/>
  <c r="AA125" i="1"/>
  <c r="AB125" i="1" s="1"/>
  <c r="AC125" i="1" s="1"/>
  <c r="T125" i="1" s="1"/>
  <c r="AA144" i="1"/>
  <c r="AB144" i="1" s="1"/>
  <c r="AC144" i="1" s="1"/>
  <c r="T144" i="1" s="1"/>
  <c r="AA130" i="1"/>
  <c r="AB130" i="1" s="1"/>
  <c r="AC130" i="1" s="1"/>
  <c r="T130" i="1" s="1"/>
  <c r="AA138" i="1"/>
  <c r="AB138" i="1" s="1"/>
  <c r="AC138" i="1" s="1"/>
  <c r="T138" i="1" s="1"/>
  <c r="AA129" i="1"/>
  <c r="AB129" i="1" s="1"/>
  <c r="AC129" i="1" s="1"/>
  <c r="T129" i="1" s="1"/>
  <c r="AA127" i="1"/>
  <c r="AB127" i="1" s="1"/>
  <c r="AC127" i="1" s="1"/>
  <c r="T127" i="1" s="1"/>
  <c r="AA123" i="1"/>
  <c r="AB123" i="1" s="1"/>
  <c r="AC123" i="1" s="1"/>
  <c r="T123" i="1" s="1"/>
  <c r="AA128" i="1"/>
  <c r="AB128" i="1" s="1"/>
  <c r="AC128" i="1" s="1"/>
  <c r="T128" i="1" s="1"/>
  <c r="AA126" i="1"/>
  <c r="AB126" i="1" s="1"/>
  <c r="AC126" i="1" s="1"/>
  <c r="T126" i="1" s="1"/>
  <c r="AA124" i="1"/>
  <c r="AB124" i="1" s="1"/>
  <c r="AC124" i="1" s="1"/>
  <c r="T124" i="1" s="1"/>
  <c r="AA122" i="1"/>
  <c r="AB122" i="1" s="1"/>
  <c r="AC122" i="1" s="1"/>
  <c r="T122" i="1" s="1"/>
  <c r="AA120" i="1"/>
  <c r="AB120" i="1" s="1"/>
  <c r="AC120" i="1" s="1"/>
  <c r="T120" i="1" s="1"/>
  <c r="AB121" i="1"/>
  <c r="AC121" i="1" s="1"/>
  <c r="T121" i="1" s="1"/>
  <c r="B100" i="1"/>
  <c r="B57" i="1"/>
  <c r="H142" i="1" l="1"/>
  <c r="A142" i="1" s="1"/>
  <c r="AD142" i="1" s="1"/>
  <c r="I141" i="1"/>
  <c r="I142" i="1"/>
  <c r="J141" i="1"/>
  <c r="J142" i="1"/>
  <c r="Y141" i="1"/>
  <c r="Y142" i="1"/>
  <c r="Z141" i="1"/>
  <c r="Z142" i="1"/>
  <c r="AA141" i="1"/>
  <c r="AB141" i="1" s="1"/>
  <c r="AC141" i="1" s="1"/>
  <c r="T141" i="1" s="1"/>
  <c r="AA142" i="1"/>
  <c r="AB142" i="1"/>
  <c r="AC142" i="1"/>
  <c r="T142" i="1" s="1"/>
  <c r="AF141" i="1"/>
  <c r="AF142" i="1"/>
  <c r="H135" i="1"/>
  <c r="A135" i="1" s="1"/>
  <c r="AD135" i="1" s="1"/>
  <c r="H137" i="1"/>
  <c r="A137" i="1" s="1"/>
  <c r="AD137" i="1" s="1"/>
  <c r="I135" i="1"/>
  <c r="I136" i="1"/>
  <c r="I137" i="1"/>
  <c r="J135" i="1"/>
  <c r="J136" i="1"/>
  <c r="J137" i="1"/>
  <c r="Y135" i="1"/>
  <c r="Z135" i="1" s="1"/>
  <c r="Y136" i="1"/>
  <c r="Y137" i="1"/>
  <c r="Z137" i="1" s="1"/>
  <c r="Z136" i="1"/>
  <c r="AA135" i="1"/>
  <c r="AA136" i="1"/>
  <c r="AA137" i="1"/>
  <c r="AB136" i="1"/>
  <c r="AC136" i="1" s="1"/>
  <c r="T136" i="1" s="1"/>
  <c r="AF135" i="1"/>
  <c r="AF136" i="1"/>
  <c r="AF137" i="1"/>
  <c r="H132" i="1"/>
  <c r="A132" i="1" s="1"/>
  <c r="AD132" i="1" s="1"/>
  <c r="I132" i="1"/>
  <c r="I133" i="1"/>
  <c r="J132" i="1"/>
  <c r="J133" i="1"/>
  <c r="Y132" i="1"/>
  <c r="Z132" i="1" s="1"/>
  <c r="Y133" i="1"/>
  <c r="Z133" i="1" s="1"/>
  <c r="AF132" i="1"/>
  <c r="AF133" i="1"/>
  <c r="H118" i="1"/>
  <c r="A118" i="1" s="1"/>
  <c r="AD118" i="1" s="1"/>
  <c r="H119" i="1"/>
  <c r="A119" i="1" s="1"/>
  <c r="AD119" i="1" s="1"/>
  <c r="I117" i="1"/>
  <c r="I118" i="1"/>
  <c r="I119" i="1"/>
  <c r="J117" i="1"/>
  <c r="J118" i="1"/>
  <c r="J119" i="1"/>
  <c r="Y117" i="1"/>
  <c r="Z117" i="1" s="1"/>
  <c r="Y118" i="1"/>
  <c r="AA118" i="1" s="1"/>
  <c r="Y119" i="1"/>
  <c r="Z119" i="1" s="1"/>
  <c r="Z118" i="1"/>
  <c r="AF117" i="1"/>
  <c r="AF118" i="1"/>
  <c r="AF119" i="1"/>
  <c r="H147" i="1"/>
  <c r="A147" i="1" s="1"/>
  <c r="AD147" i="1" s="1"/>
  <c r="I147" i="1"/>
  <c r="J147" i="1"/>
  <c r="Y147" i="1"/>
  <c r="Z147" i="1" s="1"/>
  <c r="AF147" i="1"/>
  <c r="B108" i="1"/>
  <c r="B111" i="1"/>
  <c r="B64" i="1"/>
  <c r="B68" i="1" s="1"/>
  <c r="B70" i="1"/>
  <c r="B79" i="1"/>
  <c r="H108" i="1" l="1"/>
  <c r="A108" i="1" s="1"/>
  <c r="AB118" i="1"/>
  <c r="AC118" i="1" s="1"/>
  <c r="T118" i="1" s="1"/>
  <c r="AA119" i="1"/>
  <c r="AA117" i="1"/>
  <c r="AA133" i="1"/>
  <c r="AB133" i="1" s="1"/>
  <c r="AC133" i="1" s="1"/>
  <c r="T133" i="1" s="1"/>
  <c r="AA132" i="1"/>
  <c r="AB132" i="1" s="1"/>
  <c r="AC132" i="1" s="1"/>
  <c r="T132" i="1" s="1"/>
  <c r="AB137" i="1"/>
  <c r="AC137" i="1" s="1"/>
  <c r="T137" i="1" s="1"/>
  <c r="AB135" i="1"/>
  <c r="AC135" i="1" s="1"/>
  <c r="T135" i="1" s="1"/>
  <c r="AB119" i="1"/>
  <c r="AC119" i="1" s="1"/>
  <c r="T119" i="1" s="1"/>
  <c r="AB117" i="1"/>
  <c r="AC117" i="1" s="1"/>
  <c r="T117" i="1" s="1"/>
  <c r="AA147" i="1"/>
  <c r="AB147" i="1" s="1"/>
  <c r="AC147" i="1" s="1"/>
  <c r="T147" i="1" s="1"/>
  <c r="B127" i="1"/>
  <c r="B82" i="1"/>
  <c r="B84" i="1"/>
  <c r="B98" i="1" s="1"/>
  <c r="H98" i="1" l="1"/>
  <c r="A98" i="1" s="1"/>
  <c r="I139" i="1"/>
  <c r="J139" i="1"/>
  <c r="Y139" i="1"/>
  <c r="Z139" i="1" s="1"/>
  <c r="AF139" i="1"/>
  <c r="I116" i="1"/>
  <c r="J116" i="1"/>
  <c r="Y116" i="1"/>
  <c r="Z116" i="1" s="1"/>
  <c r="AF116" i="1"/>
  <c r="I131" i="1"/>
  <c r="J131" i="1"/>
  <c r="Y131" i="1"/>
  <c r="Z131" i="1" s="1"/>
  <c r="AF131" i="1"/>
  <c r="I134" i="1"/>
  <c r="J134" i="1"/>
  <c r="Y134" i="1"/>
  <c r="Z134" i="1" s="1"/>
  <c r="AF134" i="1"/>
  <c r="I143" i="1"/>
  <c r="J143" i="1"/>
  <c r="Y143" i="1"/>
  <c r="Z143" i="1" s="1"/>
  <c r="AF143" i="1"/>
  <c r="B129" i="1"/>
  <c r="B103" i="1"/>
  <c r="B109" i="1"/>
  <c r="H109" i="1" l="1"/>
  <c r="A109" i="1" s="1"/>
  <c r="AA139" i="1"/>
  <c r="AB139" i="1" s="1"/>
  <c r="AC139" i="1" s="1"/>
  <c r="T139" i="1" s="1"/>
  <c r="AA143" i="1"/>
  <c r="AB143" i="1" s="1"/>
  <c r="AC143" i="1" s="1"/>
  <c r="T143" i="1" s="1"/>
  <c r="AA134" i="1"/>
  <c r="AB134" i="1" s="1"/>
  <c r="AC134" i="1" s="1"/>
  <c r="T134" i="1" s="1"/>
  <c r="AA131" i="1"/>
  <c r="AB131" i="1" s="1"/>
  <c r="AC131" i="1" s="1"/>
  <c r="T131" i="1" s="1"/>
  <c r="AA116" i="1"/>
  <c r="AB116" i="1" s="1"/>
  <c r="AC116" i="1" s="1"/>
  <c r="T116" i="1" s="1"/>
  <c r="B133" i="1"/>
  <c r="H133" i="1" l="1"/>
  <c r="A133" i="1" s="1"/>
  <c r="Y112" i="1"/>
  <c r="Z112" i="1" s="1"/>
  <c r="H112" i="1"/>
  <c r="A112" i="1" s="1"/>
  <c r="AD112" i="1" s="1"/>
  <c r="I112" i="1"/>
  <c r="J112" i="1"/>
  <c r="AF112" i="1" l="1"/>
  <c r="AA112" i="1"/>
  <c r="AB112" i="1" s="1"/>
  <c r="AC112" i="1" s="1"/>
  <c r="T112" i="1" s="1"/>
  <c r="H16" i="1" l="1"/>
  <c r="A16" i="1" s="1"/>
  <c r="I16" i="1"/>
  <c r="J16" i="1"/>
  <c r="Y16" i="1"/>
  <c r="Z16" i="1" s="1"/>
  <c r="AF16" i="1"/>
  <c r="AA16" i="1" l="1"/>
  <c r="AB16" i="1" s="1"/>
  <c r="AC16" i="1" s="1"/>
  <c r="T16" i="1" s="1"/>
  <c r="H225" i="1"/>
  <c r="A225" i="1" s="1"/>
  <c r="AD225" i="1" s="1"/>
  <c r="I225" i="1"/>
  <c r="J225" i="1"/>
  <c r="Y225" i="1"/>
  <c r="Z225" i="1" s="1"/>
  <c r="AF225" i="1"/>
  <c r="AA225" i="1" l="1"/>
  <c r="AB225" i="1" s="1"/>
  <c r="AC225" i="1" s="1"/>
  <c r="T225" i="1" s="1"/>
  <c r="H180" i="1" l="1"/>
  <c r="A180" i="1" s="1"/>
  <c r="AD180" i="1" s="1"/>
  <c r="I179" i="1"/>
  <c r="I180" i="1"/>
  <c r="J179" i="1"/>
  <c r="J180" i="1"/>
  <c r="W180" i="1"/>
  <c r="X180" i="1" s="1"/>
  <c r="Y179" i="1"/>
  <c r="Y180" i="1"/>
  <c r="Z180" i="1" s="1"/>
  <c r="AB180" i="1"/>
  <c r="AC180" i="1"/>
  <c r="T180" i="1" s="1"/>
  <c r="AF179" i="1"/>
  <c r="AF180" i="1"/>
  <c r="AA180" i="1" l="1"/>
  <c r="Z179" i="1"/>
  <c r="AA179" i="1"/>
  <c r="AB179" i="1" s="1"/>
  <c r="AC179" i="1" s="1"/>
  <c r="T179" i="1" s="1"/>
  <c r="H170" i="1" l="1"/>
  <c r="A170" i="1" s="1"/>
  <c r="AD170" i="1" s="1"/>
  <c r="I170" i="1"/>
  <c r="J170" i="1"/>
  <c r="Y170" i="1"/>
  <c r="Z170" i="1" s="1"/>
  <c r="AF170" i="1"/>
  <c r="H117" i="1" l="1"/>
  <c r="A117" i="1" s="1"/>
  <c r="AA170" i="1"/>
  <c r="AB170" i="1" s="1"/>
  <c r="AC170" i="1" s="1"/>
  <c r="T170" i="1" s="1"/>
  <c r="H120" i="1" l="1"/>
  <c r="A120" i="1" s="1"/>
  <c r="Y14" i="1"/>
  <c r="H11" i="1"/>
  <c r="A11" i="1" s="1"/>
  <c r="H12" i="1"/>
  <c r="H13" i="1"/>
  <c r="A13" i="1" s="1"/>
  <c r="H14" i="1"/>
  <c r="A14" i="1" s="1"/>
  <c r="I11" i="1"/>
  <c r="I12" i="1"/>
  <c r="I13" i="1"/>
  <c r="I14" i="1"/>
  <c r="J11" i="1"/>
  <c r="J12" i="1"/>
  <c r="J13" i="1"/>
  <c r="J14" i="1"/>
  <c r="Y11" i="1"/>
  <c r="Z11" i="1" s="1"/>
  <c r="Y12" i="1"/>
  <c r="Z12" i="1" s="1"/>
  <c r="Y13" i="1"/>
  <c r="AF11" i="1"/>
  <c r="AF12" i="1"/>
  <c r="AF13" i="1"/>
  <c r="A12" i="1" l="1"/>
  <c r="AD12" i="1" s="1"/>
  <c r="H127" i="1"/>
  <c r="A127" i="1" s="1"/>
  <c r="H129" i="1"/>
  <c r="A129" i="1" s="1"/>
  <c r="AA12" i="1"/>
  <c r="H99" i="1"/>
  <c r="A99" i="1" s="1"/>
  <c r="Z13" i="1"/>
  <c r="AA11" i="1"/>
  <c r="AB11" i="1" s="1"/>
  <c r="AC11" i="1" s="1"/>
  <c r="T11" i="1" s="1"/>
  <c r="AB12" i="1"/>
  <c r="AC12" i="1" s="1"/>
  <c r="T12" i="1" s="1"/>
  <c r="Z14" i="1"/>
  <c r="AA14" i="1"/>
  <c r="AF14" i="1"/>
  <c r="I99" i="1"/>
  <c r="J99" i="1"/>
  <c r="Y99" i="1"/>
  <c r="Z99" i="1" s="1"/>
  <c r="AF99" i="1"/>
  <c r="AA13" i="1" l="1"/>
  <c r="AB13" i="1" s="1"/>
  <c r="AC13" i="1" s="1"/>
  <c r="T13" i="1" s="1"/>
  <c r="AB14" i="1"/>
  <c r="AC14" i="1" s="1"/>
  <c r="T14" i="1" s="1"/>
  <c r="AA99" i="1"/>
  <c r="AB99" i="1" s="1"/>
  <c r="AC99" i="1" s="1"/>
  <c r="T99" i="1" s="1"/>
  <c r="H136" i="1" l="1"/>
  <c r="A136" i="1" s="1"/>
  <c r="H138" i="1"/>
  <c r="A138" i="1" s="1"/>
  <c r="H141" i="1"/>
  <c r="A141" i="1" s="1"/>
  <c r="H131" i="1"/>
  <c r="A131" i="1" s="1"/>
  <c r="H116" i="1"/>
  <c r="A116" i="1" s="1"/>
  <c r="H134" i="1"/>
  <c r="A134" i="1" s="1"/>
  <c r="AF68" i="1"/>
  <c r="AF67" i="1"/>
  <c r="AF66" i="1"/>
  <c r="AF65" i="1"/>
  <c r="AF64" i="1"/>
  <c r="AF63" i="1"/>
  <c r="AF62" i="1"/>
  <c r="Y68" i="1"/>
  <c r="Z68" i="1" s="1"/>
  <c r="Y67" i="1"/>
  <c r="AA67" i="1" s="1"/>
  <c r="Y66" i="1"/>
  <c r="Z66" i="1" s="1"/>
  <c r="Y65" i="1"/>
  <c r="AA65" i="1" s="1"/>
  <c r="Y64" i="1"/>
  <c r="Z64" i="1" s="1"/>
  <c r="Y63" i="1"/>
  <c r="AA63" i="1" s="1"/>
  <c r="Y62" i="1"/>
  <c r="AA62" i="1" s="1"/>
  <c r="J68" i="1"/>
  <c r="J67" i="1"/>
  <c r="J64" i="1"/>
  <c r="J62" i="1"/>
  <c r="I68" i="1"/>
  <c r="I67" i="1"/>
  <c r="I66" i="1"/>
  <c r="I65" i="1"/>
  <c r="I64" i="1"/>
  <c r="I63" i="1"/>
  <c r="I62" i="1"/>
  <c r="H68" i="1"/>
  <c r="A68" i="1" s="1"/>
  <c r="H67" i="1"/>
  <c r="A67" i="1" s="1"/>
  <c r="H66" i="1"/>
  <c r="A66" i="1" s="1"/>
  <c r="H64" i="1"/>
  <c r="A64" i="1" s="1"/>
  <c r="H62" i="1"/>
  <c r="A62" i="1" s="1"/>
  <c r="A71" i="1"/>
  <c r="AD71" i="1" s="1"/>
  <c r="J71" i="1"/>
  <c r="Y71" i="1"/>
  <c r="Z71" i="1" s="1"/>
  <c r="AF71" i="1"/>
  <c r="H143" i="1" l="1"/>
  <c r="A143" i="1" s="1"/>
  <c r="H179" i="1"/>
  <c r="A179" i="1" s="1"/>
  <c r="H139" i="1"/>
  <c r="A139" i="1" s="1"/>
  <c r="Z62" i="1"/>
  <c r="AB62" i="1" s="1"/>
  <c r="AC62" i="1" s="1"/>
  <c r="T62" i="1" s="1"/>
  <c r="Z65" i="1"/>
  <c r="AB65" i="1" s="1"/>
  <c r="AC65" i="1" s="1"/>
  <c r="T65" i="1" s="1"/>
  <c r="Z63" i="1"/>
  <c r="AB63" i="1" s="1"/>
  <c r="AC63" i="1" s="1"/>
  <c r="T63" i="1" s="1"/>
  <c r="Z67" i="1"/>
  <c r="AB67" i="1" s="1"/>
  <c r="AC67" i="1" s="1"/>
  <c r="T67" i="1" s="1"/>
  <c r="AA64" i="1"/>
  <c r="AB64" i="1" s="1"/>
  <c r="AC64" i="1" s="1"/>
  <c r="T64" i="1" s="1"/>
  <c r="AA66" i="1"/>
  <c r="AB66" i="1" s="1"/>
  <c r="AC66" i="1" s="1"/>
  <c r="T66" i="1" s="1"/>
  <c r="AA68" i="1"/>
  <c r="AB68" i="1" s="1"/>
  <c r="AC68" i="1" s="1"/>
  <c r="T68" i="1" s="1"/>
  <c r="AA71" i="1"/>
  <c r="AB71" i="1" s="1"/>
  <c r="AC71" i="1" s="1"/>
  <c r="T71" i="1" s="1"/>
  <c r="W136" i="1"/>
  <c r="W141" i="1"/>
  <c r="H15" i="1" l="1"/>
  <c r="A15" i="1" s="1"/>
  <c r="I15" i="1"/>
  <c r="J15" i="1"/>
  <c r="Y15" i="1"/>
  <c r="Z15" i="1" s="1"/>
  <c r="AF15" i="1"/>
  <c r="W142" i="1"/>
  <c r="W137" i="1"/>
  <c r="W138" i="1"/>
  <c r="W139" i="1" s="1"/>
  <c r="AD15" i="1" l="1"/>
  <c r="AA15" i="1"/>
  <c r="AB15" i="1" s="1"/>
  <c r="AC15" i="1" s="1"/>
  <c r="T15" i="1" s="1"/>
  <c r="I49" i="1"/>
  <c r="W143" i="1"/>
  <c r="W144" i="1"/>
  <c r="H7" i="1" l="1"/>
  <c r="A7" i="1" s="1"/>
  <c r="I7" i="1"/>
  <c r="J7" i="1"/>
  <c r="Y7" i="1"/>
  <c r="Z7" i="1" s="1"/>
  <c r="AF7" i="1"/>
  <c r="AA7" i="1" l="1"/>
  <c r="AB7" i="1" s="1"/>
  <c r="AC7" i="1" s="1"/>
  <c r="T7" i="1" s="1"/>
  <c r="H44" i="1"/>
  <c r="A44" i="1" s="1"/>
  <c r="I43" i="1"/>
  <c r="I44" i="1"/>
  <c r="J43" i="1"/>
  <c r="Y43" i="1"/>
  <c r="Z43" i="1" s="1"/>
  <c r="Y44" i="1"/>
  <c r="Z44" i="1" s="1"/>
  <c r="AF43" i="1"/>
  <c r="AF44" i="1"/>
  <c r="AA43" i="1" l="1"/>
  <c r="AB43" i="1"/>
  <c r="AC43" i="1" s="1"/>
  <c r="T43" i="1" s="1"/>
  <c r="AA44" i="1"/>
  <c r="AB44" i="1" s="1"/>
  <c r="AC44" i="1" s="1"/>
  <c r="T44" i="1" s="1"/>
  <c r="J9" i="1"/>
  <c r="J18" i="1"/>
  <c r="J20" i="1"/>
  <c r="J22" i="1"/>
  <c r="J23" i="1"/>
  <c r="J26" i="1"/>
  <c r="J27" i="1"/>
  <c r="J28" i="1"/>
  <c r="J30" i="1"/>
  <c r="J32" i="1"/>
  <c r="J33" i="1"/>
  <c r="J34" i="1"/>
  <c r="J35" i="1"/>
  <c r="J36" i="1"/>
  <c r="J37" i="1"/>
  <c r="J38" i="1"/>
  <c r="J40" i="1"/>
  <c r="J45" i="1"/>
  <c r="J48" i="1"/>
  <c r="J50" i="1"/>
  <c r="J51" i="1"/>
  <c r="J52" i="1"/>
  <c r="J53" i="1"/>
  <c r="J54" i="1"/>
  <c r="J59" i="1"/>
  <c r="J60" i="1"/>
  <c r="J70" i="1"/>
  <c r="J73" i="1"/>
  <c r="J74" i="1"/>
  <c r="J75" i="1"/>
  <c r="J77" i="1"/>
  <c r="J78" i="1"/>
  <c r="J79" i="1"/>
  <c r="J80" i="1"/>
  <c r="J81" i="1"/>
  <c r="J84" i="1"/>
  <c r="J85" i="1"/>
  <c r="J86" i="1"/>
  <c r="J87" i="1"/>
  <c r="J92" i="1"/>
  <c r="J94" i="1"/>
  <c r="J95" i="1"/>
  <c r="J96" i="1"/>
  <c r="J100" i="1"/>
  <c r="J101" i="1"/>
  <c r="J102" i="1"/>
  <c r="J103" i="1"/>
  <c r="J104" i="1"/>
  <c r="J105" i="1"/>
  <c r="J106" i="1"/>
  <c r="J107" i="1"/>
  <c r="J110" i="1"/>
  <c r="J114" i="1"/>
  <c r="J115" i="1"/>
  <c r="J145" i="1"/>
  <c r="J146" i="1"/>
  <c r="J148" i="1"/>
  <c r="J150" i="1"/>
  <c r="J152" i="1"/>
  <c r="J153" i="1"/>
  <c r="J154" i="1"/>
  <c r="J157" i="1"/>
  <c r="J158" i="1"/>
  <c r="J160" i="1"/>
  <c r="J161" i="1"/>
  <c r="J163" i="1"/>
  <c r="J165" i="1"/>
  <c r="J166" i="1"/>
  <c r="J167" i="1"/>
  <c r="J168" i="1"/>
  <c r="J169" i="1"/>
  <c r="J171" i="1"/>
  <c r="J172" i="1"/>
  <c r="J173" i="1"/>
  <c r="J174" i="1"/>
  <c r="J176" i="1"/>
  <c r="J178" i="1"/>
  <c r="J182" i="1"/>
  <c r="J183" i="1"/>
  <c r="J186" i="1"/>
  <c r="J187" i="1"/>
  <c r="J188" i="1"/>
  <c r="J189" i="1"/>
  <c r="J190" i="1"/>
  <c r="J192" i="1"/>
  <c r="J193" i="1"/>
  <c r="J195" i="1"/>
  <c r="J197" i="1"/>
  <c r="J199" i="1"/>
  <c r="J200" i="1"/>
  <c r="J201" i="1"/>
  <c r="J202" i="1"/>
  <c r="J204" i="1"/>
  <c r="J206" i="1"/>
  <c r="J207" i="1"/>
  <c r="J209" i="1"/>
  <c r="J210" i="1"/>
  <c r="J212" i="1"/>
  <c r="J214" i="1"/>
  <c r="J215" i="1"/>
  <c r="J216" i="1"/>
  <c r="J217" i="1"/>
  <c r="J218" i="1"/>
  <c r="J219" i="1"/>
  <c r="J220" i="1"/>
  <c r="J221" i="1"/>
  <c r="J222" i="1"/>
  <c r="J223" i="1"/>
  <c r="J224" i="1"/>
  <c r="J226" i="1"/>
  <c r="J227" i="1"/>
  <c r="J228" i="1"/>
  <c r="J229" i="1"/>
  <c r="J230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A1" i="1" l="1"/>
  <c r="AB270" i="1"/>
  <c r="AB269" i="1"/>
  <c r="AB268" i="1"/>
  <c r="AB267" i="1"/>
  <c r="AB266" i="1"/>
  <c r="AB265" i="1"/>
  <c r="AB264" i="1"/>
  <c r="AB263" i="1"/>
  <c r="AB262" i="1"/>
  <c r="AB259" i="1"/>
  <c r="AB244" i="1"/>
  <c r="AB242" i="1"/>
  <c r="AB240" i="1"/>
  <c r="AB235" i="1"/>
  <c r="J76" i="1" l="1"/>
  <c r="J57" i="1"/>
  <c r="J39" i="1"/>
  <c r="J6" i="1"/>
  <c r="J21" i="1"/>
  <c r="J44" i="1"/>
  <c r="J25" i="1"/>
  <c r="J69" i="2"/>
  <c r="J107" i="2" s="1"/>
  <c r="D41" i="2"/>
  <c r="D79" i="2" s="1"/>
  <c r="C1" i="2"/>
  <c r="AF270" i="1"/>
  <c r="AC270" i="1"/>
  <c r="T270" i="1" s="1"/>
  <c r="Y270" i="1"/>
  <c r="W270" i="1"/>
  <c r="X270" i="1" s="1"/>
  <c r="I270" i="1"/>
  <c r="H270" i="1"/>
  <c r="A270" i="1" s="1"/>
  <c r="AD270" i="1" s="1"/>
  <c r="AF269" i="1"/>
  <c r="AC269" i="1"/>
  <c r="T269" i="1" s="1"/>
  <c r="Y269" i="1"/>
  <c r="W269" i="1"/>
  <c r="X269" i="1" s="1"/>
  <c r="I269" i="1"/>
  <c r="H269" i="1"/>
  <c r="A269" i="1" s="1"/>
  <c r="AD269" i="1" s="1"/>
  <c r="AF268" i="1"/>
  <c r="AC268" i="1"/>
  <c r="T268" i="1" s="1"/>
  <c r="Y268" i="1"/>
  <c r="W268" i="1"/>
  <c r="X268" i="1" s="1"/>
  <c r="I268" i="1"/>
  <c r="H268" i="1"/>
  <c r="A268" i="1" s="1"/>
  <c r="AD268" i="1" s="1"/>
  <c r="AF267" i="1"/>
  <c r="AC267" i="1"/>
  <c r="T267" i="1" s="1"/>
  <c r="Y267" i="1"/>
  <c r="W267" i="1"/>
  <c r="X267" i="1" s="1"/>
  <c r="I267" i="1"/>
  <c r="H267" i="1"/>
  <c r="A267" i="1" s="1"/>
  <c r="AD267" i="1" s="1"/>
  <c r="AF266" i="1"/>
  <c r="AC266" i="1"/>
  <c r="T266" i="1" s="1"/>
  <c r="Y266" i="1"/>
  <c r="W266" i="1"/>
  <c r="X266" i="1" s="1"/>
  <c r="I266" i="1"/>
  <c r="H266" i="1"/>
  <c r="A266" i="1" s="1"/>
  <c r="AD266" i="1" s="1"/>
  <c r="AF265" i="1"/>
  <c r="AC265" i="1"/>
  <c r="T265" i="1" s="1"/>
  <c r="Y265" i="1"/>
  <c r="W265" i="1"/>
  <c r="X265" i="1" s="1"/>
  <c r="I265" i="1"/>
  <c r="H265" i="1"/>
  <c r="A265" i="1" s="1"/>
  <c r="AD265" i="1" s="1"/>
  <c r="AF264" i="1"/>
  <c r="AC264" i="1"/>
  <c r="T264" i="1" s="1"/>
  <c r="Y264" i="1"/>
  <c r="W264" i="1"/>
  <c r="X264" i="1" s="1"/>
  <c r="I264" i="1"/>
  <c r="H264" i="1"/>
  <c r="A264" i="1" s="1"/>
  <c r="AD264" i="1" s="1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Y261" i="1"/>
  <c r="I261" i="1"/>
  <c r="H261" i="1"/>
  <c r="A261" i="1" s="1"/>
  <c r="AD261" i="1" s="1"/>
  <c r="AF260" i="1"/>
  <c r="Y260" i="1"/>
  <c r="W260" i="1"/>
  <c r="I260" i="1"/>
  <c r="H260" i="1"/>
  <c r="A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Y258" i="1"/>
  <c r="I258" i="1"/>
  <c r="H258" i="1"/>
  <c r="A258" i="1" s="1"/>
  <c r="AD258" i="1" s="1"/>
  <c r="AF257" i="1"/>
  <c r="Y257" i="1"/>
  <c r="I257" i="1"/>
  <c r="H257" i="1"/>
  <c r="A257" i="1" s="1"/>
  <c r="AD257" i="1" s="1"/>
  <c r="AF256" i="1"/>
  <c r="Y256" i="1"/>
  <c r="I256" i="1"/>
  <c r="H256" i="1"/>
  <c r="A256" i="1" s="1"/>
  <c r="AD256" i="1" s="1"/>
  <c r="AF255" i="1"/>
  <c r="Y255" i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W245" i="1"/>
  <c r="I245" i="1"/>
  <c r="H245" i="1"/>
  <c r="A245" i="1" s="1"/>
  <c r="AF244" i="1"/>
  <c r="AC244" i="1"/>
  <c r="T244" i="1" s="1"/>
  <c r="Y244" i="1"/>
  <c r="W244" i="1"/>
  <c r="X244" i="1" s="1"/>
  <c r="I244" i="1"/>
  <c r="H244" i="1"/>
  <c r="A244" i="1" s="1"/>
  <c r="AD244" i="1" s="1"/>
  <c r="AF243" i="1"/>
  <c r="Y243" i="1"/>
  <c r="W243" i="1"/>
  <c r="I243" i="1"/>
  <c r="H243" i="1"/>
  <c r="A243" i="1" s="1"/>
  <c r="AF242" i="1"/>
  <c r="AC242" i="1"/>
  <c r="T242" i="1" s="1"/>
  <c r="Y242" i="1"/>
  <c r="W242" i="1"/>
  <c r="X242" i="1" s="1"/>
  <c r="I242" i="1"/>
  <c r="H242" i="1"/>
  <c r="A242" i="1" s="1"/>
  <c r="AD242" i="1" s="1"/>
  <c r="AF241" i="1"/>
  <c r="Y241" i="1"/>
  <c r="W241" i="1"/>
  <c r="I241" i="1"/>
  <c r="H241" i="1"/>
  <c r="A241" i="1" s="1"/>
  <c r="AF240" i="1"/>
  <c r="AC240" i="1"/>
  <c r="T240" i="1" s="1"/>
  <c r="Y240" i="1"/>
  <c r="W240" i="1"/>
  <c r="X240" i="1" s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I237" i="1"/>
  <c r="H237" i="1"/>
  <c r="A237" i="1" s="1"/>
  <c r="AD237" i="1" s="1"/>
  <c r="AF236" i="1"/>
  <c r="Y236" i="1"/>
  <c r="W236" i="1"/>
  <c r="I236" i="1"/>
  <c r="H236" i="1"/>
  <c r="A236" i="1" s="1"/>
  <c r="AF235" i="1"/>
  <c r="AC235" i="1"/>
  <c r="T235" i="1" s="1"/>
  <c r="Y235" i="1"/>
  <c r="W235" i="1"/>
  <c r="X235" i="1" s="1"/>
  <c r="I235" i="1"/>
  <c r="H235" i="1"/>
  <c r="A235" i="1" s="1"/>
  <c r="AD235" i="1" s="1"/>
  <c r="AF234" i="1"/>
  <c r="Y234" i="1"/>
  <c r="I234" i="1"/>
  <c r="H234" i="1"/>
  <c r="A234" i="1" s="1"/>
  <c r="AD234" i="1" s="1"/>
  <c r="AF233" i="1"/>
  <c r="Y233" i="1"/>
  <c r="I233" i="1"/>
  <c r="H233" i="1"/>
  <c r="A233" i="1" s="1"/>
  <c r="AD233" i="1" s="1"/>
  <c r="AF232" i="1"/>
  <c r="Y232" i="1"/>
  <c r="I232" i="1"/>
  <c r="H232" i="1"/>
  <c r="A232" i="1" s="1"/>
  <c r="AD232" i="1" s="1"/>
  <c r="AF230" i="1"/>
  <c r="Y230" i="1"/>
  <c r="I230" i="1"/>
  <c r="H230" i="1"/>
  <c r="A230" i="1" s="1"/>
  <c r="AD230" i="1" s="1"/>
  <c r="AF229" i="1"/>
  <c r="Y229" i="1"/>
  <c r="I229" i="1"/>
  <c r="H229" i="1"/>
  <c r="A229" i="1" s="1"/>
  <c r="AD229" i="1" s="1"/>
  <c r="AF228" i="1"/>
  <c r="Y228" i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AF224" i="1"/>
  <c r="Y224" i="1"/>
  <c r="I224" i="1"/>
  <c r="H224" i="1"/>
  <c r="A224" i="1" s="1"/>
  <c r="AD224" i="1" s="1"/>
  <c r="AF223" i="1"/>
  <c r="Y223" i="1"/>
  <c r="I223" i="1"/>
  <c r="AF222" i="1"/>
  <c r="Y222" i="1"/>
  <c r="I222" i="1"/>
  <c r="H222" i="1"/>
  <c r="A222" i="1" s="1"/>
  <c r="AD222" i="1" s="1"/>
  <c r="AF221" i="1"/>
  <c r="Y221" i="1"/>
  <c r="I221" i="1"/>
  <c r="H221" i="1"/>
  <c r="A221" i="1" s="1"/>
  <c r="AF220" i="1"/>
  <c r="Y220" i="1"/>
  <c r="I220" i="1"/>
  <c r="AF219" i="1"/>
  <c r="Y219" i="1"/>
  <c r="I219" i="1"/>
  <c r="H219" i="1"/>
  <c r="A219" i="1" s="1"/>
  <c r="AF218" i="1"/>
  <c r="Y218" i="1"/>
  <c r="I218" i="1"/>
  <c r="AF217" i="1"/>
  <c r="Y217" i="1"/>
  <c r="I217" i="1"/>
  <c r="H217" i="1"/>
  <c r="A217" i="1" s="1"/>
  <c r="AF216" i="1"/>
  <c r="Y216" i="1"/>
  <c r="I216" i="1"/>
  <c r="AF215" i="1"/>
  <c r="Y215" i="1"/>
  <c r="I215" i="1"/>
  <c r="H215" i="1"/>
  <c r="A215" i="1" s="1"/>
  <c r="AD215" i="1" s="1"/>
  <c r="AF214" i="1"/>
  <c r="Y214" i="1"/>
  <c r="I214" i="1"/>
  <c r="H214" i="1"/>
  <c r="A214" i="1" s="1"/>
  <c r="AF213" i="1"/>
  <c r="Y213" i="1"/>
  <c r="I213" i="1"/>
  <c r="AF212" i="1"/>
  <c r="Y212" i="1"/>
  <c r="I212" i="1"/>
  <c r="H212" i="1"/>
  <c r="A212" i="1" s="1"/>
  <c r="AF211" i="1"/>
  <c r="Y211" i="1"/>
  <c r="I211" i="1"/>
  <c r="AF210" i="1"/>
  <c r="Y210" i="1"/>
  <c r="I210" i="1"/>
  <c r="H210" i="1"/>
  <c r="A210" i="1" s="1"/>
  <c r="AD210" i="1" s="1"/>
  <c r="AF209" i="1"/>
  <c r="Y209" i="1"/>
  <c r="I209" i="1"/>
  <c r="AF208" i="1"/>
  <c r="Y208" i="1"/>
  <c r="I208" i="1"/>
  <c r="AF207" i="1"/>
  <c r="Y207" i="1"/>
  <c r="I207" i="1"/>
  <c r="H207" i="1"/>
  <c r="A207" i="1" s="1"/>
  <c r="AD207" i="1" s="1"/>
  <c r="AF206" i="1"/>
  <c r="Y206" i="1"/>
  <c r="I206" i="1"/>
  <c r="H206" i="1"/>
  <c r="A206" i="1" s="1"/>
  <c r="AD206" i="1" s="1"/>
  <c r="AF205" i="1"/>
  <c r="Y205" i="1"/>
  <c r="I205" i="1"/>
  <c r="AF204" i="1"/>
  <c r="Y204" i="1"/>
  <c r="I204" i="1"/>
  <c r="AF203" i="1"/>
  <c r="Y203" i="1"/>
  <c r="I203" i="1"/>
  <c r="AF202" i="1"/>
  <c r="Y202" i="1"/>
  <c r="I202" i="1"/>
  <c r="AF201" i="1"/>
  <c r="Y201" i="1"/>
  <c r="I201" i="1"/>
  <c r="H201" i="1"/>
  <c r="A201" i="1" s="1"/>
  <c r="AF200" i="1"/>
  <c r="Y200" i="1"/>
  <c r="I200" i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H197" i="1"/>
  <c r="A197" i="1" s="1"/>
  <c r="AD197" i="1" s="1"/>
  <c r="AF196" i="1"/>
  <c r="Y196" i="1"/>
  <c r="I196" i="1"/>
  <c r="AF195" i="1"/>
  <c r="Y195" i="1"/>
  <c r="I195" i="1"/>
  <c r="AF194" i="1"/>
  <c r="Y194" i="1"/>
  <c r="I194" i="1"/>
  <c r="AF193" i="1"/>
  <c r="Y193" i="1"/>
  <c r="I193" i="1"/>
  <c r="H193" i="1"/>
  <c r="A193" i="1" s="1"/>
  <c r="AD193" i="1" s="1"/>
  <c r="AF192" i="1"/>
  <c r="Y192" i="1"/>
  <c r="I192" i="1"/>
  <c r="H192" i="1"/>
  <c r="A192" i="1" s="1"/>
  <c r="AD192" i="1" s="1"/>
  <c r="AF191" i="1"/>
  <c r="Y191" i="1"/>
  <c r="I191" i="1"/>
  <c r="AF190" i="1"/>
  <c r="Y190" i="1"/>
  <c r="I190" i="1"/>
  <c r="H190" i="1"/>
  <c r="A190" i="1" s="1"/>
  <c r="AD190" i="1" s="1"/>
  <c r="AF189" i="1"/>
  <c r="Y189" i="1"/>
  <c r="I189" i="1"/>
  <c r="AF188" i="1"/>
  <c r="Y188" i="1"/>
  <c r="I188" i="1"/>
  <c r="H188" i="1"/>
  <c r="A188" i="1" s="1"/>
  <c r="AD188" i="1" s="1"/>
  <c r="AF187" i="1"/>
  <c r="Y187" i="1"/>
  <c r="I187" i="1"/>
  <c r="AF186" i="1"/>
  <c r="Y186" i="1"/>
  <c r="I186" i="1"/>
  <c r="H186" i="1"/>
  <c r="A186" i="1" s="1"/>
  <c r="AF184" i="1"/>
  <c r="Y184" i="1"/>
  <c r="I184" i="1"/>
  <c r="AF183" i="1"/>
  <c r="Y183" i="1"/>
  <c r="I183" i="1"/>
  <c r="H183" i="1"/>
  <c r="A183" i="1" s="1"/>
  <c r="W183" i="1" s="1"/>
  <c r="AF182" i="1"/>
  <c r="Y182" i="1"/>
  <c r="I182" i="1"/>
  <c r="H182" i="1"/>
  <c r="A182" i="1" s="1"/>
  <c r="AD182" i="1" s="1"/>
  <c r="AF181" i="1"/>
  <c r="Y181" i="1"/>
  <c r="I181" i="1"/>
  <c r="AF178" i="1"/>
  <c r="Y178" i="1"/>
  <c r="I178" i="1"/>
  <c r="H178" i="1"/>
  <c r="A178" i="1" s="1"/>
  <c r="AD178" i="1" s="1"/>
  <c r="AF177" i="1"/>
  <c r="Y177" i="1"/>
  <c r="I177" i="1"/>
  <c r="AF176" i="1"/>
  <c r="Y176" i="1"/>
  <c r="I176" i="1"/>
  <c r="H176" i="1"/>
  <c r="A176" i="1" s="1"/>
  <c r="AD176" i="1" s="1"/>
  <c r="AF175" i="1"/>
  <c r="Y175" i="1"/>
  <c r="I175" i="1"/>
  <c r="AF174" i="1"/>
  <c r="Y174" i="1"/>
  <c r="I174" i="1"/>
  <c r="H174" i="1"/>
  <c r="A174" i="1" s="1"/>
  <c r="AD174" i="1" s="1"/>
  <c r="AF173" i="1"/>
  <c r="Y173" i="1"/>
  <c r="I173" i="1"/>
  <c r="H173" i="1"/>
  <c r="A173" i="1" s="1"/>
  <c r="AF172" i="1"/>
  <c r="Y172" i="1"/>
  <c r="I172" i="1"/>
  <c r="H172" i="1"/>
  <c r="A172" i="1" s="1"/>
  <c r="AD172" i="1" s="1"/>
  <c r="AF171" i="1"/>
  <c r="Y171" i="1"/>
  <c r="I171" i="1"/>
  <c r="H171" i="1"/>
  <c r="A171" i="1" s="1"/>
  <c r="AD171" i="1" s="1"/>
  <c r="AF169" i="1"/>
  <c r="Y169" i="1"/>
  <c r="I169" i="1"/>
  <c r="H169" i="1"/>
  <c r="A169" i="1" s="1"/>
  <c r="AF168" i="1"/>
  <c r="Y168" i="1"/>
  <c r="I168" i="1"/>
  <c r="H168" i="1"/>
  <c r="A168" i="1" s="1"/>
  <c r="AD168" i="1" s="1"/>
  <c r="AF167" i="1"/>
  <c r="Y167" i="1"/>
  <c r="I167" i="1"/>
  <c r="AF166" i="1"/>
  <c r="Y166" i="1"/>
  <c r="I166" i="1"/>
  <c r="H166" i="1"/>
  <c r="A166" i="1" s="1"/>
  <c r="AF165" i="1"/>
  <c r="Y165" i="1"/>
  <c r="I165" i="1"/>
  <c r="H165" i="1"/>
  <c r="A165" i="1" s="1"/>
  <c r="AD165" i="1" s="1"/>
  <c r="AF164" i="1"/>
  <c r="Y164" i="1"/>
  <c r="I164" i="1"/>
  <c r="AF163" i="1"/>
  <c r="Y163" i="1"/>
  <c r="I163" i="1"/>
  <c r="H163" i="1"/>
  <c r="A163" i="1" s="1"/>
  <c r="AF161" i="1"/>
  <c r="Y161" i="1"/>
  <c r="I161" i="1"/>
  <c r="AF160" i="1"/>
  <c r="Y160" i="1"/>
  <c r="I160" i="1"/>
  <c r="H160" i="1"/>
  <c r="A160" i="1" s="1"/>
  <c r="AF159" i="1"/>
  <c r="Y159" i="1"/>
  <c r="I159" i="1"/>
  <c r="AF158" i="1"/>
  <c r="Y158" i="1"/>
  <c r="I158" i="1"/>
  <c r="H158" i="1"/>
  <c r="A158" i="1" s="1"/>
  <c r="AD158" i="1" s="1"/>
  <c r="AF157" i="1"/>
  <c r="Y157" i="1"/>
  <c r="I157" i="1"/>
  <c r="H157" i="1"/>
  <c r="A157" i="1" s="1"/>
  <c r="AF155" i="1"/>
  <c r="Y155" i="1"/>
  <c r="I155" i="1"/>
  <c r="AF154" i="1"/>
  <c r="Y154" i="1"/>
  <c r="I154" i="1"/>
  <c r="AF153" i="1"/>
  <c r="Y153" i="1"/>
  <c r="I153" i="1"/>
  <c r="H153" i="1"/>
  <c r="A153" i="1" s="1"/>
  <c r="AD153" i="1" s="1"/>
  <c r="AF152" i="1"/>
  <c r="Y152" i="1"/>
  <c r="I152" i="1"/>
  <c r="H152" i="1"/>
  <c r="A152" i="1" s="1"/>
  <c r="AD152" i="1" s="1"/>
  <c r="AF151" i="1"/>
  <c r="Y151" i="1"/>
  <c r="I151" i="1"/>
  <c r="AF150" i="1"/>
  <c r="Y150" i="1"/>
  <c r="I150" i="1"/>
  <c r="H150" i="1"/>
  <c r="A150" i="1" s="1"/>
  <c r="AF149" i="1"/>
  <c r="Y149" i="1"/>
  <c r="I149" i="1"/>
  <c r="AF148" i="1"/>
  <c r="Y148" i="1"/>
  <c r="I148" i="1"/>
  <c r="H148" i="1"/>
  <c r="A148" i="1" s="1"/>
  <c r="AD148" i="1" s="1"/>
  <c r="AF146" i="1"/>
  <c r="Y146" i="1"/>
  <c r="I146" i="1"/>
  <c r="AF145" i="1"/>
  <c r="Y145" i="1"/>
  <c r="I145" i="1"/>
  <c r="H145" i="1"/>
  <c r="A145" i="1" s="1"/>
  <c r="AF115" i="1"/>
  <c r="Y115" i="1"/>
  <c r="I115" i="1"/>
  <c r="H115" i="1"/>
  <c r="A115" i="1" s="1"/>
  <c r="AD115" i="1" s="1"/>
  <c r="AF114" i="1"/>
  <c r="Y114" i="1"/>
  <c r="I114" i="1"/>
  <c r="H114" i="1"/>
  <c r="A114" i="1" s="1"/>
  <c r="AF113" i="1"/>
  <c r="Y113" i="1"/>
  <c r="I113" i="1"/>
  <c r="AF111" i="1"/>
  <c r="Y111" i="1"/>
  <c r="I111" i="1"/>
  <c r="AF110" i="1"/>
  <c r="Y110" i="1"/>
  <c r="I110" i="1"/>
  <c r="H110" i="1"/>
  <c r="A110" i="1" s="1"/>
  <c r="AD110" i="1" s="1"/>
  <c r="AF107" i="1"/>
  <c r="Y107" i="1"/>
  <c r="I107" i="1"/>
  <c r="H107" i="1"/>
  <c r="A107" i="1" s="1"/>
  <c r="AD107" i="1" s="1"/>
  <c r="AF106" i="1"/>
  <c r="Y106" i="1"/>
  <c r="I106" i="1"/>
  <c r="AF105" i="1"/>
  <c r="Y105" i="1"/>
  <c r="I105" i="1"/>
  <c r="H105" i="1"/>
  <c r="A105" i="1" s="1"/>
  <c r="AF104" i="1"/>
  <c r="Y104" i="1"/>
  <c r="I104" i="1"/>
  <c r="AF103" i="1"/>
  <c r="Y103" i="1"/>
  <c r="I103" i="1"/>
  <c r="H103" i="1"/>
  <c r="A103" i="1" s="1"/>
  <c r="AF102" i="1"/>
  <c r="Y102" i="1"/>
  <c r="I102" i="1"/>
  <c r="H102" i="1"/>
  <c r="A102" i="1" s="1"/>
  <c r="AD102" i="1" s="1"/>
  <c r="AF101" i="1"/>
  <c r="Y101" i="1"/>
  <c r="I101" i="1"/>
  <c r="H101" i="1"/>
  <c r="A101" i="1" s="1"/>
  <c r="AD101" i="1" s="1"/>
  <c r="AF100" i="1"/>
  <c r="I100" i="1"/>
  <c r="H100" i="1"/>
  <c r="A100" i="1" s="1"/>
  <c r="AF96" i="1"/>
  <c r="Y96" i="1"/>
  <c r="I96" i="1"/>
  <c r="H96" i="1"/>
  <c r="A96" i="1" s="1"/>
  <c r="AF95" i="1"/>
  <c r="Y95" i="1"/>
  <c r="I95" i="1"/>
  <c r="AF94" i="1"/>
  <c r="Y94" i="1"/>
  <c r="I94" i="1"/>
  <c r="H94" i="1"/>
  <c r="A94" i="1" s="1"/>
  <c r="AF93" i="1"/>
  <c r="Y93" i="1"/>
  <c r="I93" i="1"/>
  <c r="AF92" i="1"/>
  <c r="Y92" i="1"/>
  <c r="I92" i="1"/>
  <c r="H92" i="1"/>
  <c r="A92" i="1" s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D85" i="1" s="1"/>
  <c r="AF84" i="1"/>
  <c r="Y84" i="1"/>
  <c r="I84" i="1"/>
  <c r="AF83" i="1"/>
  <c r="Y83" i="1"/>
  <c r="I83" i="1"/>
  <c r="AF82" i="1"/>
  <c r="Y82" i="1"/>
  <c r="I82" i="1"/>
  <c r="AF81" i="1"/>
  <c r="Y81" i="1"/>
  <c r="I81" i="1"/>
  <c r="H81" i="1"/>
  <c r="A81" i="1" s="1"/>
  <c r="AF80" i="1"/>
  <c r="Y80" i="1"/>
  <c r="I80" i="1"/>
  <c r="H80" i="1"/>
  <c r="A80" i="1" s="1"/>
  <c r="AD80" i="1" s="1"/>
  <c r="AF79" i="1"/>
  <c r="Y79" i="1"/>
  <c r="I79" i="1"/>
  <c r="AF78" i="1"/>
  <c r="Y78" i="1"/>
  <c r="I78" i="1"/>
  <c r="H78" i="1"/>
  <c r="A78" i="1" s="1"/>
  <c r="AD78" i="1" s="1"/>
  <c r="AF77" i="1"/>
  <c r="Y77" i="1"/>
  <c r="I77" i="1"/>
  <c r="AF76" i="1"/>
  <c r="Y76" i="1"/>
  <c r="I76" i="1"/>
  <c r="H76" i="1"/>
  <c r="A76" i="1" s="1"/>
  <c r="AF75" i="1"/>
  <c r="Y75" i="1"/>
  <c r="I75" i="1"/>
  <c r="H75" i="1"/>
  <c r="A75" i="1" s="1"/>
  <c r="AD75" i="1" s="1"/>
  <c r="AF74" i="1"/>
  <c r="Y74" i="1"/>
  <c r="I74" i="1"/>
  <c r="H74" i="1"/>
  <c r="A74" i="1" s="1"/>
  <c r="AF73" i="1"/>
  <c r="Y73" i="1"/>
  <c r="I73" i="1"/>
  <c r="H73" i="1"/>
  <c r="A73" i="1" s="1"/>
  <c r="AD73" i="1" s="1"/>
  <c r="AF72" i="1"/>
  <c r="Y72" i="1"/>
  <c r="I72" i="1"/>
  <c r="AF70" i="1"/>
  <c r="Y70" i="1"/>
  <c r="I70" i="1"/>
  <c r="H70" i="1"/>
  <c r="A70" i="1" s="1"/>
  <c r="AF69" i="1"/>
  <c r="Y69" i="1"/>
  <c r="I69" i="1"/>
  <c r="AF61" i="1"/>
  <c r="Y61" i="1"/>
  <c r="I61" i="1"/>
  <c r="AF60" i="1"/>
  <c r="Y60" i="1"/>
  <c r="I60" i="1"/>
  <c r="AF59" i="1"/>
  <c r="Y59" i="1"/>
  <c r="I59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AF48" i="1"/>
  <c r="Y48" i="1"/>
  <c r="I48" i="1"/>
  <c r="AF47" i="1"/>
  <c r="Y47" i="1"/>
  <c r="I47" i="1"/>
  <c r="AF45" i="1"/>
  <c r="Y45" i="1"/>
  <c r="I45" i="1"/>
  <c r="AF42" i="1"/>
  <c r="Y42" i="1"/>
  <c r="I42" i="1"/>
  <c r="Y40" i="1"/>
  <c r="I40" i="1"/>
  <c r="AF39" i="1"/>
  <c r="Y39" i="1"/>
  <c r="I39" i="1"/>
  <c r="H39" i="1"/>
  <c r="A39" i="1" s="1"/>
  <c r="AF38" i="1"/>
  <c r="Y38" i="1"/>
  <c r="I38" i="1"/>
  <c r="AF37" i="1"/>
  <c r="Y37" i="1"/>
  <c r="I37" i="1"/>
  <c r="H37" i="1"/>
  <c r="A37" i="1" s="1"/>
  <c r="AF36" i="1"/>
  <c r="Y36" i="1"/>
  <c r="I36" i="1"/>
  <c r="AF35" i="1"/>
  <c r="Y35" i="1"/>
  <c r="I35" i="1"/>
  <c r="H35" i="1"/>
  <c r="A35" i="1" s="1"/>
  <c r="AF34" i="1"/>
  <c r="Y34" i="1"/>
  <c r="I34" i="1"/>
  <c r="AF33" i="1"/>
  <c r="Y33" i="1"/>
  <c r="I33" i="1"/>
  <c r="H33" i="1"/>
  <c r="A33" i="1" s="1"/>
  <c r="AF32" i="1"/>
  <c r="Y32" i="1"/>
  <c r="I32" i="1"/>
  <c r="H32" i="1"/>
  <c r="A32" i="1" s="1"/>
  <c r="AD32" i="1" s="1"/>
  <c r="AF31" i="1"/>
  <c r="Y31" i="1"/>
  <c r="I31" i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0" i="1"/>
  <c r="Y10" i="1"/>
  <c r="I10" i="1"/>
  <c r="AF9" i="1"/>
  <c r="Y9" i="1"/>
  <c r="I9" i="1"/>
  <c r="H9" i="1"/>
  <c r="A9" i="1" s="1"/>
  <c r="AF8" i="1"/>
  <c r="Y8" i="1"/>
  <c r="I8" i="1"/>
  <c r="AF6" i="1"/>
  <c r="Y6" i="1"/>
  <c r="I6" i="1"/>
  <c r="AF4" i="1"/>
  <c r="Y4" i="1"/>
  <c r="I4" i="1"/>
  <c r="AF3" i="1"/>
  <c r="Y3" i="1"/>
  <c r="I3" i="1"/>
  <c r="W215" i="1"/>
  <c r="W246" i="1"/>
  <c r="W237" i="1"/>
  <c r="W247" i="1"/>
  <c r="W248" i="1" s="1"/>
  <c r="W261" i="1"/>
  <c r="J69" i="1" l="1"/>
  <c r="J58" i="1"/>
  <c r="J211" i="1"/>
  <c r="J42" i="1"/>
  <c r="J49" i="1"/>
  <c r="J3" i="1"/>
  <c r="J196" i="1"/>
  <c r="J72" i="1"/>
  <c r="J66" i="1"/>
  <c r="J31" i="1"/>
  <c r="J56" i="1"/>
  <c r="J55" i="1"/>
  <c r="J10" i="1"/>
  <c r="J175" i="1"/>
  <c r="J63" i="1"/>
  <c r="J203" i="1"/>
  <c r="J83" i="1"/>
  <c r="J164" i="1"/>
  <c r="J181" i="1"/>
  <c r="J208" i="1"/>
  <c r="J184" i="1"/>
  <c r="J159" i="1"/>
  <c r="J65" i="1"/>
  <c r="J113" i="1"/>
  <c r="J149" i="1"/>
  <c r="J151" i="1"/>
  <c r="J213" i="1"/>
  <c r="J93" i="1"/>
  <c r="J177" i="1"/>
  <c r="J155" i="1"/>
  <c r="J191" i="1"/>
  <c r="J205" i="1"/>
  <c r="J82" i="1"/>
  <c r="J111" i="1"/>
  <c r="J194" i="1"/>
  <c r="J198" i="1"/>
  <c r="J47" i="1"/>
  <c r="J8" i="1"/>
  <c r="J29" i="1"/>
  <c r="J19" i="1"/>
  <c r="J17" i="1"/>
  <c r="J61" i="1"/>
  <c r="J4" i="1"/>
  <c r="H4" i="1"/>
  <c r="A4" i="1" s="1"/>
  <c r="W4" i="1" s="1"/>
  <c r="H3" i="1"/>
  <c r="A3" i="1" s="1"/>
  <c r="Z3" i="1"/>
  <c r="AA3" i="1" s="1"/>
  <c r="AA4" i="1"/>
  <c r="Z4" i="1"/>
  <c r="Z8" i="1"/>
  <c r="AA8" i="1" s="1"/>
  <c r="AA20" i="1"/>
  <c r="Z20" i="1"/>
  <c r="Z28" i="1"/>
  <c r="AA31" i="1"/>
  <c r="Z31" i="1"/>
  <c r="AA35" i="1"/>
  <c r="Z35" i="1"/>
  <c r="Z38" i="1"/>
  <c r="AA38" i="1"/>
  <c r="AA42" i="1"/>
  <c r="Z42" i="1"/>
  <c r="AA47" i="1"/>
  <c r="Z47" i="1"/>
  <c r="AA48" i="1"/>
  <c r="Z48" i="1"/>
  <c r="AA51" i="1"/>
  <c r="Z51" i="1"/>
  <c r="AA54" i="1"/>
  <c r="Z54" i="1"/>
  <c r="AA56" i="1"/>
  <c r="Z56" i="1"/>
  <c r="AA58" i="1"/>
  <c r="Z58" i="1"/>
  <c r="AA60" i="1"/>
  <c r="Z60" i="1"/>
  <c r="AA72" i="1"/>
  <c r="Z72" i="1"/>
  <c r="Z74" i="1"/>
  <c r="AA74" i="1"/>
  <c r="AA77" i="1"/>
  <c r="Z77" i="1"/>
  <c r="Z78" i="1"/>
  <c r="AA78" i="1"/>
  <c r="AA80" i="1"/>
  <c r="Z80" i="1"/>
  <c r="Z82" i="1"/>
  <c r="AA82" i="1"/>
  <c r="AA84" i="1"/>
  <c r="Z84" i="1"/>
  <c r="Z85" i="1"/>
  <c r="AA85" i="1"/>
  <c r="AA92" i="1"/>
  <c r="Z92" i="1"/>
  <c r="AA95" i="1"/>
  <c r="Z95" i="1"/>
  <c r="AA101" i="1"/>
  <c r="Z101" i="1"/>
  <c r="Z104" i="1"/>
  <c r="AA104" i="1"/>
  <c r="AA105" i="1"/>
  <c r="Z105" i="1"/>
  <c r="AA107" i="1"/>
  <c r="Z107" i="1"/>
  <c r="AA110" i="1"/>
  <c r="Z110" i="1"/>
  <c r="AA113" i="1"/>
  <c r="Z113" i="1"/>
  <c r="AA115" i="1"/>
  <c r="Z115" i="1"/>
  <c r="Z145" i="1"/>
  <c r="AA145" i="1"/>
  <c r="AA148" i="1"/>
  <c r="Z148" i="1"/>
  <c r="AA151" i="1"/>
  <c r="Z151" i="1"/>
  <c r="Z154" i="1"/>
  <c r="AA154" i="1"/>
  <c r="AA157" i="1"/>
  <c r="Z157" i="1"/>
  <c r="Z159" i="1"/>
  <c r="AA159" i="1"/>
  <c r="AA160" i="1"/>
  <c r="Z160" i="1"/>
  <c r="AA163" i="1"/>
  <c r="Z163" i="1"/>
  <c r="AA165" i="1"/>
  <c r="Z165" i="1"/>
  <c r="AA166" i="1"/>
  <c r="Z166" i="1"/>
  <c r="Z168" i="1"/>
  <c r="AA168" i="1"/>
  <c r="AA171" i="1"/>
  <c r="Z171" i="1"/>
  <c r="AA173" i="1"/>
  <c r="Z173" i="1"/>
  <c r="AA175" i="1"/>
  <c r="Z175" i="1"/>
  <c r="AA177" i="1"/>
  <c r="Z177" i="1"/>
  <c r="AA181" i="1"/>
  <c r="Z181" i="1"/>
  <c r="Z184" i="1"/>
  <c r="AA184" i="1"/>
  <c r="AA186" i="1"/>
  <c r="Z186" i="1"/>
  <c r="Z189" i="1"/>
  <c r="AA189" i="1"/>
  <c r="AA191" i="1"/>
  <c r="Z191" i="1"/>
  <c r="Z193" i="1"/>
  <c r="AA193" i="1"/>
  <c r="AA194" i="1"/>
  <c r="Z194" i="1"/>
  <c r="AA196" i="1"/>
  <c r="Z196" i="1"/>
  <c r="AA198" i="1"/>
  <c r="Z198" i="1"/>
  <c r="AA199" i="1"/>
  <c r="Z199" i="1"/>
  <c r="AA202" i="1"/>
  <c r="Z202" i="1"/>
  <c r="AA203" i="1"/>
  <c r="Z203" i="1"/>
  <c r="Z205" i="1"/>
  <c r="AA205" i="1"/>
  <c r="Z207" i="1"/>
  <c r="AA208" i="1"/>
  <c r="Z208" i="1"/>
  <c r="Z10" i="1"/>
  <c r="AA10" i="1" s="1"/>
  <c r="Z23" i="1"/>
  <c r="AA27" i="1"/>
  <c r="Z27" i="1"/>
  <c r="Z34" i="1"/>
  <c r="AA34" i="1"/>
  <c r="AA6" i="1"/>
  <c r="Z6" i="1"/>
  <c r="Z9" i="1"/>
  <c r="AA9" i="1" s="1"/>
  <c r="AA17" i="1"/>
  <c r="Z17" i="1"/>
  <c r="AA18" i="1"/>
  <c r="Z18" i="1"/>
  <c r="AA19" i="1"/>
  <c r="Z19" i="1"/>
  <c r="Z21" i="1"/>
  <c r="AA21" i="1" s="1"/>
  <c r="AA22" i="1"/>
  <c r="Z22" i="1"/>
  <c r="AA25" i="1"/>
  <c r="Z25" i="1"/>
  <c r="Z26" i="1"/>
  <c r="AA26" i="1"/>
  <c r="AA29" i="1"/>
  <c r="Z29" i="1"/>
  <c r="Z30" i="1"/>
  <c r="AA30" i="1"/>
  <c r="AA32" i="1"/>
  <c r="Z32" i="1"/>
  <c r="AA33" i="1"/>
  <c r="Z33" i="1"/>
  <c r="AA36" i="1"/>
  <c r="Z36" i="1"/>
  <c r="AA37" i="1"/>
  <c r="Z37" i="1"/>
  <c r="AA39" i="1"/>
  <c r="Z39" i="1"/>
  <c r="AA40" i="1"/>
  <c r="Z40" i="1"/>
  <c r="AA45" i="1"/>
  <c r="Z45" i="1"/>
  <c r="Z49" i="1"/>
  <c r="AA49" i="1"/>
  <c r="AA50" i="1"/>
  <c r="Z50" i="1"/>
  <c r="AA52" i="1"/>
  <c r="Z52" i="1"/>
  <c r="Z53" i="1"/>
  <c r="AA53" i="1"/>
  <c r="AA55" i="1"/>
  <c r="Z55" i="1"/>
  <c r="Z57" i="1"/>
  <c r="AA57" i="1"/>
  <c r="AA59" i="1"/>
  <c r="Z59" i="1"/>
  <c r="Z61" i="1"/>
  <c r="AA61" i="1"/>
  <c r="AA69" i="1"/>
  <c r="Z69" i="1"/>
  <c r="AA70" i="1"/>
  <c r="Z70" i="1"/>
  <c r="AA73" i="1"/>
  <c r="Z73" i="1"/>
  <c r="AA75" i="1"/>
  <c r="Z75" i="1"/>
  <c r="AA76" i="1"/>
  <c r="Z76" i="1"/>
  <c r="AA79" i="1"/>
  <c r="Z79" i="1"/>
  <c r="AA81" i="1"/>
  <c r="Z81" i="1"/>
  <c r="AA83" i="1"/>
  <c r="Z83" i="1"/>
  <c r="AA86" i="1"/>
  <c r="Z86" i="1"/>
  <c r="AA87" i="1"/>
  <c r="Z87" i="1"/>
  <c r="Z93" i="1"/>
  <c r="AA93" i="1"/>
  <c r="AA94" i="1"/>
  <c r="Z94" i="1"/>
  <c r="AA96" i="1"/>
  <c r="Z96" i="1"/>
  <c r="AA102" i="1"/>
  <c r="Z102" i="1"/>
  <c r="AA103" i="1"/>
  <c r="Z103" i="1"/>
  <c r="AA106" i="1"/>
  <c r="Z106" i="1"/>
  <c r="AA111" i="1"/>
  <c r="Z111" i="1"/>
  <c r="AA114" i="1"/>
  <c r="Z114" i="1"/>
  <c r="AA146" i="1"/>
  <c r="Z146" i="1"/>
  <c r="AA149" i="1"/>
  <c r="Z149" i="1"/>
  <c r="Z150" i="1"/>
  <c r="AA150" i="1"/>
  <c r="AA152" i="1"/>
  <c r="Z152" i="1"/>
  <c r="AA153" i="1"/>
  <c r="Z153" i="1"/>
  <c r="AA155" i="1"/>
  <c r="Z155" i="1"/>
  <c r="AA158" i="1"/>
  <c r="Z158" i="1"/>
  <c r="AA161" i="1"/>
  <c r="Z161" i="1"/>
  <c r="Z164" i="1"/>
  <c r="AA164" i="1"/>
  <c r="AA167" i="1"/>
  <c r="Z167" i="1"/>
  <c r="AA172" i="1"/>
  <c r="Z172" i="1"/>
  <c r="Z174" i="1"/>
  <c r="AA174" i="1"/>
  <c r="AA176" i="1"/>
  <c r="Z176" i="1"/>
  <c r="AB176" i="1" s="1"/>
  <c r="Z178" i="1"/>
  <c r="AA178" i="1"/>
  <c r="AA182" i="1"/>
  <c r="Z182" i="1"/>
  <c r="AA183" i="1"/>
  <c r="Z183" i="1"/>
  <c r="AA187" i="1"/>
  <c r="Z187" i="1"/>
  <c r="AA188" i="1"/>
  <c r="Z188" i="1"/>
  <c r="AA190" i="1"/>
  <c r="Z190" i="1"/>
  <c r="AB190" i="1" s="1"/>
  <c r="AA192" i="1"/>
  <c r="Z192" i="1"/>
  <c r="AA195" i="1"/>
  <c r="Z195" i="1"/>
  <c r="AB195" i="1" s="1"/>
  <c r="AC195" i="1" s="1"/>
  <c r="T195" i="1" s="1"/>
  <c r="Z197" i="1"/>
  <c r="AA197" i="1"/>
  <c r="AA200" i="1"/>
  <c r="Z200" i="1"/>
  <c r="Z201" i="1"/>
  <c r="AA201" i="1"/>
  <c r="Z204" i="1"/>
  <c r="Z206" i="1"/>
  <c r="Z209" i="1"/>
  <c r="AA209" i="1"/>
  <c r="AA210" i="1"/>
  <c r="Z210" i="1"/>
  <c r="AA169" i="1"/>
  <c r="Z169" i="1"/>
  <c r="Z212" i="1"/>
  <c r="AA212" i="1"/>
  <c r="Z213" i="1"/>
  <c r="AA213" i="1"/>
  <c r="AA215" i="1"/>
  <c r="Z215" i="1"/>
  <c r="AA217" i="1"/>
  <c r="Z217" i="1"/>
  <c r="Z219" i="1"/>
  <c r="AA219" i="1"/>
  <c r="AA221" i="1"/>
  <c r="Z221" i="1"/>
  <c r="AA223" i="1"/>
  <c r="Z223" i="1"/>
  <c r="AB223" i="1" s="1"/>
  <c r="AC223" i="1" s="1"/>
  <c r="T223" i="1" s="1"/>
  <c r="Z226" i="1"/>
  <c r="AA226" i="1"/>
  <c r="AA228" i="1"/>
  <c r="Z228" i="1"/>
  <c r="AB228" i="1" s="1"/>
  <c r="AC228" i="1" s="1"/>
  <c r="T228" i="1" s="1"/>
  <c r="AA230" i="1"/>
  <c r="Z230" i="1"/>
  <c r="AB230" i="1" s="1"/>
  <c r="AC230" i="1" s="1"/>
  <c r="T230" i="1" s="1"/>
  <c r="Z233" i="1"/>
  <c r="AA233" i="1"/>
  <c r="AA235" i="1"/>
  <c r="Z235" i="1"/>
  <c r="Z237" i="1"/>
  <c r="AA237" i="1"/>
  <c r="AA239" i="1"/>
  <c r="Z239" i="1"/>
  <c r="AB239" i="1" s="1"/>
  <c r="AC239" i="1" s="1"/>
  <c r="T239" i="1" s="1"/>
  <c r="AA241" i="1"/>
  <c r="Z241" i="1"/>
  <c r="Z243" i="1"/>
  <c r="AB243" i="1" s="1"/>
  <c r="AC243" i="1" s="1"/>
  <c r="T243" i="1" s="1"/>
  <c r="AA243" i="1"/>
  <c r="AA245" i="1"/>
  <c r="Z245" i="1"/>
  <c r="AB245" i="1" s="1"/>
  <c r="AC245" i="1" s="1"/>
  <c r="T245" i="1" s="1"/>
  <c r="Z247" i="1"/>
  <c r="AA247" i="1"/>
  <c r="AA249" i="1"/>
  <c r="Z249" i="1"/>
  <c r="AB249" i="1" s="1"/>
  <c r="AC249" i="1" s="1"/>
  <c r="T249" i="1" s="1"/>
  <c r="AA251" i="1"/>
  <c r="Z251" i="1"/>
  <c r="AB251" i="1" s="1"/>
  <c r="AC251" i="1" s="1"/>
  <c r="T251" i="1" s="1"/>
  <c r="Z253" i="1"/>
  <c r="AA253" i="1"/>
  <c r="AA255" i="1"/>
  <c r="Z255" i="1"/>
  <c r="AB255" i="1" s="1"/>
  <c r="AC255" i="1" s="1"/>
  <c r="T255" i="1" s="1"/>
  <c r="AA257" i="1"/>
  <c r="Z257" i="1"/>
  <c r="AB257" i="1" s="1"/>
  <c r="AC257" i="1" s="1"/>
  <c r="T257" i="1" s="1"/>
  <c r="Z259" i="1"/>
  <c r="AA259" i="1"/>
  <c r="AA261" i="1"/>
  <c r="Z261" i="1"/>
  <c r="AB261" i="1" s="1"/>
  <c r="AC261" i="1" s="1"/>
  <c r="T261" i="1" s="1"/>
  <c r="Z263" i="1"/>
  <c r="AA263" i="1"/>
  <c r="AA265" i="1"/>
  <c r="Z265" i="1"/>
  <c r="Z267" i="1"/>
  <c r="AA267" i="1"/>
  <c r="AA269" i="1"/>
  <c r="Z269" i="1"/>
  <c r="AA211" i="1"/>
  <c r="Z211" i="1"/>
  <c r="Z214" i="1"/>
  <c r="AA214" i="1"/>
  <c r="Z216" i="1"/>
  <c r="AA216" i="1"/>
  <c r="Z218" i="1"/>
  <c r="AA218" i="1"/>
  <c r="Z220" i="1"/>
  <c r="AA220" i="1"/>
  <c r="Z222" i="1"/>
  <c r="AA222" i="1"/>
  <c r="Z224" i="1"/>
  <c r="AA224" i="1"/>
  <c r="Z227" i="1"/>
  <c r="AA227" i="1"/>
  <c r="AA229" i="1"/>
  <c r="Z229" i="1"/>
  <c r="AB229" i="1" s="1"/>
  <c r="AC229" i="1" s="1"/>
  <c r="T229" i="1" s="1"/>
  <c r="Z232" i="1"/>
  <c r="AA232" i="1"/>
  <c r="Z234" i="1"/>
  <c r="AA234" i="1"/>
  <c r="Z236" i="1"/>
  <c r="AA236" i="1"/>
  <c r="Z238" i="1"/>
  <c r="AA238" i="1"/>
  <c r="Z240" i="1"/>
  <c r="AA240" i="1"/>
  <c r="Z242" i="1"/>
  <c r="AA242" i="1"/>
  <c r="Z244" i="1"/>
  <c r="AA244" i="1"/>
  <c r="Z246" i="1"/>
  <c r="AA246" i="1"/>
  <c r="Z248" i="1"/>
  <c r="AA248" i="1"/>
  <c r="Z250" i="1"/>
  <c r="AA250" i="1"/>
  <c r="Z252" i="1"/>
  <c r="AA252" i="1"/>
  <c r="Z254" i="1"/>
  <c r="AA254" i="1"/>
  <c r="Z256" i="1"/>
  <c r="AA256" i="1"/>
  <c r="Z258" i="1"/>
  <c r="AA258" i="1"/>
  <c r="Z260" i="1"/>
  <c r="AA260" i="1"/>
  <c r="Z262" i="1"/>
  <c r="AA262" i="1"/>
  <c r="AA264" i="1"/>
  <c r="Z264" i="1"/>
  <c r="Z266" i="1"/>
  <c r="AA266" i="1"/>
  <c r="Z268" i="1"/>
  <c r="AA268" i="1"/>
  <c r="Z270" i="1"/>
  <c r="AA270" i="1"/>
  <c r="Y100" i="1"/>
  <c r="AC190" i="1"/>
  <c r="T190" i="1" s="1"/>
  <c r="AC176" i="1"/>
  <c r="T176" i="1" s="1"/>
  <c r="W219" i="1"/>
  <c r="W249" i="1"/>
  <c r="W126" i="1"/>
  <c r="W238" i="1"/>
  <c r="W239" i="1" s="1"/>
  <c r="W3" i="1"/>
  <c r="W5" i="1"/>
  <c r="AB260" i="1" l="1"/>
  <c r="AC260" i="1" s="1"/>
  <c r="T260" i="1" s="1"/>
  <c r="AB246" i="1"/>
  <c r="AC246" i="1" s="1"/>
  <c r="T246" i="1" s="1"/>
  <c r="AB247" i="1"/>
  <c r="AC247" i="1" s="1"/>
  <c r="T247" i="1" s="1"/>
  <c r="AB258" i="1"/>
  <c r="AC258" i="1" s="1"/>
  <c r="T258" i="1" s="1"/>
  <c r="AB256" i="1"/>
  <c r="AC256" i="1" s="1"/>
  <c r="T256" i="1" s="1"/>
  <c r="AB254" i="1"/>
  <c r="AC254" i="1" s="1"/>
  <c r="T254" i="1" s="1"/>
  <c r="AB252" i="1"/>
  <c r="AC252" i="1" s="1"/>
  <c r="T252" i="1" s="1"/>
  <c r="AB250" i="1"/>
  <c r="AC250" i="1" s="1"/>
  <c r="T250" i="1" s="1"/>
  <c r="AB248" i="1"/>
  <c r="AC248" i="1" s="1"/>
  <c r="T248" i="1" s="1"/>
  <c r="AB253" i="1"/>
  <c r="AC253" i="1" s="1"/>
  <c r="T253" i="1" s="1"/>
  <c r="AB241" i="1"/>
  <c r="AC241" i="1" s="1"/>
  <c r="T241" i="1" s="1"/>
  <c r="AB238" i="1"/>
  <c r="AC238" i="1" s="1"/>
  <c r="T238" i="1" s="1"/>
  <c r="AB236" i="1"/>
  <c r="AC236" i="1" s="1"/>
  <c r="T236" i="1" s="1"/>
  <c r="AB237" i="1"/>
  <c r="AC237" i="1" s="1"/>
  <c r="T237" i="1" s="1"/>
  <c r="AB234" i="1"/>
  <c r="AC234" i="1" s="1"/>
  <c r="T234" i="1" s="1"/>
  <c r="AB232" i="1"/>
  <c r="AC232" i="1" s="1"/>
  <c r="T232" i="1" s="1"/>
  <c r="AB227" i="1"/>
  <c r="AC227" i="1" s="1"/>
  <c r="T227" i="1" s="1"/>
  <c r="AB222" i="1"/>
  <c r="AC222" i="1" s="1"/>
  <c r="T222" i="1" s="1"/>
  <c r="AB233" i="1"/>
  <c r="AC233" i="1" s="1"/>
  <c r="T233" i="1" s="1"/>
  <c r="AB226" i="1"/>
  <c r="AC226" i="1" s="1"/>
  <c r="T226" i="1" s="1"/>
  <c r="AB217" i="1"/>
  <c r="AC217" i="1" s="1"/>
  <c r="T217" i="1" s="1"/>
  <c r="AB205" i="1"/>
  <c r="AC205" i="1" s="1"/>
  <c r="T205" i="1" s="1"/>
  <c r="AB202" i="1"/>
  <c r="AC202" i="1" s="1"/>
  <c r="T202" i="1" s="1"/>
  <c r="AB210" i="1"/>
  <c r="AC210" i="1" s="1"/>
  <c r="T210" i="1" s="1"/>
  <c r="AB199" i="1"/>
  <c r="AC199" i="1" s="1"/>
  <c r="T199" i="1" s="1"/>
  <c r="AB198" i="1"/>
  <c r="AC198" i="1" s="1"/>
  <c r="T198" i="1" s="1"/>
  <c r="AB186" i="1"/>
  <c r="AC186" i="1" s="1"/>
  <c r="T186" i="1" s="1"/>
  <c r="AB158" i="1"/>
  <c r="AC158" i="1" s="1"/>
  <c r="T158" i="1" s="1"/>
  <c r="AB183" i="1"/>
  <c r="AC183" i="1" s="1"/>
  <c r="T183" i="1" s="1"/>
  <c r="AB163" i="1"/>
  <c r="AC163" i="1" s="1"/>
  <c r="T163" i="1" s="1"/>
  <c r="AB160" i="1"/>
  <c r="AC160" i="1" s="1"/>
  <c r="T160" i="1" s="1"/>
  <c r="AB150" i="1"/>
  <c r="AC150" i="1" s="1"/>
  <c r="T150" i="1" s="1"/>
  <c r="AB148" i="1"/>
  <c r="AC148" i="1" s="1"/>
  <c r="T148" i="1" s="1"/>
  <c r="AB60" i="1"/>
  <c r="AC60" i="1" s="1"/>
  <c r="T60" i="1" s="1"/>
  <c r="AB54" i="1"/>
  <c r="AC54" i="1" s="1"/>
  <c r="T54" i="1" s="1"/>
  <c r="AB110" i="1"/>
  <c r="AC110" i="1" s="1"/>
  <c r="T110" i="1" s="1"/>
  <c r="AB107" i="1"/>
  <c r="AC107" i="1" s="1"/>
  <c r="T107" i="1" s="1"/>
  <c r="AB92" i="1"/>
  <c r="AC92" i="1" s="1"/>
  <c r="T92" i="1" s="1"/>
  <c r="AB81" i="1"/>
  <c r="AC81" i="1" s="1"/>
  <c r="T81" i="1" s="1"/>
  <c r="AB224" i="1"/>
  <c r="AC224" i="1" s="1"/>
  <c r="T224" i="1" s="1"/>
  <c r="AB211" i="1"/>
  <c r="AC211" i="1" s="1"/>
  <c r="T211" i="1" s="1"/>
  <c r="AB221" i="1"/>
  <c r="AC221" i="1" s="1"/>
  <c r="T221" i="1" s="1"/>
  <c r="AB208" i="1"/>
  <c r="AC208" i="1" s="1"/>
  <c r="T208" i="1" s="1"/>
  <c r="AB216" i="1"/>
  <c r="AC216" i="1" s="1"/>
  <c r="T216" i="1" s="1"/>
  <c r="AB213" i="1"/>
  <c r="AC213" i="1" s="1"/>
  <c r="T213" i="1" s="1"/>
  <c r="AB203" i="1"/>
  <c r="AC203" i="1" s="1"/>
  <c r="T203" i="1" s="1"/>
  <c r="AB201" i="1"/>
  <c r="AC201" i="1" s="1"/>
  <c r="T201" i="1" s="1"/>
  <c r="AB200" i="1"/>
  <c r="AC200" i="1" s="1"/>
  <c r="T200" i="1" s="1"/>
  <c r="AB196" i="1"/>
  <c r="AC196" i="1" s="1"/>
  <c r="T196" i="1" s="1"/>
  <c r="AB194" i="1"/>
  <c r="AC194" i="1" s="1"/>
  <c r="T194" i="1" s="1"/>
  <c r="AB177" i="1"/>
  <c r="AC177" i="1" s="1"/>
  <c r="T177" i="1" s="1"/>
  <c r="AB192" i="1"/>
  <c r="AC192" i="1" s="1"/>
  <c r="T192" i="1" s="1"/>
  <c r="AB182" i="1"/>
  <c r="AC182" i="1" s="1"/>
  <c r="T182" i="1" s="1"/>
  <c r="AB191" i="1"/>
  <c r="AC191" i="1" s="1"/>
  <c r="T191" i="1" s="1"/>
  <c r="AB189" i="1"/>
  <c r="AC189" i="1" s="1"/>
  <c r="T189" i="1" s="1"/>
  <c r="AB188" i="1"/>
  <c r="AC188" i="1" s="1"/>
  <c r="T188" i="1" s="1"/>
  <c r="AB187" i="1"/>
  <c r="AC187" i="1" s="1"/>
  <c r="T187" i="1" s="1"/>
  <c r="AB181" i="1"/>
  <c r="AC181" i="1" s="1"/>
  <c r="T181" i="1" s="1"/>
  <c r="AB175" i="1"/>
  <c r="AC175" i="1" s="1"/>
  <c r="T175" i="1" s="1"/>
  <c r="AB172" i="1"/>
  <c r="AC172" i="1" s="1"/>
  <c r="T172" i="1" s="1"/>
  <c r="AB167" i="1"/>
  <c r="AC167" i="1" s="1"/>
  <c r="T167" i="1" s="1"/>
  <c r="AB155" i="1"/>
  <c r="AC155" i="1" s="1"/>
  <c r="T155" i="1" s="1"/>
  <c r="AB153" i="1"/>
  <c r="AC153" i="1" s="1"/>
  <c r="T153" i="1" s="1"/>
  <c r="AB152" i="1"/>
  <c r="AC152" i="1" s="1"/>
  <c r="T152" i="1" s="1"/>
  <c r="AB149" i="1"/>
  <c r="AC149" i="1" s="1"/>
  <c r="T149" i="1" s="1"/>
  <c r="AB145" i="1"/>
  <c r="AC145" i="1" s="1"/>
  <c r="T145" i="1" s="1"/>
  <c r="AB85" i="1"/>
  <c r="AC85" i="1" s="1"/>
  <c r="T85" i="1" s="1"/>
  <c r="AB173" i="1"/>
  <c r="AC173" i="1" s="1"/>
  <c r="T173" i="1" s="1"/>
  <c r="AB166" i="1"/>
  <c r="AC166" i="1" s="1"/>
  <c r="T166" i="1" s="1"/>
  <c r="AB165" i="1"/>
  <c r="AC165" i="1" s="1"/>
  <c r="T165" i="1" s="1"/>
  <c r="AB171" i="1"/>
  <c r="AC171" i="1" s="1"/>
  <c r="T171" i="1" s="1"/>
  <c r="AB161" i="1"/>
  <c r="AC161" i="1" s="1"/>
  <c r="T161" i="1" s="1"/>
  <c r="AB157" i="1"/>
  <c r="AC157" i="1" s="1"/>
  <c r="T157" i="1" s="1"/>
  <c r="AB146" i="1"/>
  <c r="AC146" i="1" s="1"/>
  <c r="T146" i="1" s="1"/>
  <c r="AB114" i="1"/>
  <c r="AC114" i="1" s="1"/>
  <c r="T114" i="1" s="1"/>
  <c r="AB111" i="1"/>
  <c r="AC111" i="1" s="1"/>
  <c r="T111" i="1" s="1"/>
  <c r="AB115" i="1"/>
  <c r="AC115" i="1" s="1"/>
  <c r="T115" i="1" s="1"/>
  <c r="AB113" i="1"/>
  <c r="AC113" i="1" s="1"/>
  <c r="T113" i="1" s="1"/>
  <c r="AB105" i="1"/>
  <c r="AC105" i="1" s="1"/>
  <c r="T105" i="1" s="1"/>
  <c r="AB101" i="1"/>
  <c r="AC101" i="1" s="1"/>
  <c r="T101" i="1" s="1"/>
  <c r="AB106" i="1"/>
  <c r="AC106" i="1" s="1"/>
  <c r="T106" i="1" s="1"/>
  <c r="AB96" i="1"/>
  <c r="AC96" i="1" s="1"/>
  <c r="T96" i="1" s="1"/>
  <c r="AB94" i="1"/>
  <c r="AC94" i="1" s="1"/>
  <c r="T94" i="1" s="1"/>
  <c r="AB87" i="1"/>
  <c r="AC87" i="1" s="1"/>
  <c r="T87" i="1" s="1"/>
  <c r="AB83" i="1"/>
  <c r="AC83" i="1" s="1"/>
  <c r="T83" i="1" s="1"/>
  <c r="AB103" i="1"/>
  <c r="AC103" i="1" s="1"/>
  <c r="T103" i="1" s="1"/>
  <c r="AB102" i="1"/>
  <c r="AC102" i="1" s="1"/>
  <c r="T102" i="1" s="1"/>
  <c r="AB95" i="1"/>
  <c r="AC95" i="1" s="1"/>
  <c r="T95" i="1" s="1"/>
  <c r="AB84" i="1"/>
  <c r="AC84" i="1" s="1"/>
  <c r="T84" i="1" s="1"/>
  <c r="AB76" i="1"/>
  <c r="AC76" i="1" s="1"/>
  <c r="T76" i="1" s="1"/>
  <c r="AB75" i="1"/>
  <c r="AC75" i="1" s="1"/>
  <c r="T75" i="1" s="1"/>
  <c r="AB73" i="1"/>
  <c r="AC73" i="1" s="1"/>
  <c r="T73" i="1" s="1"/>
  <c r="AB69" i="1"/>
  <c r="AC69" i="1" s="1"/>
  <c r="T69" i="1" s="1"/>
  <c r="AB30" i="1"/>
  <c r="AC30" i="1" s="1"/>
  <c r="T30" i="1" s="1"/>
  <c r="AB78" i="1"/>
  <c r="AC78" i="1" s="1"/>
  <c r="T78" i="1" s="1"/>
  <c r="AB80" i="1"/>
  <c r="AC80" i="1" s="1"/>
  <c r="T80" i="1" s="1"/>
  <c r="AB77" i="1"/>
  <c r="AC77" i="1" s="1"/>
  <c r="T77" i="1" s="1"/>
  <c r="AB72" i="1"/>
  <c r="AC72" i="1" s="1"/>
  <c r="T72" i="1" s="1"/>
  <c r="AB70" i="1"/>
  <c r="AC70" i="1" s="1"/>
  <c r="T70" i="1" s="1"/>
  <c r="AB59" i="1"/>
  <c r="AC59" i="1" s="1"/>
  <c r="T59" i="1" s="1"/>
  <c r="AB25" i="1"/>
  <c r="AC25" i="1" s="1"/>
  <c r="T25" i="1" s="1"/>
  <c r="AB42" i="1"/>
  <c r="AC42" i="1" s="1"/>
  <c r="T42" i="1" s="1"/>
  <c r="AB58" i="1"/>
  <c r="AC58" i="1" s="1"/>
  <c r="T58" i="1" s="1"/>
  <c r="AB37" i="1"/>
  <c r="AC37" i="1" s="1"/>
  <c r="T37" i="1" s="1"/>
  <c r="AB29" i="1"/>
  <c r="AC29" i="1" s="1"/>
  <c r="T29" i="1" s="1"/>
  <c r="H8" i="1"/>
  <c r="A8" i="1" s="1"/>
  <c r="AB4" i="1"/>
  <c r="AC4" i="1" s="1"/>
  <c r="T4" i="1" s="1"/>
  <c r="AB55" i="1"/>
  <c r="AC55" i="1" s="1"/>
  <c r="T55" i="1" s="1"/>
  <c r="AB10" i="1"/>
  <c r="AC10" i="1" s="1"/>
  <c r="T10" i="1" s="1"/>
  <c r="H6" i="1"/>
  <c r="A6" i="1" s="1"/>
  <c r="W6" i="1" s="1"/>
  <c r="AB22" i="1"/>
  <c r="AC22" i="1" s="1"/>
  <c r="T22" i="1" s="1"/>
  <c r="AB6" i="1"/>
  <c r="AC6" i="1" s="1"/>
  <c r="T6" i="1" s="1"/>
  <c r="AB53" i="1"/>
  <c r="AC53" i="1" s="1"/>
  <c r="T53" i="1" s="1"/>
  <c r="AB52" i="1"/>
  <c r="AC52" i="1" s="1"/>
  <c r="T52" i="1" s="1"/>
  <c r="AB50" i="1"/>
  <c r="AC50" i="1" s="1"/>
  <c r="T50" i="1" s="1"/>
  <c r="AB45" i="1"/>
  <c r="AC45" i="1" s="1"/>
  <c r="T45" i="1" s="1"/>
  <c r="AB51" i="1"/>
  <c r="AC51" i="1" s="1"/>
  <c r="T51" i="1" s="1"/>
  <c r="AB48" i="1"/>
  <c r="AC48" i="1" s="1"/>
  <c r="T48" i="1" s="1"/>
  <c r="AB47" i="1"/>
  <c r="AC47" i="1" s="1"/>
  <c r="T47" i="1" s="1"/>
  <c r="H40" i="1"/>
  <c r="A40" i="1" s="1"/>
  <c r="AB40" i="1"/>
  <c r="AC40" i="1" s="1"/>
  <c r="T40" i="1" s="1"/>
  <c r="AB39" i="1"/>
  <c r="AC39" i="1" s="1"/>
  <c r="T39" i="1" s="1"/>
  <c r="AB36" i="1"/>
  <c r="AC36" i="1" s="1"/>
  <c r="T36" i="1" s="1"/>
  <c r="AB33" i="1"/>
  <c r="AC33" i="1" s="1"/>
  <c r="T33" i="1" s="1"/>
  <c r="AB32" i="1"/>
  <c r="AC32" i="1" s="1"/>
  <c r="T32" i="1" s="1"/>
  <c r="AB35" i="1"/>
  <c r="AC35" i="1" s="1"/>
  <c r="T35" i="1" s="1"/>
  <c r="AB31" i="1"/>
  <c r="AC31" i="1" s="1"/>
  <c r="T31" i="1" s="1"/>
  <c r="AA28" i="1"/>
  <c r="AB28" i="1" s="1"/>
  <c r="AC28" i="1" s="1"/>
  <c r="T28" i="1" s="1"/>
  <c r="AB26" i="1"/>
  <c r="AC26" i="1" s="1"/>
  <c r="T26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7" i="1"/>
  <c r="AC17" i="1" s="1"/>
  <c r="T17" i="1" s="1"/>
  <c r="AB8" i="1"/>
  <c r="AC8" i="1" s="1"/>
  <c r="T8" i="1" s="1"/>
  <c r="Z100" i="1"/>
  <c r="AA100" i="1"/>
  <c r="AB214" i="1"/>
  <c r="AC214" i="1" s="1"/>
  <c r="T214" i="1" s="1"/>
  <c r="AB209" i="1"/>
  <c r="AC209" i="1" s="1"/>
  <c r="T209" i="1" s="1"/>
  <c r="AA206" i="1"/>
  <c r="AB206" i="1" s="1"/>
  <c r="AC206" i="1" s="1"/>
  <c r="T206" i="1" s="1"/>
  <c r="AA204" i="1"/>
  <c r="AB204" i="1" s="1"/>
  <c r="AC204" i="1" s="1"/>
  <c r="T204" i="1" s="1"/>
  <c r="AB197" i="1"/>
  <c r="AC197" i="1" s="1"/>
  <c r="T197" i="1" s="1"/>
  <c r="AB178" i="1"/>
  <c r="AC178" i="1" s="1"/>
  <c r="T178" i="1" s="1"/>
  <c r="AB174" i="1"/>
  <c r="AC174" i="1" s="1"/>
  <c r="T174" i="1" s="1"/>
  <c r="AB164" i="1"/>
  <c r="AC164" i="1" s="1"/>
  <c r="T164" i="1" s="1"/>
  <c r="AB93" i="1"/>
  <c r="AC93" i="1" s="1"/>
  <c r="T93" i="1" s="1"/>
  <c r="AB86" i="1"/>
  <c r="AC86" i="1" s="1"/>
  <c r="T86" i="1" s="1"/>
  <c r="AB79" i="1"/>
  <c r="AC79" i="1" s="1"/>
  <c r="T79" i="1" s="1"/>
  <c r="AB61" i="1"/>
  <c r="AC61" i="1" s="1"/>
  <c r="T61" i="1" s="1"/>
  <c r="AB57" i="1"/>
  <c r="AC57" i="1" s="1"/>
  <c r="T57" i="1" s="1"/>
  <c r="AB49" i="1"/>
  <c r="AC49" i="1" s="1"/>
  <c r="T49" i="1" s="1"/>
  <c r="AB21" i="1"/>
  <c r="AC21" i="1" s="1"/>
  <c r="T21" i="1" s="1"/>
  <c r="AB9" i="1"/>
  <c r="AC9" i="1" s="1"/>
  <c r="T9" i="1" s="1"/>
  <c r="AB34" i="1"/>
  <c r="AC34" i="1" s="1"/>
  <c r="T34" i="1" s="1"/>
  <c r="AB27" i="1"/>
  <c r="AC27" i="1" s="1"/>
  <c r="T27" i="1" s="1"/>
  <c r="AA207" i="1"/>
  <c r="AB207" i="1" s="1"/>
  <c r="AC207" i="1" s="1"/>
  <c r="T207" i="1" s="1"/>
  <c r="AB193" i="1"/>
  <c r="AC193" i="1" s="1"/>
  <c r="T193" i="1" s="1"/>
  <c r="AB184" i="1"/>
  <c r="AC184" i="1" s="1"/>
  <c r="T184" i="1" s="1"/>
  <c r="AB168" i="1"/>
  <c r="AC168" i="1" s="1"/>
  <c r="T168" i="1" s="1"/>
  <c r="AB159" i="1"/>
  <c r="AC159" i="1" s="1"/>
  <c r="T159" i="1" s="1"/>
  <c r="AB154" i="1"/>
  <c r="AC154" i="1" s="1"/>
  <c r="T154" i="1" s="1"/>
  <c r="AB151" i="1"/>
  <c r="AC151" i="1" s="1"/>
  <c r="T151" i="1" s="1"/>
  <c r="AB104" i="1"/>
  <c r="AC104" i="1" s="1"/>
  <c r="T104" i="1" s="1"/>
  <c r="AB82" i="1"/>
  <c r="AC82" i="1" s="1"/>
  <c r="T82" i="1" s="1"/>
  <c r="AB74" i="1"/>
  <c r="AC74" i="1" s="1"/>
  <c r="T74" i="1" s="1"/>
  <c r="AB56" i="1"/>
  <c r="AC56" i="1" s="1"/>
  <c r="T56" i="1" s="1"/>
  <c r="AB38" i="1"/>
  <c r="AC38" i="1" s="1"/>
  <c r="T38" i="1" s="1"/>
  <c r="AB20" i="1"/>
  <c r="AC20" i="1" s="1"/>
  <c r="T20" i="1" s="1"/>
  <c r="AB3" i="1"/>
  <c r="AC3" i="1" s="1"/>
  <c r="T3" i="1" s="1"/>
  <c r="AB220" i="1"/>
  <c r="AC220" i="1" s="1"/>
  <c r="T220" i="1" s="1"/>
  <c r="AB218" i="1"/>
  <c r="AC218" i="1" s="1"/>
  <c r="T218" i="1" s="1"/>
  <c r="AB219" i="1"/>
  <c r="AC219" i="1" s="1"/>
  <c r="T219" i="1" s="1"/>
  <c r="AB169" i="1"/>
  <c r="AC169" i="1" s="1"/>
  <c r="T169" i="1" s="1"/>
  <c r="AB215" i="1"/>
  <c r="AC215" i="1" s="1"/>
  <c r="T215" i="1" s="1"/>
  <c r="AB212" i="1"/>
  <c r="AC212" i="1" s="1"/>
  <c r="T212" i="1" s="1"/>
  <c r="W250" i="1"/>
  <c r="W7" i="1"/>
  <c r="W127" i="1"/>
  <c r="H17" i="1" l="1"/>
  <c r="A17" i="1" s="1"/>
  <c r="H18" i="1"/>
  <c r="A18" i="1" s="1"/>
  <c r="AB100" i="1"/>
  <c r="AC100" i="1" s="1"/>
  <c r="T100" i="1" s="1"/>
  <c r="W251" i="1"/>
  <c r="W128" i="1"/>
  <c r="W8" i="1"/>
  <c r="H10" i="1" l="1"/>
  <c r="A10" i="1" s="1"/>
  <c r="H21" i="1"/>
  <c r="A21" i="1" s="1"/>
  <c r="H26" i="1"/>
  <c r="A26" i="1" s="1"/>
  <c r="H27" i="1"/>
  <c r="A27" i="1" s="1"/>
  <c r="W252" i="1"/>
  <c r="W9" i="1"/>
  <c r="W129" i="1"/>
  <c r="W130" i="1"/>
  <c r="H19" i="1" l="1"/>
  <c r="A19" i="1" s="1"/>
  <c r="W19" i="1" s="1"/>
  <c r="H28" i="1"/>
  <c r="A28" i="1" s="1"/>
  <c r="H23" i="1"/>
  <c r="A23" i="1" s="1"/>
  <c r="W253" i="1"/>
  <c r="W10" i="1"/>
  <c r="W11" i="1"/>
  <c r="W131" i="1"/>
  <c r="H20" i="1" l="1"/>
  <c r="A20" i="1" s="1"/>
  <c r="H30" i="1"/>
  <c r="A30" i="1" s="1"/>
  <c r="W254" i="1"/>
  <c r="W132" i="1"/>
  <c r="W20" i="1"/>
  <c r="W133" i="1"/>
  <c r="W134" i="1" s="1"/>
  <c r="W135" i="1" s="1"/>
  <c r="W12" i="1"/>
  <c r="H25" i="1" l="1"/>
  <c r="A25" i="1" s="1"/>
  <c r="H29" i="1"/>
  <c r="A29" i="1" s="1"/>
  <c r="H31" i="1"/>
  <c r="A31" i="1" s="1"/>
  <c r="W30" i="1"/>
  <c r="W255" i="1"/>
  <c r="W21" i="1"/>
  <c r="W13" i="1"/>
  <c r="H34" i="1" l="1"/>
  <c r="A34" i="1" s="1"/>
  <c r="W256" i="1"/>
  <c r="W31" i="1"/>
  <c r="W14" i="1"/>
  <c r="W22" i="1"/>
  <c r="H36" i="1" l="1"/>
  <c r="A36" i="1" s="1"/>
  <c r="W257" i="1"/>
  <c r="W32" i="1"/>
  <c r="W15" i="1"/>
  <c r="W23" i="1"/>
  <c r="H38" i="1" l="1"/>
  <c r="A38" i="1" s="1"/>
  <c r="H43" i="1"/>
  <c r="A43" i="1" s="1"/>
  <c r="W258" i="1"/>
  <c r="W26" i="1"/>
  <c r="W24" i="1"/>
  <c r="W33" i="1"/>
  <c r="W16" i="1"/>
  <c r="H42" i="1" l="1"/>
  <c r="A42" i="1" s="1"/>
  <c r="W27" i="1"/>
  <c r="W25" i="1"/>
  <c r="W17" i="1"/>
  <c r="W34" i="1"/>
  <c r="H47" i="1" l="1"/>
  <c r="A47" i="1" s="1"/>
  <c r="H45" i="1"/>
  <c r="A45" i="1" s="1"/>
  <c r="W28" i="1"/>
  <c r="W18" i="1"/>
  <c r="W35" i="1"/>
  <c r="H49" i="1" l="1"/>
  <c r="A49" i="1" s="1"/>
  <c r="H48" i="1"/>
  <c r="A48" i="1" s="1"/>
  <c r="W40" i="1"/>
  <c r="W29" i="1"/>
  <c r="W42" i="1"/>
  <c r="W36" i="1"/>
  <c r="W41" i="1"/>
  <c r="H50" i="1" l="1"/>
  <c r="A50" i="1" s="1"/>
  <c r="H51" i="1"/>
  <c r="A51" i="1" s="1"/>
  <c r="H52" i="1"/>
  <c r="A52" i="1" s="1"/>
  <c r="W43" i="1"/>
  <c r="W45" i="1"/>
  <c r="W44" i="1"/>
  <c r="W37" i="1"/>
  <c r="H53" i="1" l="1"/>
  <c r="A53" i="1" s="1"/>
  <c r="W47" i="1"/>
  <c r="W38" i="1"/>
  <c r="H54" i="1" l="1"/>
  <c r="A54" i="1" s="1"/>
  <c r="H56" i="1"/>
  <c r="A56" i="1" s="1"/>
  <c r="W39" i="1"/>
  <c r="W48" i="1"/>
  <c r="H55" i="1" l="1"/>
  <c r="A55" i="1" s="1"/>
  <c r="W49" i="1"/>
  <c r="H57" i="1" l="1"/>
  <c r="A57" i="1" s="1"/>
  <c r="H77" i="1"/>
  <c r="A77" i="1" s="1"/>
  <c r="W50" i="1"/>
  <c r="H58" i="1" l="1"/>
  <c r="A58" i="1" s="1"/>
  <c r="H79" i="1"/>
  <c r="A79" i="1" s="1"/>
  <c r="W51" i="1"/>
  <c r="H59" i="1" l="1"/>
  <c r="A59" i="1" s="1"/>
  <c r="H84" i="1"/>
  <c r="A84" i="1" s="1"/>
  <c r="W52" i="1"/>
  <c r="H60" i="1" l="1"/>
  <c r="A60" i="1" s="1"/>
  <c r="H86" i="1"/>
  <c r="A86" i="1" s="1"/>
  <c r="W53" i="1"/>
  <c r="H63" i="1" l="1"/>
  <c r="A63" i="1" s="1"/>
  <c r="H61" i="1"/>
  <c r="A61" i="1" s="1"/>
  <c r="W54" i="1"/>
  <c r="H65" i="1" l="1"/>
  <c r="A65" i="1" s="1"/>
  <c r="H69" i="1"/>
  <c r="A69" i="1" s="1"/>
  <c r="H95" i="1"/>
  <c r="A95" i="1" s="1"/>
  <c r="W55" i="1"/>
  <c r="H104" i="1" l="1"/>
  <c r="A104" i="1" s="1"/>
  <c r="W63" i="1"/>
  <c r="W56" i="1"/>
  <c r="H106" i="1" l="1"/>
  <c r="A106" i="1" s="1"/>
  <c r="W64" i="1"/>
  <c r="W57" i="1"/>
  <c r="H72" i="1" l="1"/>
  <c r="A72" i="1" s="1"/>
  <c r="H146" i="1"/>
  <c r="A146" i="1" s="1"/>
  <c r="W65" i="1"/>
  <c r="W58" i="1"/>
  <c r="H82" i="1" l="1"/>
  <c r="A82" i="1" s="1"/>
  <c r="W67" i="1"/>
  <c r="W68" i="1"/>
  <c r="W59" i="1"/>
  <c r="W66" i="1"/>
  <c r="H83" i="1" l="1"/>
  <c r="A83" i="1" s="1"/>
  <c r="H154" i="1"/>
  <c r="A154" i="1" s="1"/>
  <c r="W69" i="1"/>
  <c r="W60" i="1"/>
  <c r="H93" i="1" l="1"/>
  <c r="A93" i="1" s="1"/>
  <c r="H161" i="1"/>
  <c r="A161" i="1" s="1"/>
  <c r="W70" i="1"/>
  <c r="W71" i="1"/>
  <c r="W61" i="1"/>
  <c r="H167" i="1" l="1"/>
  <c r="A167" i="1" s="1"/>
  <c r="W62" i="1"/>
  <c r="W72" i="1"/>
  <c r="H111" i="1" l="1"/>
  <c r="A111" i="1" s="1"/>
  <c r="W78" i="1"/>
  <c r="W73" i="1"/>
  <c r="H113" i="1" l="1"/>
  <c r="A113" i="1" s="1"/>
  <c r="H149" i="1"/>
  <c r="A149" i="1" s="1"/>
  <c r="H187" i="1"/>
  <c r="A187" i="1" s="1"/>
  <c r="W79" i="1"/>
  <c r="W74" i="1"/>
  <c r="H151" i="1" l="1"/>
  <c r="A151" i="1" s="1"/>
  <c r="H189" i="1"/>
  <c r="A189" i="1" s="1"/>
  <c r="W145" i="1"/>
  <c r="W97" i="1"/>
  <c r="W98" i="1"/>
  <c r="W99" i="1"/>
  <c r="W75" i="1"/>
  <c r="W80" i="1"/>
  <c r="H155" i="1" l="1"/>
  <c r="A155" i="1" s="1"/>
  <c r="H195" i="1"/>
  <c r="A195" i="1" s="1"/>
  <c r="W146" i="1"/>
  <c r="W81" i="1"/>
  <c r="W100" i="1"/>
  <c r="W101" i="1"/>
  <c r="W76" i="1"/>
  <c r="H159" i="1" l="1"/>
  <c r="A159" i="1" s="1"/>
  <c r="H200" i="1"/>
  <c r="A200" i="1" s="1"/>
  <c r="W176" i="1"/>
  <c r="W159" i="1"/>
  <c r="W147" i="1"/>
  <c r="W82" i="1"/>
  <c r="W102" i="1"/>
  <c r="W77" i="1"/>
  <c r="H164" i="1" l="1"/>
  <c r="A164" i="1" s="1"/>
  <c r="H202" i="1"/>
  <c r="A202" i="1" s="1"/>
  <c r="W160" i="1"/>
  <c r="W161" i="1"/>
  <c r="W148" i="1"/>
  <c r="W83" i="1"/>
  <c r="W103" i="1"/>
  <c r="H175" i="1" l="1"/>
  <c r="A175" i="1" s="1"/>
  <c r="H204" i="1"/>
  <c r="A204" i="1" s="1"/>
  <c r="W149" i="1"/>
  <c r="W162" i="1"/>
  <c r="W84" i="1"/>
  <c r="W104" i="1"/>
  <c r="H177" i="1" l="1"/>
  <c r="A177" i="1" s="1"/>
  <c r="H209" i="1"/>
  <c r="A209" i="1" s="1"/>
  <c r="W177" i="1"/>
  <c r="W150" i="1"/>
  <c r="W163" i="1"/>
  <c r="W164" i="1" s="1"/>
  <c r="W178" i="1"/>
  <c r="W105" i="1"/>
  <c r="W85" i="1"/>
  <c r="H181" i="1" l="1"/>
  <c r="A181" i="1" s="1"/>
  <c r="W181" i="1" s="1"/>
  <c r="W212" i="1"/>
  <c r="W182" i="1"/>
  <c r="W179" i="1"/>
  <c r="W165" i="1"/>
  <c r="W151" i="1"/>
  <c r="W106" i="1"/>
  <c r="W86" i="1"/>
  <c r="H184" i="1" l="1"/>
  <c r="A184" i="1" s="1"/>
  <c r="W166" i="1"/>
  <c r="W152" i="1"/>
  <c r="W107" i="1"/>
  <c r="W87" i="1"/>
  <c r="H191" i="1" l="1"/>
  <c r="A191" i="1" s="1"/>
  <c r="AD59" i="1"/>
  <c r="AD50" i="1"/>
  <c r="AD30" i="1"/>
  <c r="AD28" i="1"/>
  <c r="X215" i="1"/>
  <c r="AD214" i="1"/>
  <c r="AD195" i="1"/>
  <c r="AD187" i="1"/>
  <c r="AD34" i="1"/>
  <c r="AD23" i="1"/>
  <c r="AD36" i="1"/>
  <c r="AD38" i="1"/>
  <c r="AD146" i="1"/>
  <c r="AD154" i="1"/>
  <c r="AD161" i="1"/>
  <c r="AD167" i="1"/>
  <c r="X176" i="1"/>
  <c r="AD204" i="1"/>
  <c r="AD217" i="1"/>
  <c r="AD209" i="1"/>
  <c r="AD202" i="1"/>
  <c r="AD86" i="1"/>
  <c r="AD104" i="1"/>
  <c r="AD189" i="1"/>
  <c r="AD200" i="1"/>
  <c r="W186" i="1"/>
  <c r="W184" i="1"/>
  <c r="W153" i="1"/>
  <c r="W167" i="1"/>
  <c r="W108" i="1"/>
  <c r="W109" i="1"/>
  <c r="W88" i="1"/>
  <c r="H194" i="1" l="1"/>
  <c r="A194" i="1" s="1"/>
  <c r="W172" i="1"/>
  <c r="W187" i="1"/>
  <c r="W168" i="1"/>
  <c r="W154" i="1"/>
  <c r="W89" i="1"/>
  <c r="W110" i="1"/>
  <c r="H196" i="1" l="1"/>
  <c r="A196" i="1" s="1"/>
  <c r="W188" i="1"/>
  <c r="W173" i="1"/>
  <c r="W169" i="1"/>
  <c r="W155" i="1"/>
  <c r="W174" i="1"/>
  <c r="W175" i="1" s="1"/>
  <c r="W111" i="1"/>
  <c r="W90" i="1"/>
  <c r="H198" i="1" l="1"/>
  <c r="A198" i="1" s="1"/>
  <c r="W189" i="1"/>
  <c r="W170" i="1"/>
  <c r="W156" i="1"/>
  <c r="W112" i="1"/>
  <c r="W91" i="1"/>
  <c r="H203" i="1" l="1"/>
  <c r="A203" i="1" s="1"/>
  <c r="W201" i="1"/>
  <c r="W200" i="1"/>
  <c r="W202" i="1"/>
  <c r="W190" i="1"/>
  <c r="W171" i="1"/>
  <c r="W157" i="1"/>
  <c r="W158" i="1" s="1"/>
  <c r="W113" i="1"/>
  <c r="W92" i="1"/>
  <c r="H205" i="1" l="1"/>
  <c r="A205" i="1" s="1"/>
  <c r="W203" i="1"/>
  <c r="W191" i="1"/>
  <c r="W114" i="1"/>
  <c r="W93" i="1"/>
  <c r="H208" i="1" l="1"/>
  <c r="A208" i="1" s="1"/>
  <c r="W192" i="1"/>
  <c r="W204" i="1"/>
  <c r="W115" i="1"/>
  <c r="W94" i="1"/>
  <c r="H211" i="1" l="1"/>
  <c r="A211" i="1" s="1"/>
  <c r="W193" i="1"/>
  <c r="W194" i="1"/>
  <c r="W205" i="1"/>
  <c r="W116" i="1"/>
  <c r="W95" i="1"/>
  <c r="H213" i="1" l="1"/>
  <c r="A213" i="1" s="1"/>
  <c r="W211" i="1"/>
  <c r="W206" i="1"/>
  <c r="W207" i="1"/>
  <c r="W195" i="1"/>
  <c r="W117" i="1"/>
  <c r="W96" i="1"/>
  <c r="H216" i="1" l="1"/>
  <c r="A216" i="1" s="1"/>
  <c r="W208" i="1"/>
  <c r="W209" i="1"/>
  <c r="W196" i="1"/>
  <c r="W213" i="1"/>
  <c r="W118" i="1"/>
  <c r="W216" i="1" l="1"/>
  <c r="H218" i="1"/>
  <c r="A218" i="1" s="1"/>
  <c r="W197" i="1"/>
  <c r="W217" i="1"/>
  <c r="W198" i="1"/>
  <c r="W214" i="1"/>
  <c r="W210" i="1"/>
  <c r="W119" i="1"/>
  <c r="W218" i="1" l="1"/>
  <c r="H220" i="1"/>
  <c r="A220" i="1" s="1"/>
  <c r="W199" i="1"/>
  <c r="W120" i="1"/>
  <c r="W220" i="1" l="1"/>
  <c r="H223" i="1"/>
  <c r="A223" i="1" s="1"/>
  <c r="H226" i="1"/>
  <c r="A226" i="1" s="1"/>
  <c r="W221" i="1"/>
  <c r="W222" i="1"/>
  <c r="W223" i="1"/>
  <c r="W121" i="1"/>
  <c r="X200" i="1" l="1"/>
  <c r="AD196" i="1"/>
  <c r="AD149" i="1"/>
  <c r="AD194" i="1"/>
  <c r="AD8" i="1"/>
  <c r="AD55" i="1"/>
  <c r="AD65" i="1"/>
  <c r="AD159" i="1"/>
  <c r="AD164" i="1"/>
  <c r="AD155" i="1"/>
  <c r="AD151" i="1"/>
  <c r="X181" i="1"/>
  <c r="AD184" i="1"/>
  <c r="AD113" i="1"/>
  <c r="X182" i="1"/>
  <c r="AD49" i="1"/>
  <c r="AD191" i="1"/>
  <c r="X30" i="1"/>
  <c r="AD198" i="1"/>
  <c r="AD63" i="1"/>
  <c r="AD203" i="1"/>
  <c r="AD208" i="1"/>
  <c r="X211" i="1"/>
  <c r="X218" i="1"/>
  <c r="AD211" i="1"/>
  <c r="AD213" i="1"/>
  <c r="AD220" i="1"/>
  <c r="AD205" i="1"/>
  <c r="AD223" i="1"/>
  <c r="AD226" i="1"/>
  <c r="X220" i="1"/>
  <c r="AD218" i="1"/>
  <c r="W224" i="1"/>
  <c r="W122" i="1"/>
  <c r="W225" i="1" l="1"/>
  <c r="W123" i="1"/>
  <c r="W226" i="1" l="1"/>
  <c r="W124" i="1"/>
  <c r="W227" i="1" l="1"/>
  <c r="W228" i="1"/>
  <c r="W125" i="1"/>
  <c r="W229" i="1" l="1"/>
  <c r="W230" i="1" l="1"/>
  <c r="W231" i="1"/>
  <c r="W232" i="1"/>
  <c r="W233" i="1" l="1"/>
  <c r="W234" i="1" l="1"/>
  <c r="AD98" i="1" l="1"/>
  <c r="AD109" i="1"/>
  <c r="AD82" i="1"/>
  <c r="AD84" i="1"/>
  <c r="AD70" i="1"/>
  <c r="AD79" i="1"/>
  <c r="X41" i="1"/>
  <c r="AD68" i="1"/>
  <c r="AD45" i="1"/>
  <c r="AD48" i="1"/>
  <c r="AD43" i="1"/>
  <c r="X43" i="1"/>
  <c r="AD40" i="1"/>
  <c r="X40" i="1"/>
  <c r="AD11" i="1"/>
  <c r="AD25" i="1"/>
  <c r="X5" i="1"/>
  <c r="AD9" i="1"/>
  <c r="AD133" i="1"/>
  <c r="X133" i="1"/>
  <c r="X98" i="1"/>
  <c r="X109" i="1"/>
  <c r="X91" i="1"/>
  <c r="X89" i="1"/>
  <c r="X90" i="1"/>
  <c r="X88" i="1"/>
  <c r="AD97" i="1"/>
  <c r="AD108" i="1"/>
  <c r="AD93" i="1"/>
  <c r="AD95" i="1"/>
  <c r="X68" i="1"/>
  <c r="X82" i="1"/>
  <c r="AD64" i="1"/>
  <c r="AD67" i="1"/>
  <c r="AD53" i="1"/>
  <c r="AD61" i="1"/>
  <c r="AD47" i="1"/>
  <c r="AD51" i="1"/>
  <c r="AD37" i="1"/>
  <c r="X24" i="1"/>
  <c r="AD27" i="1"/>
  <c r="X174" i="1"/>
  <c r="X179" i="1"/>
  <c r="X168" i="1"/>
  <c r="AD173" i="1"/>
  <c r="AD160" i="1"/>
  <c r="X162" i="1"/>
  <c r="X165" i="1"/>
  <c r="AD143" i="1"/>
  <c r="X144" i="1"/>
  <c r="X156" i="1"/>
  <c r="X149" i="1"/>
  <c r="X138" i="1"/>
  <c r="AD141" i="1"/>
  <c r="AD136" i="1"/>
  <c r="AD138" i="1"/>
  <c r="AD129" i="1"/>
  <c r="X130" i="1"/>
  <c r="AD120" i="1"/>
  <c r="AD127" i="1"/>
  <c r="X115" i="1"/>
  <c r="AD117" i="1"/>
  <c r="X97" i="1"/>
  <c r="AD114" i="1"/>
  <c r="X108" i="1"/>
  <c r="X96" i="1"/>
  <c r="AD111" i="1"/>
  <c r="X104" i="1"/>
  <c r="AD106" i="1"/>
  <c r="AD100" i="1"/>
  <c r="AD103" i="1"/>
  <c r="AD94" i="1"/>
  <c r="AD96" i="1"/>
  <c r="X86" i="1"/>
  <c r="AD92" i="1"/>
  <c r="AD77" i="1"/>
  <c r="AD81" i="1"/>
  <c r="AD74" i="1"/>
  <c r="X75" i="1"/>
  <c r="X65" i="1"/>
  <c r="X71" i="1"/>
  <c r="AD60" i="1"/>
  <c r="AD62" i="1"/>
  <c r="AD57" i="1"/>
  <c r="X57" i="1"/>
  <c r="AD54" i="1"/>
  <c r="X55" i="1"/>
  <c r="X38" i="1"/>
  <c r="AD52" i="1"/>
  <c r="AD33" i="1"/>
  <c r="AD35" i="1"/>
  <c r="AD26" i="1"/>
  <c r="AD29" i="1"/>
  <c r="AD14" i="1"/>
  <c r="X234" i="1"/>
  <c r="X231" i="1"/>
  <c r="X245" i="1"/>
  <c r="X192" i="1"/>
  <c r="X204" i="1"/>
  <c r="X73" i="1"/>
  <c r="X202" i="1"/>
  <c r="X94" i="1"/>
  <c r="X77" i="1"/>
  <c r="X83" i="1"/>
  <c r="AD58" i="1"/>
  <c r="X56" i="1"/>
  <c r="X12" i="1"/>
  <c r="X191" i="1"/>
  <c r="AD72" i="1"/>
  <c r="X198" i="1"/>
  <c r="X251" i="1"/>
  <c r="X136" i="1"/>
  <c r="X118" i="1"/>
  <c r="X129" i="1"/>
  <c r="X15" i="1"/>
  <c r="X22" i="1"/>
  <c r="X110" i="1"/>
  <c r="X145" i="1"/>
  <c r="X177" i="1"/>
  <c r="AD69" i="1"/>
  <c r="X160" i="1"/>
  <c r="X126" i="1"/>
  <c r="AD212" i="1"/>
  <c r="AD76" i="1"/>
  <c r="X84" i="1"/>
  <c r="X230" i="1"/>
  <c r="X158" i="1"/>
  <c r="X254" i="1"/>
  <c r="AD56" i="1"/>
  <c r="X201" i="1"/>
  <c r="X164" i="1"/>
  <c r="X51" i="1"/>
  <c r="AD6" i="1"/>
  <c r="X195" i="1"/>
  <c r="X26" i="1"/>
  <c r="X58" i="1"/>
  <c r="X9" i="1"/>
  <c r="AD3" i="1"/>
  <c r="X31" i="1"/>
  <c r="X249" i="1"/>
  <c r="X49" i="1"/>
  <c r="AD260" i="1"/>
  <c r="X225" i="1"/>
  <c r="X69" i="1"/>
  <c r="X25" i="1"/>
  <c r="X111" i="1"/>
  <c r="X167" i="1"/>
  <c r="AD19" i="1"/>
  <c r="X125" i="1"/>
  <c r="X123" i="1"/>
  <c r="X199" i="1"/>
  <c r="X34" i="1"/>
  <c r="X53" i="1"/>
  <c r="AD181" i="1"/>
  <c r="AD216" i="1"/>
  <c r="X175" i="1"/>
  <c r="X239" i="1"/>
  <c r="X223" i="1"/>
  <c r="X6" i="1"/>
  <c r="X224" i="1"/>
  <c r="X19" i="1"/>
  <c r="X148" i="1"/>
  <c r="X216" i="1"/>
  <c r="X252" i="1"/>
  <c r="AD179" i="1"/>
  <c r="X183" i="1"/>
  <c r="X243" i="1"/>
  <c r="AD201" i="1"/>
  <c r="X60" i="1"/>
  <c r="X157" i="1"/>
  <c r="X122" i="1"/>
  <c r="X45" i="1"/>
  <c r="AD44" i="1"/>
  <c r="X29" i="1"/>
  <c r="AD221" i="1"/>
  <c r="X50" i="1"/>
  <c r="X128" i="1"/>
  <c r="AD21" i="1"/>
  <c r="X241" i="1"/>
  <c r="X246" i="1"/>
  <c r="X76" i="1"/>
  <c r="X137" i="1"/>
  <c r="X226" i="1"/>
  <c r="X203" i="1"/>
  <c r="AD31" i="1"/>
  <c r="X187" i="1"/>
  <c r="X70" i="1"/>
  <c r="X208" i="1"/>
  <c r="X95" i="1"/>
  <c r="X127" i="1"/>
  <c r="X184" i="1"/>
  <c r="AD241" i="1"/>
  <c r="X189" i="1"/>
  <c r="X209" i="1"/>
  <c r="X237" i="1"/>
  <c r="AD99" i="1"/>
  <c r="AD157" i="1"/>
  <c r="X102" i="1"/>
  <c r="X169" i="1"/>
  <c r="X212" i="1"/>
  <c r="X248" i="1"/>
  <c r="X210" i="1"/>
  <c r="X228" i="1"/>
  <c r="X186" i="1"/>
  <c r="AD66" i="1"/>
  <c r="X143" i="1"/>
  <c r="X27" i="1"/>
  <c r="X159" i="1"/>
  <c r="X166" i="1"/>
  <c r="AD186" i="1"/>
  <c r="X150" i="1"/>
  <c r="X207" i="1"/>
  <c r="X80" i="1"/>
  <c r="X233" i="1"/>
  <c r="X227" i="1"/>
  <c r="AD17" i="1"/>
  <c r="AD245" i="1"/>
  <c r="X72" i="1"/>
  <c r="X121" i="1"/>
  <c r="X107" i="1"/>
  <c r="X193" i="1"/>
  <c r="X101" i="1"/>
  <c r="X190" i="1"/>
  <c r="X48" i="1"/>
  <c r="X151" i="1"/>
  <c r="X173" i="1"/>
  <c r="X113" i="1"/>
  <c r="AD169" i="1"/>
  <c r="X163" i="1"/>
  <c r="AD243" i="1"/>
  <c r="AD219" i="1"/>
  <c r="X255" i="1"/>
  <c r="AD131" i="1"/>
  <c r="X66" i="1"/>
  <c r="X106" i="1"/>
  <c r="X213" i="1"/>
  <c r="AD39" i="1"/>
  <c r="X147" i="1"/>
  <c r="X236" i="1"/>
  <c r="AD177" i="1"/>
  <c r="X42" i="1"/>
  <c r="AD116" i="1"/>
  <c r="X112" i="1"/>
  <c r="X87" i="1"/>
  <c r="X232" i="1"/>
  <c r="X256" i="1"/>
  <c r="X120" i="1"/>
  <c r="AD42" i="1"/>
  <c r="X64" i="1"/>
  <c r="X100" i="1"/>
  <c r="X146" i="1"/>
  <c r="X36" i="1"/>
  <c r="X139" i="1"/>
  <c r="X260" i="1"/>
  <c r="X171" i="1"/>
  <c r="X188" i="1"/>
  <c r="X142" i="1"/>
  <c r="X23" i="1"/>
  <c r="AD236" i="1"/>
  <c r="X35" i="1"/>
  <c r="AD105" i="1"/>
  <c r="X217" i="1"/>
  <c r="X221" i="1"/>
  <c r="X78" i="1"/>
  <c r="X135" i="1"/>
  <c r="X253" i="1"/>
  <c r="X92" i="1"/>
  <c r="X93" i="1"/>
  <c r="AD166" i="1"/>
  <c r="X155" i="1"/>
  <c r="X154" i="1"/>
  <c r="X67" i="1"/>
  <c r="AD134" i="1"/>
  <c r="X79" i="1"/>
  <c r="X196" i="1"/>
  <c r="X261" i="1"/>
  <c r="X214" i="1"/>
  <c r="X197" i="1"/>
  <c r="X194" i="1"/>
  <c r="AD87" i="1"/>
  <c r="X141" i="1"/>
  <c r="X85" i="1"/>
  <c r="X52" i="1"/>
  <c r="X61" i="1"/>
  <c r="X21" i="1"/>
  <c r="X229" i="1"/>
  <c r="X153" i="1"/>
  <c r="AD183" i="1"/>
  <c r="X32" i="1"/>
  <c r="X258" i="1"/>
  <c r="X205" i="1"/>
  <c r="X132" i="1"/>
  <c r="AD175" i="1"/>
  <c r="X99" i="1"/>
  <c r="X54" i="1"/>
  <c r="X170" i="1"/>
  <c r="X152" i="1"/>
  <c r="X28" i="1"/>
  <c r="X37" i="1"/>
  <c r="X250" i="1"/>
  <c r="AD163" i="1"/>
  <c r="X238" i="1"/>
  <c r="AD145" i="1"/>
  <c r="X62" i="1"/>
  <c r="X114" i="1"/>
  <c r="X219" i="1"/>
  <c r="AD139" i="1"/>
  <c r="X39" i="1"/>
  <c r="X74" i="1"/>
  <c r="X172" i="1"/>
  <c r="AD83" i="1"/>
  <c r="X116" i="1"/>
  <c r="X81" i="1"/>
  <c r="X117" i="1"/>
  <c r="X105" i="1"/>
  <c r="X59" i="1"/>
  <c r="AD150" i="1"/>
  <c r="X3" i="1"/>
  <c r="X247" i="1"/>
  <c r="X257" i="1"/>
  <c r="X44" i="1"/>
  <c r="X178" i="1"/>
  <c r="X161" i="1"/>
  <c r="X119" i="1"/>
  <c r="X63" i="1"/>
  <c r="X134" i="1"/>
  <c r="X206" i="1"/>
  <c r="X103" i="1"/>
  <c r="X124" i="1"/>
  <c r="X131" i="1"/>
  <c r="X47" i="1"/>
  <c r="X33" i="1"/>
  <c r="X222" i="1"/>
  <c r="AD16" i="1" l="1"/>
  <c r="X13" i="1"/>
  <c r="X10" i="1"/>
  <c r="X8" i="1"/>
  <c r="X4" i="1"/>
  <c r="X20" i="1"/>
  <c r="AD18" i="1"/>
  <c r="AD4" i="1"/>
  <c r="X17" i="1"/>
  <c r="X16" i="1"/>
  <c r="AD7" i="1"/>
  <c r="AD20" i="1"/>
  <c r="X18" i="1"/>
  <c r="AD13" i="1"/>
  <c r="X7" i="1"/>
  <c r="X14" i="1"/>
  <c r="AD10" i="1"/>
  <c r="X11" i="1"/>
  <c r="A1" i="2"/>
  <c r="E1" i="2" l="1"/>
  <c r="D5" i="2"/>
  <c r="D7" i="2"/>
  <c r="D45" i="2" s="1"/>
  <c r="D83" i="2" s="1"/>
  <c r="E3" i="2"/>
  <c r="E41" i="2" s="1"/>
  <c r="E79" i="2" s="1"/>
  <c r="G1" i="2"/>
  <c r="D43" i="2" l="1"/>
  <c r="D81" i="2" s="1"/>
  <c r="C11" i="2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V36" i="4"/>
  <c r="X36" i="4"/>
  <c r="W36" i="4"/>
  <c r="L36" i="4" l="1"/>
  <c r="H46" i="4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H37" i="4"/>
  <c r="O37" i="4"/>
  <c r="K37" i="4"/>
  <c r="M37" i="4" s="1"/>
  <c r="E37" i="4"/>
  <c r="N34" i="4"/>
  <c r="F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U36" i="4"/>
  <c r="T10" i="4"/>
  <c r="T9" i="4"/>
  <c r="L38" i="4" l="1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T39" i="4"/>
  <c r="T7" i="4"/>
  <c r="T40" i="4"/>
  <c r="T21" i="4"/>
  <c r="T13" i="4"/>
  <c r="T8" i="4"/>
  <c r="T56" i="4"/>
  <c r="X40" i="4"/>
  <c r="V40" i="4"/>
  <c r="U16" i="4"/>
  <c r="W8" i="4"/>
  <c r="U39" i="4"/>
  <c r="T24" i="4"/>
  <c r="T34" i="4"/>
  <c r="T38" i="4"/>
  <c r="X24" i="4"/>
  <c r="T54" i="4"/>
  <c r="T20" i="4"/>
  <c r="W7" i="4"/>
  <c r="T42" i="4"/>
  <c r="V42" i="4"/>
  <c r="V16" i="4"/>
  <c r="X56" i="4"/>
  <c r="W34" i="4"/>
  <c r="V20" i="4"/>
  <c r="X13" i="4"/>
  <c r="W38" i="4"/>
  <c r="W24" i="4"/>
  <c r="U42" i="4"/>
  <c r="V56" i="4"/>
  <c r="U10" i="4"/>
  <c r="V7" i="4"/>
  <c r="U9" i="4"/>
  <c r="T6" i="4"/>
  <c r="V10" i="4"/>
  <c r="W13" i="4"/>
  <c r="W9" i="4"/>
  <c r="X9" i="4"/>
  <c r="T41" i="4"/>
  <c r="U6" i="4"/>
  <c r="V21" i="4"/>
  <c r="T57" i="4"/>
  <c r="T33" i="4"/>
  <c r="V38" i="4"/>
  <c r="W16" i="4"/>
  <c r="W39" i="4"/>
  <c r="T11" i="4"/>
  <c r="W11" i="4"/>
  <c r="T37" i="4"/>
  <c r="T25" i="4"/>
  <c r="U25" i="4"/>
  <c r="X21" i="4"/>
  <c r="X38" i="4"/>
  <c r="X7" i="4"/>
  <c r="V8" i="4"/>
  <c r="U8" i="4"/>
  <c r="V54" i="4"/>
  <c r="V41" i="4"/>
  <c r="V34" i="4"/>
  <c r="W54" i="4"/>
  <c r="W20" i="4"/>
  <c r="W37" i="4"/>
  <c r="U11" i="4"/>
  <c r="V6" i="4"/>
  <c r="W41" i="4"/>
  <c r="U57" i="4"/>
  <c r="W33" i="4"/>
  <c r="V11" i="4"/>
  <c r="U37" i="4"/>
  <c r="V25" i="4"/>
  <c r="T17" i="4"/>
  <c r="W17" i="4" s="1"/>
  <c r="T30" i="4"/>
  <c r="T52" i="4"/>
  <c r="T55" i="4"/>
  <c r="V55" i="4"/>
  <c r="T15" i="4"/>
  <c r="X16" i="4"/>
  <c r="T14" i="4"/>
  <c r="U14" i="4" s="1"/>
  <c r="T31" i="4"/>
  <c r="T53" i="4"/>
  <c r="X31" i="4"/>
  <c r="V13" i="4"/>
  <c r="T26" i="4"/>
  <c r="W26" i="4" s="1"/>
  <c r="T35" i="4"/>
  <c r="T27" i="4"/>
  <c r="W30" i="4"/>
  <c r="T48" i="4"/>
  <c r="U7" i="4"/>
  <c r="U34" i="4"/>
  <c r="V9" i="4"/>
  <c r="T43" i="4"/>
  <c r="U43" i="4" s="1"/>
  <c r="U17" i="4"/>
  <c r="X17" i="4"/>
  <c r="T44" i="4"/>
  <c r="V44" i="4" s="1"/>
  <c r="U56" i="4"/>
  <c r="U40" i="4"/>
  <c r="X43" i="4"/>
  <c r="W15" i="4"/>
  <c r="W14" i="4"/>
  <c r="U21" i="4"/>
  <c r="X53" i="4"/>
  <c r="V43" i="4"/>
  <c r="V26" i="4"/>
  <c r="U35" i="4"/>
  <c r="V24" i="4"/>
  <c r="X34" i="4"/>
  <c r="U54" i="4"/>
  <c r="U20" i="4"/>
  <c r="X10" i="4"/>
  <c r="T28" i="4"/>
  <c r="W28" i="4" s="1"/>
  <c r="T46" i="4"/>
  <c r="T12" i="4"/>
  <c r="T32" i="4"/>
  <c r="V32" i="4" s="1"/>
  <c r="X39" i="4"/>
  <c r="W56" i="4"/>
  <c r="V39" i="4"/>
  <c r="T51" i="4"/>
  <c r="X14" i="4"/>
  <c r="U31" i="4"/>
  <c r="T23" i="4"/>
  <c r="T49" i="4"/>
  <c r="U46" i="4"/>
  <c r="U38" i="4"/>
  <c r="U55" i="4"/>
  <c r="V27" i="4"/>
  <c r="U26" i="4"/>
  <c r="X8" i="4"/>
  <c r="U28" i="4"/>
  <c r="V14" i="4"/>
  <c r="T50" i="4"/>
  <c r="T22" i="4"/>
  <c r="X22" i="4" s="1"/>
  <c r="U44" i="4"/>
  <c r="W31" i="4"/>
  <c r="X44" i="4"/>
  <c r="X26" i="4"/>
  <c r="U24" i="4"/>
  <c r="V48" i="4"/>
  <c r="W43" i="4"/>
  <c r="X42" i="4"/>
  <c r="U22" i="4"/>
  <c r="U32" i="4"/>
  <c r="V28" i="4"/>
  <c r="W6" i="4"/>
  <c r="X41" i="4"/>
  <c r="V51" i="4"/>
  <c r="U23" i="4"/>
  <c r="U49" i="4"/>
  <c r="X11" i="4"/>
  <c r="X37" i="4"/>
  <c r="X25" i="4"/>
  <c r="V50" i="4"/>
  <c r="T5" i="4"/>
  <c r="W42" i="4"/>
  <c r="W44" i="4"/>
  <c r="W10" i="4"/>
  <c r="T18" i="4"/>
  <c r="X30" i="4"/>
  <c r="T47" i="4"/>
  <c r="W32" i="4"/>
  <c r="V31" i="4"/>
  <c r="W12" i="4"/>
  <c r="U13" i="4"/>
  <c r="W21" i="4"/>
  <c r="T29" i="4"/>
  <c r="V17" i="4"/>
  <c r="T19" i="4"/>
  <c r="X6" i="4"/>
  <c r="W57" i="4"/>
  <c r="X57" i="4"/>
  <c r="T45" i="4"/>
  <c r="U47" i="4"/>
  <c r="W22" i="4"/>
  <c r="W51" i="4"/>
  <c r="U53" i="4"/>
  <c r="X54" i="4"/>
  <c r="X33" i="4"/>
  <c r="W40" i="4"/>
  <c r="W35" i="4"/>
  <c r="X27" i="4"/>
  <c r="U33" i="4"/>
  <c r="X20" i="4"/>
  <c r="W25" i="4"/>
  <c r="X28" i="4"/>
  <c r="X46" i="4"/>
  <c r="X32" i="4"/>
  <c r="U41" i="4"/>
  <c r="W29" i="4"/>
  <c r="V33" i="4"/>
  <c r="V37" i="4"/>
  <c r="X50" i="4"/>
  <c r="V22" i="4"/>
  <c r="V30" i="4"/>
  <c r="U30" i="4"/>
  <c r="X52" i="4"/>
  <c r="V52" i="4"/>
  <c r="W52" i="4"/>
  <c r="U52" i="4"/>
  <c r="X55" i="4"/>
  <c r="W55" i="4"/>
  <c r="U15" i="4"/>
  <c r="X15" i="4"/>
  <c r="V15" i="4"/>
  <c r="W53" i="4"/>
  <c r="V53" i="4"/>
  <c r="V35" i="4"/>
  <c r="X35" i="4"/>
  <c r="W27" i="4"/>
  <c r="U27" i="4"/>
  <c r="U48" i="4"/>
  <c r="W48" i="4"/>
  <c r="X48" i="4"/>
  <c r="W46" i="4"/>
  <c r="V46" i="4"/>
  <c r="U12" i="4"/>
  <c r="V12" i="4"/>
  <c r="U51" i="4"/>
  <c r="X51" i="4"/>
  <c r="X23" i="4"/>
  <c r="W23" i="4"/>
  <c r="W49" i="4"/>
  <c r="V49" i="4"/>
  <c r="U50" i="4"/>
  <c r="W50" i="4"/>
  <c r="U5" i="4"/>
  <c r="W5" i="4"/>
  <c r="X5" i="4"/>
  <c r="V5" i="4"/>
  <c r="U18" i="4"/>
  <c r="W18" i="4"/>
  <c r="X18" i="4"/>
  <c r="V18" i="4"/>
  <c r="V47" i="4"/>
  <c r="X47" i="4"/>
  <c r="V29" i="4"/>
  <c r="X29" i="4"/>
  <c r="U29" i="4"/>
  <c r="W19" i="4"/>
  <c r="U19" i="4"/>
  <c r="X19" i="4"/>
  <c r="V45" i="4"/>
  <c r="W45" i="4"/>
  <c r="X45" i="4"/>
  <c r="V19" i="4" l="1"/>
  <c r="W47" i="4"/>
  <c r="U45" i="4"/>
  <c r="V57" i="4"/>
  <c r="X12" i="4"/>
  <c r="X49" i="4"/>
  <c r="V23" i="4"/>
</calcChain>
</file>

<file path=xl/sharedStrings.xml><?xml version="1.0" encoding="utf-8"?>
<sst xmlns="http://schemas.openxmlformats.org/spreadsheetml/2006/main" count="543" uniqueCount="309">
  <si>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</si>
  <si>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</si>
  <si>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</si>
  <si>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</si>
  <si>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</si>
  <si>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</si>
  <si>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</si>
  <si>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</si>
  <si>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</si>
  <si>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</si>
  <si>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</si>
  <si>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</si>
  <si>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</si>
  <si>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</si>
  <si>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</si>
  <si>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</si>
  <si>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</si>
  <si>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</si>
  <si>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</si>
  <si>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</si>
  <si>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</si>
  <si>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</si>
  <si>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</si>
  <si>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</si>
  <si>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</si>
  <si>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</si>
  <si>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</si>
  <si>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</si>
  <si>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</si>
  <si>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</si>
  <si>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</si>
  <si>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</si>
  <si>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</si>
  <si>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</si>
  <si>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</si>
  <si>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</si>
  <si>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</si>
  <si>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</si>
  <si>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</si>
  <si>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</si>
  <si>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</si>
  <si>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</si>
  <si>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</si>
  <si>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</si>
  <si>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</si>
  <si>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</si>
  <si>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</si>
  <si>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</si>
  <si>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</si>
  <si>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</si>
  <si>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</si>
  <si>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</si>
  <si>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</si>
  <si>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</si>
  <si>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</si>
  <si>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</si>
  <si>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</si>
  <si>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</si>
  <si>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</si>
  <si>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</si>
  <si>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</si>
  <si>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</si>
  <si>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</si>
  <si>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</si>
  <si>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</si>
  <si>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</si>
  <si>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</si>
  <si>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</si>
  <si>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</si>
  <si>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</si>
  <si>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</si>
  <si>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</si>
  <si>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</si>
  <si>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</si>
  <si>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</si>
  <si>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</si>
  <si>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</si>
  <si>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</si>
  <si>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</si>
  <si>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</si>
  <si>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</si>
  <si>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</si>
  <si>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</si>
  <si>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</si>
  <si>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</si>
  <si>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</si>
  <si>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</si>
  <si>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</si>
  <si>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</si>
  <si>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</si>
  <si>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</si>
  <si>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</si>
  <si>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</si>
  <si>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</si>
  <si>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</si>
  <si>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</si>
  <si>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</si>
  <si>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</si>
  <si>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</si>
  <si>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</si>
  <si>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</si>
  <si>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</si>
  <si>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</si>
  <si>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</si>
  <si>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</si>
  <si>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</si>
  <si>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</si>
  <si>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</si>
  <si>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</si>
  <si>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</si>
  <si>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</si>
  <si>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</si>
  <si>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</si>
  <si>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</si>
  <si>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</si>
  <si>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</si>
  <si>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</si>
  <si>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</si>
  <si>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</si>
  <si>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</si>
  <si>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</si>
  <si>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</si>
  <si>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</si>
  <si>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</si>
  <si>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</si>
  <si>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</si>
  <si>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</si>
  <si>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</si>
  <si>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</si>
  <si>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</si>
  <si>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KO</t>
  </si>
  <si>
    <t>3644</t>
  </si>
  <si>
    <t>LSN</t>
  </si>
  <si>
    <t>STAKENHD10</t>
  </si>
  <si>
    <t>STAPLER KENKO HD-10</t>
  </si>
  <si>
    <t>NOVI / CONDRO</t>
  </si>
  <si>
    <t>3630</t>
  </si>
  <si>
    <t>PAK</t>
  </si>
  <si>
    <t>LS</t>
  </si>
  <si>
    <t>KARTU STOCK KWARTO 4 WARNA</t>
  </si>
  <si>
    <t>STAPLER SDI 1102</t>
  </si>
  <si>
    <t>NOVI / YO</t>
  </si>
  <si>
    <t>09-Hitung FP Keluar September 2023</t>
  </si>
  <si>
    <t>G</t>
  </si>
  <si>
    <t>3531</t>
  </si>
  <si>
    <t>TIPJKCT522</t>
  </si>
  <si>
    <t>CORRECTION TAPE JOYKO CT-522</t>
  </si>
  <si>
    <t>3530</t>
  </si>
  <si>
    <t>SET</t>
  </si>
  <si>
    <t>KUAJKBR1</t>
  </si>
  <si>
    <t>PCS</t>
  </si>
  <si>
    <t>PUNJK40XL</t>
  </si>
  <si>
    <t>STAJKNO1</t>
  </si>
  <si>
    <t>STAJKNO0</t>
  </si>
  <si>
    <t>LABJK1LINEPUTIH</t>
  </si>
  <si>
    <t>OPJKTWCR12MINI</t>
  </si>
  <si>
    <t>OPJKTWCR12PANJANG</t>
  </si>
  <si>
    <t>KUAS SET JOYKO BR-1</t>
  </si>
  <si>
    <t>LABEL HARGA JOYKO LB-2RL (1 LINE PUTIH)</t>
  </si>
  <si>
    <t>PUNCH JOYKO 40XL</t>
  </si>
  <si>
    <t>STAMP PAD JOYKO NO. 0</t>
  </si>
  <si>
    <t>STAMP PAD JOYKO NO. 1</t>
  </si>
  <si>
    <t>CRAYON / OIL PASTEL PUTAR JOYKO TWCR-12S (PANJANG)</t>
  </si>
  <si>
    <t>CRAYON / OIL PASTEL PUTAR JOYKO TWCR-12MINI (PENDEK)</t>
  </si>
  <si>
    <t>3542</t>
  </si>
  <si>
    <t>TIPKENKE823</t>
  </si>
  <si>
    <t>CORRECTION FLUID KENKO KE-823M</t>
  </si>
  <si>
    <t>CLIKEN3100</t>
  </si>
  <si>
    <t>PAPER CLIP WARNA KENKO 3100</t>
  </si>
  <si>
    <t>TIPKENCT902</t>
  </si>
  <si>
    <t>CORRECTION TAPE KENKO CT-902 (12M x 5MM)</t>
  </si>
  <si>
    <t>PUSKENPN30</t>
  </si>
  <si>
    <t>PUSH PIN KENKO PN-30</t>
  </si>
  <si>
    <t>3544</t>
  </si>
  <si>
    <t>3547</t>
  </si>
  <si>
    <t>TIPKENKE01</t>
  </si>
  <si>
    <t>CORRECTION FLUID KENKO KE-01</t>
  </si>
  <si>
    <t>A</t>
  </si>
  <si>
    <t>3703</t>
  </si>
  <si>
    <t>DISP</t>
  </si>
  <si>
    <t>BALON NCL LKM 2200</t>
  </si>
  <si>
    <t>3525</t>
  </si>
  <si>
    <t>PENKENFUNGELHITAM</t>
  </si>
  <si>
    <t>GEL PEN KENKO FUN GEL HITAM</t>
  </si>
  <si>
    <t>ko</t>
  </si>
  <si>
    <t>3709</t>
  </si>
  <si>
    <t>BOX</t>
  </si>
  <si>
    <t>PC</t>
  </si>
  <si>
    <t>STIP / PENGHAPUS KENKO ERW-20SQ PUTIH</t>
  </si>
  <si>
    <t>HIGHLIGHTER / STABILO KENKO HL-100</t>
  </si>
  <si>
    <t>GEL PEN KENKO K-1</t>
  </si>
  <si>
    <t>GEL PEN KENKO KE-100</t>
  </si>
  <si>
    <t>PUNCH KENKO NO. 30</t>
  </si>
  <si>
    <t>PUNCH KENKO NO. 30XL</t>
  </si>
  <si>
    <t>STAPLER HEAVY DUTY KENKO HD-12N/13</t>
  </si>
  <si>
    <t>STAPLER KENKO HD-50</t>
  </si>
  <si>
    <t>LENA / YO</t>
  </si>
  <si>
    <t>TIPKENKE108</t>
  </si>
  <si>
    <t>CORRECTION FLUID KENKO KE-108</t>
  </si>
  <si>
    <t>3801</t>
  </si>
  <si>
    <t>PENKENK1HITAM</t>
  </si>
  <si>
    <t>GEL PEN KENKO K-1 HITAM</t>
  </si>
  <si>
    <t>3265</t>
  </si>
  <si>
    <t>3726</t>
  </si>
  <si>
    <t>stijk40hitam</t>
  </si>
  <si>
    <t>box</t>
  </si>
  <si>
    <t>STIJK20HITAM</t>
  </si>
  <si>
    <t>STIJK20PUTIH</t>
  </si>
  <si>
    <t>LABJKLB3</t>
  </si>
  <si>
    <t>ROL</t>
  </si>
  <si>
    <t>STIP / PENGHAPUS JOYKO 526-B40BL HITAM</t>
  </si>
  <si>
    <t>STIP / PENGHAPUS JOYKO ER-B20BL HITAM</t>
  </si>
  <si>
    <t>STIP / PENGHAPUS JOYKO 526-B20 PUTIH</t>
  </si>
  <si>
    <t>LABEL HARGA JOYKO LB-3 (2 LINE KUNING FLUOR)</t>
  </si>
  <si>
    <t>3754</t>
  </si>
  <si>
    <t>PENKEN6800</t>
  </si>
  <si>
    <t>PCKEN0719</t>
  </si>
  <si>
    <t>PENKEN6371</t>
  </si>
  <si>
    <t>PENCIL CASE KENKO PC-0719</t>
  </si>
  <si>
    <t>PENSIL KENKO 2B-6371 SILVER CAP BIRU</t>
  </si>
  <si>
    <t>PENSIL KENKO 2B-6800 PLATINUM</t>
  </si>
  <si>
    <t>LEMKENLG35</t>
  </si>
  <si>
    <t>LEM CAIR 35 ML KENKO LG-35</t>
  </si>
  <si>
    <t>3803</t>
  </si>
  <si>
    <t>3731</t>
  </si>
  <si>
    <t>PENJKMP19</t>
  </si>
  <si>
    <t>OPJK48W</t>
  </si>
  <si>
    <t>OPJK55W</t>
  </si>
  <si>
    <t>PWJK24WPANJANG</t>
  </si>
  <si>
    <t>PINJKPP30</t>
  </si>
  <si>
    <t>MECHANICAL PENCIL 0.5 MM JOYKO MP-19</t>
  </si>
  <si>
    <t>CRAYON / OIL PASTEL JOYKO OP-48S PP CASE SEA WORLD</t>
  </si>
  <si>
    <t>CRAYON / OIL PASTEL JOYKO OP-55S PP CASE SEA WORLD</t>
  </si>
  <si>
    <t>PENSIL WARNA JOYKO CP-24PB (PANJANG)</t>
  </si>
  <si>
    <t>RISMA / CONDRO</t>
  </si>
  <si>
    <t>PUSH PIN JOYKO PP-30</t>
  </si>
  <si>
    <t>3733</t>
  </si>
  <si>
    <t>GRS</t>
  </si>
  <si>
    <t>CLIJK155</t>
  </si>
  <si>
    <t>PUNJK85B</t>
  </si>
  <si>
    <t>BINDER CLIP JOYKO 155</t>
  </si>
  <si>
    <t>PUNCH JOYKO 85B</t>
  </si>
  <si>
    <t>3820</t>
  </si>
  <si>
    <t>STAYUANCHANG414</t>
  </si>
  <si>
    <t>STAPLER YUAN CHANG 414</t>
  </si>
  <si>
    <t>g</t>
  </si>
  <si>
    <t>3734</t>
  </si>
  <si>
    <t>CALJKCC37</t>
  </si>
  <si>
    <t>CALJKCC38</t>
  </si>
  <si>
    <t>CALJKCC800CH</t>
  </si>
  <si>
    <t>CALJKCC810CH</t>
  </si>
  <si>
    <t>CALJKCC8A</t>
  </si>
  <si>
    <t>CALJKCC15A</t>
  </si>
  <si>
    <t>CALJKCC41</t>
  </si>
  <si>
    <t>CALJKCC8CO</t>
  </si>
  <si>
    <t>CALCULATOR JOYKO CC-37</t>
  </si>
  <si>
    <t>CALCULATOR JOYKO CC-38</t>
  </si>
  <si>
    <t>CALCULATOR JOYKO CC-800CH</t>
  </si>
  <si>
    <t>CALCULATOR JOYKO CC-810CH</t>
  </si>
  <si>
    <t>CALCULATOR JOYKO CC-8A</t>
  </si>
  <si>
    <t>CALCULATOR JOYKO CC-15A</t>
  </si>
  <si>
    <t>CALCULATOR JOYKO CC-41</t>
  </si>
  <si>
    <t>CALCULATOR JOYKO CC-8CO WARNA</t>
  </si>
  <si>
    <t>3742</t>
  </si>
  <si>
    <t>PENKEN6191</t>
  </si>
  <si>
    <t>CUTKENL500</t>
  </si>
  <si>
    <t>PENSIL KENKO 2B-6191 HIJAU CAP HITAM</t>
  </si>
  <si>
    <t>CUTTER 18 MM KENKO L-500 (BESAR)</t>
  </si>
  <si>
    <t>3787</t>
  </si>
  <si>
    <t>PWJK12WPANJANG</t>
  </si>
  <si>
    <t>PENSIL WARNA JOYKO CP-12PB (PANJANG)</t>
  </si>
  <si>
    <t>3828</t>
  </si>
  <si>
    <t>CLIKEN107</t>
  </si>
  <si>
    <t xml:space="preserve"> </t>
  </si>
  <si>
    <t>CLIKEN111</t>
  </si>
  <si>
    <t>CLIKEN200</t>
  </si>
  <si>
    <t>LEMKENLG50</t>
  </si>
  <si>
    <t>STIJK40HITAM</t>
  </si>
  <si>
    <t>LLKENA550</t>
  </si>
  <si>
    <t>PLAKKENBENING</t>
  </si>
  <si>
    <t>PENJKGP243</t>
  </si>
  <si>
    <t>PENJKBP349</t>
  </si>
  <si>
    <t>LLKENA5100</t>
  </si>
  <si>
    <t>BKKASKWARTO</t>
  </si>
  <si>
    <t>PLAKBAND BENING 80 M KENKO 48 MM RED CORE</t>
  </si>
  <si>
    <t>BINDER CLIP KENKO NO. 107</t>
  </si>
  <si>
    <t>BINDER CLIP KENKO NO. 111</t>
  </si>
  <si>
    <t>BINDER CLIP KENKO NO. 200</t>
  </si>
  <si>
    <t>LEM CAIR 50 ML KENKO LG-50</t>
  </si>
  <si>
    <t>LOOSE LEAF KENKO A5-LL 50-2070</t>
  </si>
  <si>
    <t>LOOSE LEAF KENKO A5-LL 100-2070</t>
  </si>
  <si>
    <t>BUKU KAS KWARTO</t>
  </si>
  <si>
    <t>GEL PEN JOYKO GP-243 WHIZ GEL</t>
  </si>
  <si>
    <t>BALLPEN JOYKO BP-349-12 VOKUS TRANS</t>
  </si>
  <si>
    <t>STIJK40PUTIH</t>
  </si>
  <si>
    <t>STIP / PENGHAPUS JOYKO 526-B40P PUTIH</t>
  </si>
  <si>
    <t>3791</t>
  </si>
  <si>
    <t>HIGHLIGHTER / STABILO KENKO HL-100 HIJAU</t>
  </si>
  <si>
    <t>HIGHLIGHTER / STABILO KENKO HL-100 KUNING</t>
  </si>
  <si>
    <t>HIGHLIGHTER / STABILO KENKO HL-100 UNGU</t>
  </si>
  <si>
    <t>HIGHLIGHTER / STABILO KENKO HL-100 PINK</t>
  </si>
  <si>
    <t>3780</t>
  </si>
  <si>
    <t>GUNKENSC828</t>
  </si>
  <si>
    <t>PENJKGP265</t>
  </si>
  <si>
    <t>GUNTING KENKO SC-828</t>
  </si>
  <si>
    <t>GEL PEN JOYKO GP-265 Q-GEL</t>
  </si>
  <si>
    <t>3962</t>
  </si>
  <si>
    <t>PWJK12WPENDEK</t>
  </si>
  <si>
    <t>PENSIL WARNA JOYKO CP-S12 MINI (PENDEK)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</si>
</sst>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7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Font="1" applyFill="1" applyBorder="1" applyAlignment="1">
      <alignment horizontal="left" vertical="center"/>
    </xf>
    <xf numFmtId="0" fontId="0" fillId="4" borderId="0" xfId="0" applyFill="1"/>
    <xf numFmtId="0" fontId="0" fillId="4" borderId="0" xfId="0" applyNumberFormat="1" applyFill="1"/>
    <xf numFmtId="14" fontId="0" fillId="4" borderId="0" xfId="0" applyNumberFormat="1" applyFill="1"/>
    <xf numFmtId="43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1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ill>
        <patternFill patternType="solid">
          <bgColor theme="9" tint="0.79998168889431442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0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9%20SEPTEMBER\KELUAR%2009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01.619233564816" createdVersion="5" refreshedVersion="5" minRefreshableVersion="3" recordCount="268">
  <cacheSource type="worksheet">
    <worksheetSource name="Table1" r:id="rId2"/>
  </cacheSource>
  <cacheFields count="32">
    <cacheField name="//" numFmtId="0">
      <sharedItems containsMixedTypes="1" containsNumber="1" containsInteger="1" minValue="4" maxValue="110" count="33">
        <s v=""/>
        <n v="4"/>
        <n v="7"/>
        <n v="9"/>
        <n v="11"/>
        <n v="19"/>
        <n v="21"/>
        <n v="25"/>
        <n v="27"/>
        <n v="29"/>
        <n v="31"/>
        <n v="40"/>
        <n v="43"/>
        <n v="45"/>
        <n v="48"/>
        <n v="53"/>
        <n v="57"/>
        <n v="64"/>
        <n v="68"/>
        <n v="70"/>
        <n v="79"/>
        <n v="82"/>
        <n v="84"/>
        <n v="98"/>
        <n v="103"/>
        <n v="109"/>
        <n v="108" u="1"/>
        <n v="42" u="1"/>
        <n v="44" u="1"/>
        <n v="46" u="1"/>
        <n v="6" u="1"/>
        <n v="110" u="1"/>
        <n v="51" u="1"/>
      </sharedItems>
    </cacheField>
    <cacheField name="h_No. Invoice :" numFmtId="0">
      <sharedItems containsMixedTypes="1" containsNumber="1" containsInteger="1" minValue="23090001" maxValue="23090025"/>
    </cacheField>
    <cacheField name="Tgl Invoice :" numFmtId="164">
      <sharedItems containsDate="1" containsMixedTypes="1" minDate="2023-09-04T00:00:00" maxDate="2023-10-01T00:00:00"/>
    </cacheField>
    <cacheField name="Column2" numFmtId="0">
      <sharedItems containsString="0" containsBlank="1" containsNumber="1" containsInteger="1" minValue="4" maxValue="30"/>
    </cacheField>
    <cacheField name="Column3" numFmtId="0">
      <sharedItems containsBlank="1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2160"/>
    </cacheField>
    <cacheField name="Unit" numFmtId="0">
      <sharedItems containsBlank="1"/>
    </cacheField>
    <cacheField name="C" numFmtId="0">
      <sharedItems containsBlank="1" containsMixedTypes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40000"/>
    </cacheField>
    <cacheField name="Disc 1" numFmtId="10">
      <sharedItems containsString="0" containsBlank="1" containsNumber="1" minValue="0.1" maxValue="0.15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50940" maxValue="1512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09"/>
    </cacheField>
    <cacheField name="h_jumlahbarang" numFmtId="0">
      <sharedItems containsMixedTypes="1" containsNumber="1" containsInteger="1" minValue="1" maxValue="13"/>
    </cacheField>
    <cacheField name="h_hargasebelumdiskon" numFmtId="43">
      <sharedItems containsMixedTypes="1" containsNumber="1" containsInteger="1" minValue="56600" maxValue="17280000"/>
    </cacheField>
    <cacheField name="h_disc 1" numFmtId="43">
      <sharedItems containsMixedTypes="1" containsNumber="1" minValue="0" maxValue="216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160000"/>
    </cacheField>
    <cacheField name="h_hargasetelahdiskon" numFmtId="43">
      <sharedItems containsMixedTypes="1" containsNumber="1" containsInteger="1" minValue="50940" maxValue="15120000"/>
    </cacheField>
    <cacheField name="Total Invoice" numFmtId="43">
      <sharedItems containsMixedTypes="1" containsNumber="1" containsInteger="1" minValue="340000" maxValue="354725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8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90001"/>
    <d v="2023-09-06T00:00:00"/>
    <n v="6"/>
    <s v="KO"/>
    <s v="3630"/>
    <s v="CENTRAAL"/>
    <s v="AM 23090001"/>
    <s v="KO 3630"/>
    <s v="CV TRINITY CENTRAAL PURWOKERTO"/>
    <n v="40"/>
    <s v="PAK"/>
    <m/>
    <m/>
    <s v=""/>
    <s v="KARTU STOCK KWARTO 4 WARNA"/>
    <n v="19000"/>
    <m/>
    <m/>
    <n v="760000"/>
    <s v="NOVI / YO"/>
    <m/>
    <n v="4"/>
    <n v="2"/>
    <n v="760000"/>
    <n v="0"/>
    <n v="0"/>
    <n v="0"/>
    <n v="760000"/>
    <n v="1484500"/>
    <m/>
    <s v="KARTU STOCK KWARTO 4 WARNAPAK19000"/>
  </r>
  <r>
    <x v="0"/>
    <s v=""/>
    <s v=""/>
    <m/>
    <m/>
    <m/>
    <m/>
    <s v=""/>
    <s v=" "/>
    <s v=""/>
    <n v="6"/>
    <s v="LS"/>
    <m/>
    <m/>
    <s v=""/>
    <s v="STAPLER SDI 1102"/>
    <n v="138000"/>
    <n v="0.125"/>
    <m/>
    <n v="724500"/>
    <m/>
    <m/>
    <n v="4"/>
    <n v="2"/>
    <n v="828000"/>
    <n v="103500"/>
    <n v="0"/>
    <n v="103500"/>
    <n v="724500"/>
    <s v=""/>
    <m/>
    <s v="STAPLER SDI 1102LS1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90002"/>
    <d v="2023-09-09T00:00:00"/>
    <n v="9"/>
    <s v="KO"/>
    <s v="3644"/>
    <s v="WISUDA"/>
    <s v="AM 23090002"/>
    <s v="KO 3644"/>
    <s v="CV  WISUDA PURWOKERTO"/>
    <n v="5"/>
    <s v="LSN"/>
    <m/>
    <s v="STAKENHD10"/>
    <s v="STAPLER KENKO HD-10"/>
    <s v="STAPLER KENKO HD-10"/>
    <n v="93000"/>
    <n v="0.1"/>
    <m/>
    <n v="418500"/>
    <s v="NOVI / CONDRO"/>
    <m/>
    <n v="7"/>
    <n v="1"/>
    <n v="465000"/>
    <n v="46500"/>
    <n v="0"/>
    <n v="46500"/>
    <n v="418500"/>
    <n v="418500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90003"/>
    <d v="2023-09-09T00:00:00"/>
    <n v="9"/>
    <s v="G"/>
    <s v="3531"/>
    <s v="REJOAGUNG"/>
    <s v="AM 23090003"/>
    <s v="G 3531"/>
    <s v="LILY JULIAWATI (REJO AGUNG) JOMBANG"/>
    <n v="300"/>
    <s v="LSN"/>
    <n v="5"/>
    <s v="TIPJKCT522"/>
    <s v="CORRECTION TAPE JOYKO CT-522"/>
    <s v="CORRECTION TAPE JOYKO CT-522"/>
    <n v="57600"/>
    <n v="0.125"/>
    <m/>
    <n v="15120000"/>
    <s v="NOVI / CONDRO"/>
    <m/>
    <n v="9"/>
    <n v="1"/>
    <n v="17280000"/>
    <n v="2160000"/>
    <n v="0"/>
    <n v="2160000"/>
    <n v="15120000"/>
    <n v="15120000"/>
    <m/>
    <s v="CORRECTION TAPE JOYKO CT-522LSN5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90004"/>
    <d v="2023-09-09T00:00:00"/>
    <n v="9"/>
    <s v="G"/>
    <s v="3530"/>
    <s v="REJOAGUNG"/>
    <s v="AM 23090004"/>
    <s v="G 3530"/>
    <s v="LILY JULIAWATI (REJO AGUNG) JOMBANG"/>
    <n v="240"/>
    <s v="SET"/>
    <n v="1"/>
    <s v="KUAJKBR1"/>
    <s v="KUAS SET JOYKO BR-1"/>
    <s v="KUAS SET JOYKO BR-1"/>
    <n v="8800"/>
    <n v="0.125"/>
    <m/>
    <n v="1848000"/>
    <s v="NOVI / CONDRO"/>
    <m/>
    <n v="11"/>
    <n v="7"/>
    <n v="2112000"/>
    <n v="264000"/>
    <n v="0"/>
    <n v="264000"/>
    <n v="1848000"/>
    <n v="17922800"/>
    <m/>
    <s v="KUAS SET JOYKO BR-1SET8800"/>
  </r>
  <r>
    <x v="0"/>
    <s v="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11"/>
    <n v="7"/>
    <n v="2050000"/>
    <n v="256250"/>
    <n v="0"/>
    <n v="256250"/>
    <n v="1793750"/>
    <s v=""/>
    <m/>
    <s v="LABEL HARGA JOYKO LB-2RL (1 LINE PUTIH)PCS2050"/>
  </r>
  <r>
    <x v="0"/>
    <s v=""/>
    <s v=""/>
    <m/>
    <m/>
    <m/>
    <m/>
    <s v=""/>
    <s v=" "/>
    <s v=""/>
    <n v="60"/>
    <s v="PCS"/>
    <n v="1"/>
    <s v="PUNJK40XL"/>
    <s v="PUNCH JOYKO 40XL"/>
    <s v="PUNCH JOYKO 40XL"/>
    <n v="29500"/>
    <n v="0.125"/>
    <m/>
    <n v="1548750"/>
    <m/>
    <m/>
    <n v="11"/>
    <n v="7"/>
    <n v="1770000"/>
    <n v="221250"/>
    <n v="0"/>
    <n v="221250"/>
    <n v="1548750"/>
    <s v=""/>
    <m/>
    <s v="PUNCH JOYKO 40XLPCS29500"/>
  </r>
  <r>
    <x v="0"/>
    <s v=""/>
    <s v=""/>
    <m/>
    <m/>
    <m/>
    <m/>
    <s v=""/>
    <s v=" "/>
    <s v=""/>
    <n v="18"/>
    <s v="LSN"/>
    <n v="1"/>
    <s v="STAJKNO0"/>
    <s v="STAMP PAD JOYKO NO. 0"/>
    <s v="STAMP PAD JOYKO NO. 0"/>
    <n v="58800"/>
    <n v="0.125"/>
    <m/>
    <n v="926100"/>
    <m/>
    <m/>
    <n v="11"/>
    <n v="7"/>
    <n v="1058400"/>
    <n v="132300"/>
    <n v="0"/>
    <n v="132300"/>
    <n v="926100"/>
    <s v=""/>
    <m/>
    <s v="STAMP PAD JOYKO NO. 0LSN58800"/>
  </r>
  <r>
    <x v="0"/>
    <s v=""/>
    <s v=""/>
    <m/>
    <m/>
    <m/>
    <m/>
    <s v=""/>
    <s v=" "/>
    <s v=""/>
    <n v="18"/>
    <s v="LSN"/>
    <n v="1"/>
    <s v="STAJKNO1"/>
    <s v="STAMP PAD JOYKO NO. 1"/>
    <s v="STAMP PAD JOYKO NO. 1"/>
    <n v="69600"/>
    <n v="0.125"/>
    <m/>
    <n v="1096200"/>
    <m/>
    <m/>
    <n v="11"/>
    <n v="7"/>
    <n v="1252800"/>
    <n v="156600"/>
    <n v="0"/>
    <n v="156600"/>
    <n v="1096200"/>
    <s v=""/>
    <m/>
    <s v="STAMP PAD JOYKO NO. 1LSN69600"/>
  </r>
  <r>
    <x v="0"/>
    <s v=""/>
    <s v=""/>
    <m/>
    <m/>
    <m/>
    <m/>
    <s v=""/>
    <s v=" "/>
    <s v=""/>
    <n v="288"/>
    <s v="PCS"/>
    <n v="2"/>
    <s v="OPJKTWCR12PANJANG"/>
    <s v="CRAYON / OIL PASTEL PUTAR JOYKO TWCR-12S (PANJANG)"/>
    <s v="CRAYON / OIL PASTEL PUTAR JOYKO TWCR-12S (PANJANG)"/>
    <n v="23900"/>
    <n v="0.125"/>
    <m/>
    <n v="6022800"/>
    <m/>
    <m/>
    <n v="11"/>
    <n v="7"/>
    <n v="6883200"/>
    <n v="860400"/>
    <n v="0"/>
    <n v="860400"/>
    <n v="6022800"/>
    <s v=""/>
    <m/>
    <s v="CRAYON / OIL PASTEL PUTAR JOYKO TWCR-12S (PANJANG)PCS23900"/>
  </r>
  <r>
    <x v="0"/>
    <s v="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25"/>
    <m/>
    <n v="4687200"/>
    <m/>
    <m/>
    <n v="11"/>
    <n v="7"/>
    <n v="5356800"/>
    <n v="669600"/>
    <n v="0"/>
    <n v="669600"/>
    <n v="4687200"/>
    <s v=""/>
    <m/>
    <s v="CRAYON / OIL PASTEL PUTAR JOYKO TWCR-12MINI (PENDEK)PCS18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90005"/>
    <d v="2023-09-11T00:00:00"/>
    <n v="11"/>
    <s v="KO"/>
    <s v="3542"/>
    <s v="BENDAN"/>
    <s v="AM 23090005"/>
    <s v="KO 3542"/>
    <s v="HARNOYO (BENDAN) PEKALONGAN"/>
    <n v="36"/>
    <s v="LSN"/>
    <n v="1"/>
    <s v="TIPKENKE823"/>
    <s v="CORRECTION FLUID KENKO KE-823M"/>
    <s v="CORRECTION FLUID KENKO KE-823M"/>
    <n v="57000"/>
    <n v="0.14000000000000001"/>
    <m/>
    <n v="1764720"/>
    <s v="NOVI / CONDRO"/>
    <m/>
    <n v="19"/>
    <n v="1"/>
    <n v="2052000"/>
    <n v="287280"/>
    <n v="0"/>
    <n v="287280"/>
    <n v="1764720"/>
    <n v="1764720"/>
    <m/>
    <s v="CORRECTION FLUID KENKO KE-823M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90006"/>
    <d v="2023-09-11T00:00:00"/>
    <n v="11"/>
    <s v="KO"/>
    <s v="3544"/>
    <s v="ANUGERAH"/>
    <s v="AM 23090006"/>
    <s v="KO 3544"/>
    <s v="CV PELITA JAYA (ANUGERAH SEJAHTERA) PURWOKERTO"/>
    <n v="48"/>
    <s v="LSN"/>
    <n v="1"/>
    <s v="PUSKENPN30"/>
    <s v="PUSH PIN KENKO PN-30 WARNA"/>
    <s v="PUSH PIN KENKO PN-30"/>
    <n v="33000"/>
    <n v="0.13500000000000001"/>
    <m/>
    <n v="1370160"/>
    <s v="NOVI / CONDRO"/>
    <m/>
    <n v="21"/>
    <n v="3"/>
    <n v="1584000"/>
    <n v="213840"/>
    <n v="0"/>
    <n v="213840"/>
    <n v="1370160"/>
    <n v="5580288"/>
    <m/>
    <s v="PUSH PIN KENKO PN-30LSN33000"/>
  </r>
  <r>
    <x v="0"/>
    <s v="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21"/>
    <n v="3"/>
    <n v="1987200"/>
    <n v="268272"/>
    <n v="0"/>
    <n v="268272"/>
    <n v="1718928"/>
    <s v=""/>
    <m/>
    <s v="PAPER CLIP WARNA KENKO 3100LSN41400"/>
  </r>
  <r>
    <x v="0"/>
    <s v=""/>
    <s v=""/>
    <m/>
    <m/>
    <m/>
    <m/>
    <s v=""/>
    <s v=" "/>
    <s v=""/>
    <n v="48"/>
    <s v="LSN"/>
    <n v="1"/>
    <s v="TIPKENCT902"/>
    <s v="CORRECTION TAPE KENKO CT-902 (12M x 5MM)"/>
    <s v="CORRECTION TAPE KENKO CT-902 (12M x 5MM)"/>
    <n v="60000"/>
    <n v="0.13500000000000001"/>
    <m/>
    <n v="2491200"/>
    <m/>
    <m/>
    <n v="21"/>
    <n v="3"/>
    <n v="2880000"/>
    <n v="388800"/>
    <n v="0"/>
    <n v="388800"/>
    <n v="2491200"/>
    <s v=""/>
    <m/>
    <s v="CORRECTION TAPE KENKO CT-902 (12M x 5MM)LSN6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90007"/>
    <d v="2023-09-11T00:00:00"/>
    <n v="11"/>
    <s v="G"/>
    <s v="3547"/>
    <s v="REJOAGUNG"/>
    <s v="AM 23090007"/>
    <s v="G 3547"/>
    <s v="LILY JULIAWATI (REJO AGUNG) JOMBANG"/>
    <n v="144"/>
    <s v="LSN"/>
    <n v="4"/>
    <s v="TIPKENKE01"/>
    <s v="CORRECTION FLUID KENKO KE-01"/>
    <s v="CORRECTION FLUID KENKO KE-01"/>
    <n v="54300"/>
    <n v="0.125"/>
    <m/>
    <n v="6841800"/>
    <s v="NOVI / CONDRO"/>
    <m/>
    <n v="25"/>
    <n v="1"/>
    <n v="7819200"/>
    <n v="977400"/>
    <n v="0"/>
    <n v="977400"/>
    <n v="6841800"/>
    <n v="6841800"/>
    <m/>
    <s v="CORRECTION FLUID KENKO KE-01LSN5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90008"/>
    <d v="2023-09-11T00:00:00"/>
    <n v="11"/>
    <s v="A"/>
    <s v="3703"/>
    <s v="TIARA"/>
    <s v="AM 23090008"/>
    <s v="A 3703"/>
    <s v="CV TIARA SOLO"/>
    <n v="60"/>
    <s v="DISP"/>
    <n v="1"/>
    <m/>
    <s v=""/>
    <s v="BALON NCL LKM 2200"/>
    <n v="67500"/>
    <n v="0.15"/>
    <m/>
    <n v="3442500"/>
    <s v="NOVI / CONDRO"/>
    <m/>
    <n v="27"/>
    <n v="1"/>
    <n v="4050000"/>
    <n v="607500"/>
    <n v="0"/>
    <n v="607500"/>
    <n v="3442500"/>
    <n v="3442500"/>
    <m/>
    <s v="BALON NCL LKM 2200DISP67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90009"/>
    <d v="2023-09-04T00:00:00"/>
    <n v="4"/>
    <s v="G"/>
    <s v="3525"/>
    <s v="UTAMA"/>
    <s v="AM 23090009"/>
    <s v="G 3525"/>
    <s v="CV UTAMA PUTRA TULUNG AGUNG"/>
    <n v="144"/>
    <s v="LSN"/>
    <n v="1"/>
    <s v="PENKENFUNGELHITAM"/>
    <e v="#N/A"/>
    <s v="GEL PEN KENKO FUN GEL HITAM"/>
    <n v="25200"/>
    <n v="0.125"/>
    <m/>
    <n v="3175200"/>
    <s v="NOVI / CONDRO"/>
    <m/>
    <n v="29"/>
    <n v="1"/>
    <n v="3628800"/>
    <n v="453600"/>
    <n v="0"/>
    <n v="453600"/>
    <n v="3175200"/>
    <n v="3175200"/>
    <m/>
    <s v="GEL PEN KENKO FUN GEL HITAMLSN2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90010"/>
    <d v="2023-09-12T00:00:00"/>
    <n v="12"/>
    <s v="KO"/>
    <s v="3709"/>
    <s v="ANUGERAH"/>
    <s v="AM 23090010"/>
    <s v="KO 3709"/>
    <s v="CV PELITA JAYA (ANUGERAH SEJAHTERA) PURWOKERTO"/>
    <n v="50"/>
    <s v="BOX"/>
    <n v="1"/>
    <m/>
    <s v=""/>
    <s v="STIP / PENGHAPUS KENKO ERW-20SQ PUTIH"/>
    <n v="30000"/>
    <n v="0.13500000000000001"/>
    <m/>
    <n v="1297500"/>
    <s v="LENA / YO"/>
    <m/>
    <n v="31"/>
    <n v="8"/>
    <n v="1500000"/>
    <n v="202500"/>
    <n v="0"/>
    <n v="202500"/>
    <n v="1297500"/>
    <n v="16863348"/>
    <m/>
    <s v="STIP / PENGHAPUS KENKO ERW-20SQ PUTIHBOX30000"/>
  </r>
  <r>
    <x v="0"/>
    <s v=""/>
    <s v=""/>
    <m/>
    <m/>
    <m/>
    <m/>
    <s v=""/>
    <s v=" "/>
    <s v=""/>
    <n v="480"/>
    <s v="PC"/>
    <n v="1"/>
    <m/>
    <s v=""/>
    <s v="HIGHLIGHTER / STABILO KENKO HL-100"/>
    <n v="3050"/>
    <n v="0.13500000000000001"/>
    <m/>
    <n v="1266360"/>
    <m/>
    <m/>
    <n v="31"/>
    <n v="8"/>
    <n v="1464000"/>
    <n v="197640"/>
    <n v="0"/>
    <n v="197640"/>
    <n v="1266360"/>
    <s v=""/>
    <m/>
    <s v="HIGHLIGHTER / STABILO KENKO HL-100PC3050"/>
  </r>
  <r>
    <x v="0"/>
    <s v=""/>
    <s v=""/>
    <m/>
    <m/>
    <m/>
    <m/>
    <s v=""/>
    <s v=" "/>
    <s v=""/>
    <n v="144"/>
    <s v="LS"/>
    <n v="1"/>
    <m/>
    <s v=""/>
    <s v="GEL PEN KENKO K-1"/>
    <n v="39600"/>
    <n v="0.13500000000000001"/>
    <m/>
    <n v="4932576"/>
    <m/>
    <m/>
    <n v="31"/>
    <n v="8"/>
    <n v="5702400"/>
    <n v="769824"/>
    <n v="0"/>
    <n v="769824"/>
    <n v="4932576"/>
    <s v=""/>
    <m/>
    <s v="GEL PEN KENKO K-1LS39600"/>
  </r>
  <r>
    <x v="0"/>
    <s v=""/>
    <s v=""/>
    <m/>
    <m/>
    <m/>
    <m/>
    <s v=""/>
    <s v=" "/>
    <s v=""/>
    <n v="144"/>
    <s v="LS"/>
    <n v="1"/>
    <m/>
    <s v=""/>
    <s v="GEL PEN KENKO KE-100"/>
    <n v="19200"/>
    <n v="0.13500000000000001"/>
    <m/>
    <n v="2391552"/>
    <m/>
    <m/>
    <n v="31"/>
    <n v="8"/>
    <n v="2764800"/>
    <n v="373248"/>
    <n v="0"/>
    <n v="373248"/>
    <n v="2391552"/>
    <s v=""/>
    <m/>
    <s v="GEL PEN KENKO KE-100LS19200"/>
  </r>
  <r>
    <x v="0"/>
    <s v=""/>
    <s v=""/>
    <m/>
    <m/>
    <m/>
    <m/>
    <s v=""/>
    <s v=" "/>
    <s v=""/>
    <n v="10"/>
    <s v="LS"/>
    <n v="1"/>
    <m/>
    <s v=""/>
    <s v="PUNCH KENKO NO. 30"/>
    <n v="156000"/>
    <n v="0.13500000000000001"/>
    <m/>
    <n v="1349400"/>
    <m/>
    <m/>
    <n v="31"/>
    <n v="8"/>
    <n v="1560000"/>
    <n v="210600"/>
    <n v="0"/>
    <n v="210600"/>
    <n v="1349400"/>
    <s v=""/>
    <m/>
    <s v="PUNCH KENKO NO. 30LS156000"/>
  </r>
  <r>
    <x v="0"/>
    <s v=""/>
    <s v=""/>
    <m/>
    <m/>
    <m/>
    <m/>
    <s v=""/>
    <s v=" "/>
    <s v=""/>
    <n v="8"/>
    <s v="LS"/>
    <n v="1"/>
    <m/>
    <s v=""/>
    <s v="PUNCH KENKO NO. 30XL"/>
    <n v="180000"/>
    <n v="0.13500000000000001"/>
    <m/>
    <n v="1245600"/>
    <m/>
    <m/>
    <n v="31"/>
    <n v="8"/>
    <n v="1440000"/>
    <n v="194400"/>
    <n v="0"/>
    <n v="194400"/>
    <n v="1245600"/>
    <s v=""/>
    <m/>
    <s v="PUNCH KENKO NO. 30XLLS180000"/>
  </r>
  <r>
    <x v="0"/>
    <s v=""/>
    <s v=""/>
    <m/>
    <m/>
    <m/>
    <m/>
    <s v=""/>
    <s v=" "/>
    <s v=""/>
    <n v="6"/>
    <s v="PC"/>
    <n v="1"/>
    <m/>
    <s v=""/>
    <s v="STAPLER HEAVY DUTY KENKO HD-12N/13"/>
    <n v="84000"/>
    <n v="0.13500000000000001"/>
    <m/>
    <n v="435960"/>
    <m/>
    <m/>
    <n v="31"/>
    <n v="8"/>
    <n v="504000"/>
    <n v="68040"/>
    <n v="0"/>
    <n v="68040"/>
    <n v="435960"/>
    <s v=""/>
    <m/>
    <s v="STAPLER HEAVY DUTY KENKO HD-12N/13PC84000"/>
  </r>
  <r>
    <x v="0"/>
    <s v=""/>
    <s v=""/>
    <m/>
    <m/>
    <m/>
    <m/>
    <s v=""/>
    <s v=" "/>
    <s v=""/>
    <n v="20"/>
    <s v="LS"/>
    <n v="2"/>
    <m/>
    <s v=""/>
    <s v="STAPLER KENKO HD-50"/>
    <n v="228000"/>
    <n v="0.13500000000000001"/>
    <m/>
    <n v="3944400"/>
    <m/>
    <m/>
    <n v="31"/>
    <n v="8"/>
    <n v="4560000"/>
    <n v="615600"/>
    <n v="0"/>
    <n v="615600"/>
    <n v="3944400"/>
    <s v=""/>
    <m/>
    <s v="STAPLER KENKO HD-50LS22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90011"/>
    <d v="2023-09-14T00:00:00"/>
    <n v="14"/>
    <s v="G"/>
    <s v="3803"/>
    <s v="REJOAGUNG"/>
    <s v="AM 23090011"/>
    <s v="G 3803"/>
    <s v="LILY JULIAWATI (REJO AGUNG) JOMBANG"/>
    <n v="72"/>
    <s v="LSN"/>
    <n v="1"/>
    <s v="TIPKENKE108"/>
    <s v="CORRECTION FLUID KENKO KE-108"/>
    <s v="CORRECTION FLUID KENKO KE-108"/>
    <n v="47100"/>
    <n v="0.125"/>
    <m/>
    <n v="2967300"/>
    <s v="NOVI / CONDRO"/>
    <m/>
    <n v="40"/>
    <n v="2"/>
    <n v="3391200"/>
    <n v="423900"/>
    <n v="0"/>
    <n v="423900"/>
    <n v="2967300"/>
    <n v="3660300"/>
    <m/>
    <n v="10"/>
  </r>
  <r>
    <x v="0"/>
    <s v=""/>
    <s v=""/>
    <m/>
    <m/>
    <m/>
    <m/>
    <s v=""/>
    <s v=" "/>
    <s v=""/>
    <n v="40"/>
    <s v="LSN"/>
    <n v="1"/>
    <s v="LEMKENLG35"/>
    <s v="LEM CAIR 35 ML KENKO LG-35"/>
    <s v="LEM CAIR 35 ML KENKO LG-35"/>
    <n v="19800"/>
    <n v="0.125"/>
    <m/>
    <n v="693000"/>
    <m/>
    <m/>
    <n v="40"/>
    <n v="2"/>
    <n v="792000"/>
    <n v="99000"/>
    <n v="0"/>
    <n v="99000"/>
    <n v="693000"/>
    <s v=""/>
    <m/>
    <s v="LEM CAIR 35 ML KENKO LG-35LSN19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90012"/>
    <d v="2023-09-15T00:00:00"/>
    <n v="15"/>
    <s v="KO"/>
    <s v="3801"/>
    <s v="ANUGERAH"/>
    <s v="AM 23090012"/>
    <s v="KO 3801"/>
    <s v="CV PELITA JAYA (ANUGERAH SEJAHTERA) PURWOKERTO"/>
    <n v="144"/>
    <s v="LSN"/>
    <n v="1"/>
    <s v="PENKENK1HITAM"/>
    <s v="GEL PEN KENKO K-1 HITAM"/>
    <s v="GEL PEN KENKO K-1 HITAM"/>
    <n v="39600"/>
    <n v="0.13500000000000001"/>
    <m/>
    <n v="4932576"/>
    <s v="NOVI / CONDRO"/>
    <m/>
    <n v="43"/>
    <n v="1"/>
    <n v="5702400"/>
    <n v="769824"/>
    <n v="0"/>
    <n v="769824"/>
    <n v="4932576"/>
    <n v="4932576"/>
    <m/>
    <s v="GEL PEN KENKO K-1 HITAMLSN39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90013"/>
    <d v="2023-09-16T00:00:00"/>
    <n v="16"/>
    <s v="KO"/>
    <s v="3265"/>
    <s v="LANCAR"/>
    <s v="AM 23090013"/>
    <s v="KO 3265"/>
    <s v="CV LANCAR JAYA SENTOSA MALANG"/>
    <n v="2160"/>
    <s v="PCS"/>
    <n v="3"/>
    <s v="TIPJKCT522"/>
    <s v="CORRECTION TAPE JOYKO CT-522"/>
    <s v="CORRECTION TAPE JOYKO CT-522"/>
    <n v="4800"/>
    <n v="0.125"/>
    <m/>
    <n v="9072000"/>
    <s v="NOVI / CONDRO"/>
    <m/>
    <n v="45"/>
    <n v="1"/>
    <n v="10368000"/>
    <n v="1296000"/>
    <n v="0"/>
    <n v="1296000"/>
    <n v="9072000"/>
    <n v="9072000"/>
    <m/>
    <s v="CORRECTION TAPE JOYKO CT-522PCS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90014"/>
    <d v="2023-09-16T00:00:00"/>
    <n v="16"/>
    <s v="KO"/>
    <s v="3726"/>
    <s v="ANUGERAH"/>
    <s v="AM 23090014"/>
    <s v="KO 3726"/>
    <s v="CV PELITA JAYA (ANUGERAH SEJAHTERA) PURWOKERTO"/>
    <n v="100"/>
    <s v="BOX"/>
    <n v="2"/>
    <s v="stijk40hitam"/>
    <s v="STIP / PENGHAPUS JOYKO 526-B40BL HITAM"/>
    <s v="STIP / PENGHAPUS JOYKO 526-B40BL HITAM"/>
    <n v="28300"/>
    <n v="0.13500000000000001"/>
    <m/>
    <n v="2447950"/>
    <s v="NOVI / CONDRO"/>
    <m/>
    <n v="48"/>
    <n v="4"/>
    <n v="2830000"/>
    <n v="382050"/>
    <n v="0"/>
    <n v="382050"/>
    <n v="2447950"/>
    <n v="7257350"/>
    <m/>
    <s v="STIP / PENGHAPUS JOYKO 526-B40BL HITAMbox28300"/>
  </r>
  <r>
    <x v="0"/>
    <s v=""/>
    <s v=""/>
    <m/>
    <m/>
    <m/>
    <m/>
    <s v=""/>
    <s v=" "/>
    <s v=""/>
    <n v="50"/>
    <s v="BOX"/>
    <n v="1"/>
    <s v="STIJK20HITAM"/>
    <s v="STIP / PENGHAPUS JOYKO ER-B20BL HITAM"/>
    <s v="STIP / PENGHAPUS JOYKO ER-B20BL HITAM"/>
    <n v="34100"/>
    <n v="0.13500000000000001"/>
    <m/>
    <n v="1474825"/>
    <m/>
    <m/>
    <n v="48"/>
    <n v="4"/>
    <n v="1705000"/>
    <n v="230175.00000000003"/>
    <n v="0"/>
    <n v="230175.00000000003"/>
    <n v="1474825"/>
    <s v=""/>
    <m/>
    <s v="STIP / PENGHAPUS JOYKO ER-B20BL HITAMBOX34100"/>
  </r>
  <r>
    <x v="0"/>
    <s v=""/>
    <s v=""/>
    <m/>
    <m/>
    <m/>
    <m/>
    <s v=""/>
    <s v=" "/>
    <s v=""/>
    <n v="50"/>
    <s v="BOX"/>
    <n v="1"/>
    <s v="STIJK20PUTIH"/>
    <s v="STIP / PENGHAPUS JOYKO 526-B20 PUTIH"/>
    <s v="STIP / PENGHAPUS JOYKO 526-B20 PUTIH"/>
    <n v="34100"/>
    <n v="0.13500000000000001"/>
    <m/>
    <n v="1474825"/>
    <m/>
    <m/>
    <n v="48"/>
    <n v="4"/>
    <n v="1705000"/>
    <n v="230175.00000000003"/>
    <n v="0"/>
    <n v="230175.00000000003"/>
    <n v="1474825"/>
    <s v=""/>
    <m/>
    <s v="STIP / PENGHAPUS JOYKO 526-B20 PUTIHBOX34100"/>
  </r>
  <r>
    <x v="0"/>
    <s v=""/>
    <s v=""/>
    <m/>
    <m/>
    <m/>
    <m/>
    <s v=""/>
    <s v=" "/>
    <s v=""/>
    <n v="500"/>
    <s v="ROL"/>
    <n v="1"/>
    <s v="LABJKLB3"/>
    <s v="LABEL HARGA JOYKO LB-3 (2 LINE KUNING FLUOR)"/>
    <s v="LABEL HARGA JOYKO LB-3 (2 LINE KUNING FLUOR)"/>
    <n v="4300"/>
    <n v="0.13500000000000001"/>
    <m/>
    <n v="1859750"/>
    <m/>
    <m/>
    <n v="48"/>
    <n v="4"/>
    <n v="2150000"/>
    <n v="290250"/>
    <n v="0"/>
    <n v="290250"/>
    <n v="1859750"/>
    <s v=""/>
    <m/>
    <s v="LABEL HARGA JOYKO LB-3 (2 LINE KUNING FLUOR)ROL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90015"/>
    <d v="2023-09-14T00:00:00"/>
    <n v="14"/>
    <s v="G"/>
    <s v="3754"/>
    <s v="SINARBHAKTI"/>
    <s v="AM 23090015"/>
    <s v="G 3754"/>
    <s v="MUHAMMAD AGUS MUNADI ( SINAR BHAKTI ) YOGYAKARTA"/>
    <n v="24"/>
    <s v="LSN"/>
    <m/>
    <s v="PENKEN6371"/>
    <s v="PENSIL KENKO 2B-6371 SILVER CAP BIRU"/>
    <s v="PENSIL KENKO 2B-6371 SILVER CAP BIRU"/>
    <n v="9000"/>
    <n v="0.1"/>
    <m/>
    <n v="194400"/>
    <s v="NOVI / CONDRO"/>
    <m/>
    <n v="53"/>
    <n v="3"/>
    <n v="216000"/>
    <n v="21600"/>
    <n v="0"/>
    <n v="21600"/>
    <n v="194400"/>
    <n v="963360"/>
    <m/>
    <s v="PENSIL KENKO 2B-6371 SILVER CAP BIRULSN9000"/>
  </r>
  <r>
    <x v="0"/>
    <s v=""/>
    <s v=""/>
    <m/>
    <m/>
    <m/>
    <m/>
    <s v=""/>
    <s v=" "/>
    <s v=""/>
    <n v="12"/>
    <s v="LSN"/>
    <m/>
    <s v="PENKEN6800"/>
    <s v="PENSIL KENKO 2B-6800 PLATINUM"/>
    <s v="PENSIL KENKO 2B-6800 PLATINUM"/>
    <n v="8800"/>
    <n v="0.1"/>
    <m/>
    <n v="95040"/>
    <m/>
    <m/>
    <n v="53"/>
    <n v="3"/>
    <n v="105600"/>
    <n v="10560"/>
    <n v="0"/>
    <n v="10560"/>
    <n v="95040"/>
    <s v=""/>
    <m/>
    <s v="PENSIL KENKO 2B-6800 PLATINUMLSN8800"/>
  </r>
  <r>
    <x v="0"/>
    <s v=""/>
    <s v=""/>
    <m/>
    <m/>
    <m/>
    <m/>
    <s v=""/>
    <s v=" "/>
    <s v=""/>
    <n v="12"/>
    <s v="LSN"/>
    <m/>
    <s v="PCKEN0719"/>
    <e v="#N/A"/>
    <s v="PENCIL CASE KENKO PC-0719"/>
    <n v="62400"/>
    <n v="0.1"/>
    <m/>
    <n v="673920"/>
    <m/>
    <m/>
    <n v="53"/>
    <n v="3"/>
    <n v="748800"/>
    <n v="74880"/>
    <n v="0"/>
    <n v="74880"/>
    <n v="673920"/>
    <s v=""/>
    <m/>
    <s v="PENCIL CASE KENKO PC-0719LSN62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90016"/>
    <d v="2023-09-18T00:00:00"/>
    <n v="18"/>
    <s v="G"/>
    <s v="3731"/>
    <s v="REJOAGUNG"/>
    <s v="AM 23090016"/>
    <s v="G 3731"/>
    <s v="LILY JULIAWATI (REJO AGUNG) JOMBANG"/>
    <n v="96"/>
    <s v="LSN"/>
    <n v="2"/>
    <s v="PINJKPP30"/>
    <s v="PUSH PIN JOYKO PP-30 WARNA"/>
    <s v="PUSH PIN JOYKO PP-30"/>
    <n v="31200"/>
    <n v="0.125"/>
    <m/>
    <n v="2620800"/>
    <s v="RISMA / CONDRO"/>
    <m/>
    <n v="57"/>
    <n v="6"/>
    <n v="2995200"/>
    <n v="374400"/>
    <n v="0"/>
    <n v="374400"/>
    <n v="2620800"/>
    <n v="18683700"/>
    <m/>
    <s v="PUSH PIN JOYKO PP-30LSN31200"/>
  </r>
  <r>
    <x v="0"/>
    <s v=""/>
    <s v=""/>
    <m/>
    <m/>
    <m/>
    <m/>
    <s v=""/>
    <s v=" "/>
    <s v=""/>
    <n v="144"/>
    <s v="LSN"/>
    <n v="1"/>
    <s v="PENJKMP19"/>
    <s v="MECHANICAL PENCIL 0.5 MM JOYKO MP-19"/>
    <s v="MECHANICAL PENCIL 0.5 MM JOYKO MP-19"/>
    <n v="40800"/>
    <n v="0.125"/>
    <m/>
    <n v="5140800"/>
    <m/>
    <m/>
    <n v="57"/>
    <n v="6"/>
    <n v="5875200"/>
    <n v="734400"/>
    <n v="0"/>
    <n v="734400"/>
    <n v="5140800"/>
    <s v=""/>
    <m/>
    <s v="MECHANICAL PENCIL 0.5 MM JOYKO MP-19LSN40800"/>
  </r>
  <r>
    <x v="0"/>
    <s v=""/>
    <s v=""/>
    <m/>
    <m/>
    <m/>
    <m/>
    <s v=""/>
    <s v=" "/>
    <s v=""/>
    <n v="48"/>
    <s v="PCS"/>
    <n v="2"/>
    <s v="OPJK48W"/>
    <s v="CRAYON / OIL PASTEL JOYKO OP-48S PP CASE SEA WORLD"/>
    <s v="CRAYON / OIL PASTEL JOYKO OP-48S PP CASE SEA WORLD"/>
    <n v="58900"/>
    <n v="0.125"/>
    <m/>
    <n v="2473800"/>
    <m/>
    <m/>
    <n v="57"/>
    <n v="6"/>
    <n v="2827200"/>
    <n v="353400"/>
    <n v="0"/>
    <n v="353400"/>
    <n v="2473800"/>
    <s v=""/>
    <m/>
    <s v="CRAYON / OIL PASTEL JOYKO OP-48S PP CASE SEA WORLDPCS58900"/>
  </r>
  <r>
    <x v="0"/>
    <s v=""/>
    <s v=""/>
    <m/>
    <m/>
    <m/>
    <m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m/>
    <n v="2809800"/>
    <m/>
    <m/>
    <n v="57"/>
    <n v="6"/>
    <n v="3211200"/>
    <n v="401400"/>
    <n v="0"/>
    <n v="401400"/>
    <n v="2809800"/>
    <s v=""/>
    <m/>
    <s v="CRAYON / OIL PASTEL JOYKO OP-55S PP CASE SEA WORLDPCS66900"/>
  </r>
  <r>
    <x v="0"/>
    <s v=""/>
    <s v=""/>
    <m/>
    <m/>
    <m/>
    <m/>
    <s v=""/>
    <s v=" "/>
    <s v=""/>
    <n v="144"/>
    <s v="PCS"/>
    <n v="2"/>
    <s v="PWJK24WPANJANG"/>
    <s v="PENSIL WARNA JOYKO CP-24PB (PANJANG)"/>
    <s v="PENSIL WARNA JOYKO CP-24PB (PANJANG)"/>
    <n v="21200"/>
    <n v="0.125"/>
    <m/>
    <n v="2671200"/>
    <m/>
    <m/>
    <n v="57"/>
    <n v="6"/>
    <n v="3052800"/>
    <n v="381600"/>
    <n v="0"/>
    <n v="381600"/>
    <n v="2671200"/>
    <s v=""/>
    <m/>
    <s v="PENSIL WARNA JOYKO CP-24PB (PANJANG)PCS21200"/>
  </r>
  <r>
    <x v="0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57"/>
    <n v="6"/>
    <n v="3391200"/>
    <n v="423900"/>
    <n v="0"/>
    <n v="423900"/>
    <n v="2967300"/>
    <s v=""/>
    <m/>
    <s v="CORRECTION FLUID KENKO KE-108LSN471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90017"/>
    <d v="2023-09-18T00:00:00"/>
    <n v="18"/>
    <s v="G"/>
    <s v="3733"/>
    <s v="WISUDA"/>
    <s v="AM 23090017"/>
    <s v="G 3733"/>
    <s v="CV  WISUDA PURWOKERTO"/>
    <n v="20"/>
    <s v="GRS"/>
    <n v="1"/>
    <s v="CLIJK155"/>
    <s v="BINDER CLIP JOYKO 155"/>
    <s v="BINDER CLIP JOYKO 155"/>
    <n v="67800"/>
    <n v="0.1"/>
    <m/>
    <n v="1220400"/>
    <s v="RISMA / CONDRO"/>
    <m/>
    <n v="64"/>
    <n v="3"/>
    <n v="1356000"/>
    <n v="135600"/>
    <n v="0"/>
    <n v="135600"/>
    <n v="1220400"/>
    <n v="2130300"/>
    <m/>
    <s v="BINDER CLIP JOYKO 155GRS67800"/>
  </r>
  <r>
    <x v="0"/>
    <s v=""/>
    <s v=""/>
    <m/>
    <m/>
    <m/>
    <m/>
    <s v=""/>
    <s v=" "/>
    <s v=""/>
    <n v="12"/>
    <s v="PCS"/>
    <m/>
    <s v="PUNJK85B"/>
    <s v="PUNCH JOYKO 85B"/>
    <s v="PUNCH JOYKO 85B"/>
    <n v="45500"/>
    <n v="0.1"/>
    <m/>
    <n v="491400"/>
    <m/>
    <m/>
    <n v="64"/>
    <n v="3"/>
    <n v="546000"/>
    <n v="54600"/>
    <n v="0"/>
    <n v="54600"/>
    <n v="491400"/>
    <s v=""/>
    <m/>
    <s v="PUNCH JOYKO 85BPCS45500"/>
  </r>
  <r>
    <x v="0"/>
    <s v=""/>
    <s v=""/>
    <m/>
    <m/>
    <m/>
    <m/>
    <s v=""/>
    <s v=" "/>
    <s v=""/>
    <n v="5"/>
    <s v="LSN"/>
    <m/>
    <s v="STAKENHD10"/>
    <s v="STAPLER KENKO HD-10"/>
    <s v="STAPLER KENKO HD-10"/>
    <n v="93000"/>
    <n v="0.1"/>
    <m/>
    <n v="418500"/>
    <m/>
    <m/>
    <n v="64"/>
    <n v="3"/>
    <n v="465000"/>
    <n v="46500"/>
    <n v="0"/>
    <n v="46500"/>
    <n v="418500"/>
    <s v="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90018"/>
    <d v="2023-09-23T00:00:00"/>
    <n v="23"/>
    <s v="KO"/>
    <s v="3820"/>
    <s v="BENDAN"/>
    <s v="AM 23090018"/>
    <s v="KO 3820"/>
    <s v="HARNOYO (BENDAN) PEKALONGAN"/>
    <n v="1"/>
    <s v="LSN"/>
    <m/>
    <s v="STAYUANCHANG414"/>
    <s v="STAPLER YUAN CHANG 414"/>
    <s v="STAPLER YUAN CHANG 414"/>
    <n v="340000"/>
    <m/>
    <m/>
    <n v="340000"/>
    <s v="RISMA / CONDRO"/>
    <m/>
    <n v="68"/>
    <n v="1"/>
    <n v="340000"/>
    <n v="0"/>
    <n v="0"/>
    <n v="0"/>
    <n v="340000"/>
    <n v="340000"/>
    <m/>
    <s v="STAPLER YUAN CHANG 414LSN34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90019"/>
    <d v="2023-09-23T00:00:00"/>
    <n v="23"/>
    <s v="G"/>
    <s v="3734"/>
    <s v="REJOAGUNG"/>
    <s v="AM 23090019"/>
    <s v="G 3734"/>
    <s v="LILY JULIAWATI (REJO AGUNG) JOMBANG"/>
    <n v="160"/>
    <s v="PCS"/>
    <n v="1"/>
    <s v="CALJKCC37"/>
    <s v="CALCULATOR JOYKO CC-37"/>
    <s v="CALCULATOR JOYKO CC-37"/>
    <n v="32000"/>
    <n v="0.125"/>
    <m/>
    <n v="4480000"/>
    <s v="RISMA / CONDRO"/>
    <m/>
    <n v="70"/>
    <n v="8"/>
    <n v="5120000"/>
    <n v="640000"/>
    <n v="0"/>
    <n v="640000"/>
    <n v="4480000"/>
    <n v="35472500"/>
    <m/>
    <s v="CALCULATOR JOYKO CC-37PCS32000"/>
  </r>
  <r>
    <x v="0"/>
    <s v=""/>
    <s v=""/>
    <m/>
    <m/>
    <m/>
    <m/>
    <m/>
    <m/>
    <s v=""/>
    <n v="160"/>
    <s v="PCS"/>
    <n v="1"/>
    <s v="CALJKCC38"/>
    <s v="CALCULATOR JOYKO CC-38"/>
    <s v="CALCULATOR JOYKO CC-38"/>
    <n v="27500"/>
    <n v="0.125"/>
    <m/>
    <n v="3850000"/>
    <m/>
    <m/>
    <n v="70"/>
    <n v="8"/>
    <n v="4400000"/>
    <n v="550000"/>
    <n v="0"/>
    <n v="550000"/>
    <n v="3850000"/>
    <s v=""/>
    <m/>
    <s v="CALCULATOR JOYKO CC-38PCS27500"/>
  </r>
  <r>
    <x v="0"/>
    <s v="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m/>
    <n v="4147500"/>
    <m/>
    <m/>
    <n v="70"/>
    <n v="8"/>
    <n v="4740000"/>
    <n v="592500"/>
    <n v="0"/>
    <n v="592500"/>
    <n v="4147500"/>
    <s v=""/>
    <m/>
    <s v="CALCULATOR JOYKO CC-800CHPCS79000"/>
  </r>
  <r>
    <x v="0"/>
    <s v=""/>
    <s v=""/>
    <m/>
    <m/>
    <m/>
    <m/>
    <s v=""/>
    <s v=" "/>
    <s v=""/>
    <n v="60"/>
    <s v="PCS"/>
    <n v="1"/>
    <s v="CALJKCC810CH"/>
    <s v="CALCULATOR JOYKO CC-810CH"/>
    <s v="CALCULATOR JOYKO CC-810CH"/>
    <n v="82000"/>
    <n v="0.125"/>
    <m/>
    <n v="4305000"/>
    <m/>
    <m/>
    <n v="70"/>
    <n v="8"/>
    <n v="4920000"/>
    <n v="615000"/>
    <n v="0"/>
    <n v="615000"/>
    <n v="4305000"/>
    <s v=""/>
    <m/>
    <s v="CALCULATOR JOYKO CC-810CHPCS82000"/>
  </r>
  <r>
    <x v="0"/>
    <s v="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70"/>
    <n v="8"/>
    <n v="5640000"/>
    <n v="705000"/>
    <n v="0"/>
    <n v="705000"/>
    <n v="4935000"/>
    <s v=""/>
    <m/>
    <s v="CALCULATOR JOYKO CC-8APCS47000"/>
  </r>
  <r>
    <x v="0"/>
    <s v="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70"/>
    <n v="8"/>
    <n v="5640000"/>
    <n v="705000"/>
    <n v="0"/>
    <n v="705000"/>
    <n v="4935000"/>
    <s v=""/>
    <m/>
    <s v="CALCULATOR JOYKO CC-15APCS47000"/>
  </r>
  <r>
    <x v="0"/>
    <s v="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70"/>
    <n v="8"/>
    <n v="4440000"/>
    <n v="555000"/>
    <n v="0"/>
    <n v="555000"/>
    <n v="3885000"/>
    <s v=""/>
    <m/>
    <s v="CALCULATOR JOYKO CC-41PCS74000"/>
  </r>
  <r>
    <x v="0"/>
    <s v="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70"/>
    <n v="8"/>
    <n v="5640000"/>
    <n v="705000"/>
    <n v="0"/>
    <n v="705000"/>
    <n v="4935000"/>
    <s v=""/>
    <m/>
    <s v="CALCULATOR JOYKO CC-8CO WARNAPCS4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90020"/>
    <d v="2023-09-23T00:00:00"/>
    <n v="23"/>
    <s v="KO"/>
    <s v="3742"/>
    <s v="ANUGERAH"/>
    <s v="AM 23090020"/>
    <s v="KO 3742"/>
    <s v="CV PELITA JAYA (ANUGERAH SEJAHTERA) PURWOKERTO"/>
    <n v="40"/>
    <s v="GRS"/>
    <n v="2"/>
    <s v="PENKEN6191"/>
    <s v="PENSIL KENKO 2B-6191 HIJAU CAP HITAM"/>
    <s v="PENSIL KENKO 2B-6191 HIJAU CAP HITAM"/>
    <n v="110400"/>
    <n v="0.13500000000000001"/>
    <m/>
    <n v="3819840"/>
    <s v="RISMA / CONDRO"/>
    <m/>
    <n v="79"/>
    <n v="2"/>
    <n v="4416000"/>
    <n v="596160"/>
    <n v="0"/>
    <n v="596160"/>
    <n v="3819840"/>
    <n v="6373320"/>
    <m/>
    <s v="PENSIL KENKO 2B-6191 HIJAU CAP HITAMGRS110400"/>
  </r>
  <r>
    <x v="0"/>
    <s v="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3500000000000001"/>
    <m/>
    <n v="2553480"/>
    <m/>
    <m/>
    <n v="79"/>
    <n v="2"/>
    <n v="2952000"/>
    <n v="398520"/>
    <n v="0"/>
    <n v="398520"/>
    <n v="2553480"/>
    <s v="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90021"/>
    <d v="2023-09-26T00:00:00"/>
    <n v="26"/>
    <s v="G"/>
    <s v="3787"/>
    <s v="REJOAGUNG"/>
    <s v="AM 23090021"/>
    <s v="G 3787"/>
    <s v="LILY JULIAWATI (REJO AGUNG) JOMBANG"/>
    <n v="432"/>
    <s v="PCS"/>
    <n v="3"/>
    <s v="PWJK12WPANJANG"/>
    <s v="PENSIL WARNA JOYKO CP-12PB (PANJANG)"/>
    <s v="PENSIL WARNA JOYKO CP-12PB (PANJANG)"/>
    <n v="10600"/>
    <n v="0.125"/>
    <m/>
    <n v="4006800"/>
    <s v="RISMA / CONDRO"/>
    <m/>
    <n v="82"/>
    <n v="1"/>
    <n v="4579200"/>
    <n v="572400"/>
    <n v="0"/>
    <n v="572400"/>
    <n v="4006800"/>
    <n v="4006800"/>
    <m/>
    <s v="PENSIL WARNA JOYKO CP-12PB (PANJANG)PCS10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90022"/>
    <d v="2023-09-26T00:00:00"/>
    <n v="26"/>
    <s v="KO"/>
    <s v="3828"/>
    <s v="NIRMALA"/>
    <s v="AM 23090022"/>
    <s v="KO 3828"/>
    <s v="CV SINAR CAHAYA NIRMALA BREBES"/>
    <n v="3"/>
    <s v="LSN"/>
    <m/>
    <s v="PENJKGP243"/>
    <s v="GEL PEN JOYKO GP-243 WHIZ GEL HITAM"/>
    <s v="GEL PEN JOYKO GP-243 WHIZ GEL"/>
    <n v="24600"/>
    <n v="0.1"/>
    <m/>
    <n v="66420"/>
    <s v="RISMA / CONDRO"/>
    <m/>
    <n v="84"/>
    <n v="13"/>
    <n v="73800"/>
    <n v="7380"/>
    <n v="0"/>
    <n v="7380"/>
    <n v="66420"/>
    <n v="1725035"/>
    <m/>
    <s v="GEL PEN JOYKO GP-243 WHIZ GELLSN24600"/>
  </r>
  <r>
    <x v="0"/>
    <s v=""/>
    <s v=""/>
    <m/>
    <m/>
    <m/>
    <m/>
    <s v=""/>
    <s v=" "/>
    <s v=""/>
    <n v="6"/>
    <s v="LSN"/>
    <m/>
    <s v="PENJKBP349"/>
    <s v="BALLPEN JOYKO BP-349-12 VOKUS TRANS HITAM (BONUS)"/>
    <s v="BALLPEN JOYKO BP-349-12 VOKUS TRANS"/>
    <n v="13200"/>
    <n v="0.1"/>
    <m/>
    <n v="71280"/>
    <m/>
    <m/>
    <n v="84"/>
    <n v="13"/>
    <n v="79200"/>
    <n v="7920"/>
    <n v="0"/>
    <n v="7920"/>
    <n v="71280"/>
    <s v=""/>
    <m/>
    <s v="BALLPEN JOYKO BP-349-12 VOKUS TRANSLSN13200"/>
  </r>
  <r>
    <x v="0"/>
    <s v=""/>
    <s v=""/>
    <m/>
    <m/>
    <m/>
    <m/>
    <s v=""/>
    <s v=" "/>
    <s v=""/>
    <n v="2"/>
    <s v="GRS"/>
    <m/>
    <s v="CLIKEN107"/>
    <s v="BINDER CLIP KENKO NO. 107"/>
    <s v="BINDER CLIP KENKO NO. 107"/>
    <n v="31800"/>
    <n v="0.1"/>
    <m/>
    <n v="57240"/>
    <m/>
    <m/>
    <n v="84"/>
    <n v="13"/>
    <n v="63600"/>
    <n v="6360"/>
    <n v="0"/>
    <n v="6360"/>
    <n v="57240"/>
    <s v=""/>
    <m/>
    <s v="BINDER CLIP KENKO NO. 107GRS31800"/>
  </r>
  <r>
    <x v="0"/>
    <s v=""/>
    <s v=""/>
    <m/>
    <m/>
    <m/>
    <m/>
    <s v=""/>
    <s v=" "/>
    <s v=""/>
    <n v="2"/>
    <s v="GRS"/>
    <s v=" "/>
    <s v="CLIKEN111"/>
    <s v="BINDER CLIP KENKO NO. 111"/>
    <s v="BINDER CLIP KENKO NO. 111"/>
    <n v="49200"/>
    <n v="0.1"/>
    <m/>
    <n v="88560"/>
    <m/>
    <m/>
    <n v="84"/>
    <n v="13"/>
    <n v="98400"/>
    <n v="9840"/>
    <n v="0"/>
    <n v="9840"/>
    <n v="88560"/>
    <s v=""/>
    <m/>
    <s v="BINDER CLIP KENKO NO. 111GRS49200"/>
  </r>
  <r>
    <x v="0"/>
    <s v=""/>
    <s v=""/>
    <m/>
    <m/>
    <m/>
    <m/>
    <s v=""/>
    <s v=" "/>
    <s v=""/>
    <n v="2"/>
    <s v="GRS"/>
    <m/>
    <s v="CLIKEN200"/>
    <s v="BINDER CLIP KENKO NO. 200"/>
    <s v="BINDER CLIP KENKO NO. 200"/>
    <n v="120000"/>
    <n v="0.1"/>
    <m/>
    <n v="216000"/>
    <m/>
    <m/>
    <n v="84"/>
    <n v="13"/>
    <n v="240000"/>
    <n v="24000"/>
    <n v="0"/>
    <n v="24000"/>
    <n v="216000"/>
    <s v=""/>
    <m/>
    <s v="BINDER CLIP KENKO NO. 200GRS120000"/>
  </r>
  <r>
    <x v="0"/>
    <s v=""/>
    <s v=""/>
    <m/>
    <m/>
    <m/>
    <m/>
    <s v=""/>
    <s v=" "/>
    <s v=""/>
    <n v="3"/>
    <s v="LSN"/>
    <m/>
    <s v="LEMKENLG35"/>
    <s v="LEM CAIR 35 ML KENKO LG-35"/>
    <s v="LEM CAIR 35 ML KENKO LG-35"/>
    <n v="19800"/>
    <n v="0.1"/>
    <m/>
    <n v="53460"/>
    <m/>
    <m/>
    <n v="84"/>
    <n v="13"/>
    <n v="59400"/>
    <n v="5940"/>
    <n v="0"/>
    <n v="5940"/>
    <n v="53460"/>
    <s v=""/>
    <m/>
    <s v="LEM CAIR 35 ML KENKO LG-35LSN19800"/>
  </r>
  <r>
    <x v="0"/>
    <s v=""/>
    <s v=""/>
    <m/>
    <m/>
    <m/>
    <m/>
    <s v=""/>
    <s v=" "/>
    <s v=""/>
    <n v="3"/>
    <s v="LSN"/>
    <m/>
    <s v="LEMKENLG50"/>
    <s v="LEM CAIR 50 ML KENKO LG-50"/>
    <s v="LEM CAIR 50 ML KENKO LG-50"/>
    <n v="25200"/>
    <n v="0.1"/>
    <m/>
    <n v="68040"/>
    <m/>
    <m/>
    <n v="84"/>
    <n v="13"/>
    <n v="75600"/>
    <n v="7560"/>
    <n v="0"/>
    <n v="7560"/>
    <n v="68040"/>
    <s v=""/>
    <m/>
    <s v="LEM CAIR 50 ML KENKO LG-50LSN25200"/>
  </r>
  <r>
    <x v="0"/>
    <s v=""/>
    <s v=""/>
    <m/>
    <m/>
    <m/>
    <m/>
    <s v=""/>
    <s v=" "/>
    <s v=""/>
    <n v="2"/>
    <s v="BOX"/>
    <m/>
    <s v="STIJK40HITAM"/>
    <s v="STIP / PENGHAPUS JOYKO 526-B40BL HITAM"/>
    <s v="STIP / PENGHAPUS JOYKO 526-B40BL HITAM"/>
    <n v="28300"/>
    <n v="0.1"/>
    <m/>
    <n v="50940"/>
    <m/>
    <m/>
    <n v="84"/>
    <n v="13"/>
    <n v="56600"/>
    <n v="5660"/>
    <n v="0"/>
    <n v="5660"/>
    <n v="50940"/>
    <s v=""/>
    <m/>
    <s v="STIP / PENGHAPUS JOYKO 526-B40BL HITAMBOX28300"/>
  </r>
  <r>
    <x v="0"/>
    <s v=""/>
    <s v=""/>
    <m/>
    <m/>
    <m/>
    <m/>
    <s v=""/>
    <s v=" "/>
    <s v=""/>
    <n v="2"/>
    <s v="BOX"/>
    <m/>
    <s v="STIJK40PUTIH"/>
    <s v="STIP / PENGHAPUS JOYKO 526-B40P PUTIH"/>
    <s v="STIP / PENGHAPUS JOYKO 526-B40P PUTIH"/>
    <n v="28300"/>
    <n v="0.1"/>
    <m/>
    <n v="50940"/>
    <m/>
    <m/>
    <n v="84"/>
    <n v="13"/>
    <n v="56600"/>
    <n v="5660"/>
    <n v="0"/>
    <n v="5660"/>
    <n v="50940"/>
    <s v=""/>
    <m/>
    <s v="STIP / PENGHAPUS JOYKO 526-B40P PUTIHBOX28300"/>
  </r>
  <r>
    <x v="0"/>
    <s v=""/>
    <s v=""/>
    <m/>
    <m/>
    <m/>
    <m/>
    <s v=""/>
    <s v=" "/>
    <s v=""/>
    <n v="18"/>
    <s v="PAK"/>
    <m/>
    <s v="LLKENA550"/>
    <s v="LOOSE LEAF KENKO A5-LL 50-2070"/>
    <s v="LOOSE LEAF KENKO A5-LL 50-2070"/>
    <n v="4400"/>
    <n v="0.1"/>
    <m/>
    <n v="71280"/>
    <m/>
    <m/>
    <n v="84"/>
    <n v="13"/>
    <n v="79200"/>
    <n v="7920"/>
    <n v="0"/>
    <n v="7920"/>
    <n v="71280"/>
    <s v=""/>
    <m/>
    <s v="LOOSE LEAF KENKO A5-LL 50-2070PAK4400"/>
  </r>
  <r>
    <x v="0"/>
    <s v=""/>
    <s v=""/>
    <m/>
    <m/>
    <m/>
    <m/>
    <s v=""/>
    <s v=" "/>
    <s v=""/>
    <n v="25"/>
    <s v="PAK"/>
    <m/>
    <s v="LLKENA5100"/>
    <s v="LOOSE LEAF KENKO A5-LL 100-2070"/>
    <s v="LOOSE LEAF KENKO A5-LL 100-2070"/>
    <n v="8350"/>
    <n v="0.1"/>
    <m/>
    <n v="187875"/>
    <m/>
    <m/>
    <n v="84"/>
    <n v="13"/>
    <n v="208750"/>
    <n v="20875"/>
    <n v="0"/>
    <n v="20875"/>
    <n v="187875"/>
    <s v=""/>
    <m/>
    <s v="LOOSE LEAF KENKO A5-LL 100-2070PAK8350"/>
  </r>
  <r>
    <x v="0"/>
    <s v="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84"/>
    <n v="13"/>
    <n v="95000"/>
    <n v="0"/>
    <n v="0"/>
    <n v="0"/>
    <n v="95000"/>
    <s v=""/>
    <m/>
    <s v="BUKU KAS KWARTOPCS9500"/>
  </r>
  <r>
    <x v="0"/>
    <s v=""/>
    <s v=""/>
    <m/>
    <m/>
    <m/>
    <m/>
    <s v=""/>
    <s v=" "/>
    <s v=""/>
    <n v="72"/>
    <s v="ROL"/>
    <n v="1"/>
    <s v="PLAKKENBENING"/>
    <e v="#N/A"/>
    <s v="PLAKBAND BENING 80 M KENKO 48 MM RED CORE"/>
    <n v="10000"/>
    <n v="0.1"/>
    <m/>
    <n v="648000"/>
    <m/>
    <m/>
    <n v="84"/>
    <n v="13"/>
    <n v="720000"/>
    <n v="72000"/>
    <n v="0"/>
    <n v="72000"/>
    <n v="648000"/>
    <s v=""/>
    <m/>
    <s v="PLAKBAND BENING 80 M KENKO 48 MM RED COREROL1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90023"/>
    <d v="2023-09-27T00:00:00"/>
    <n v="27"/>
    <s v="KO"/>
    <s v="3791"/>
    <s v="BENDAN"/>
    <s v="AM 23090023"/>
    <s v="KO 3791"/>
    <s v="HARNOYO (BENDAN) PEKALONGAN"/>
    <n v="50"/>
    <s v="PCS"/>
    <m/>
    <m/>
    <s v=""/>
    <s v="HIGHLIGHTER / STABILO KENKO HL-100 UNGU"/>
    <n v="3050"/>
    <n v="0.14000000000000001"/>
    <m/>
    <n v="131150"/>
    <s v="NOVI / CONDRO"/>
    <m/>
    <n v="98"/>
    <n v="4"/>
    <n v="152500"/>
    <n v="21350.000000000004"/>
    <n v="0"/>
    <n v="21350.000000000004"/>
    <n v="131150"/>
    <n v="1075430"/>
    <m/>
    <s v="HIGHLIGHTER / STABILO KENKO HL-100 UNGUPCS3050"/>
  </r>
  <r>
    <x v="0"/>
    <s v=""/>
    <s v=""/>
    <m/>
    <m/>
    <m/>
    <m/>
    <s v=""/>
    <s v=" "/>
    <s v=""/>
    <n v="120"/>
    <s v="PCS"/>
    <m/>
    <m/>
    <s v=""/>
    <s v="HIGHLIGHTER / STABILO KENKO HL-100 HIJAU"/>
    <n v="3050"/>
    <n v="0.14000000000000001"/>
    <m/>
    <n v="314760"/>
    <m/>
    <m/>
    <n v="98"/>
    <n v="4"/>
    <n v="366000"/>
    <n v="51240.000000000007"/>
    <n v="0"/>
    <n v="51240.000000000007"/>
    <n v="314760"/>
    <s v=""/>
    <m/>
    <s v="HIGHLIGHTER / STABILO KENKO HL-100 HIJAUPCS3050"/>
  </r>
  <r>
    <x v="0"/>
    <s v=""/>
    <s v=""/>
    <m/>
    <m/>
    <m/>
    <m/>
    <s v=""/>
    <s v=" "/>
    <s v=""/>
    <n v="120"/>
    <s v="PCS"/>
    <m/>
    <m/>
    <s v=""/>
    <s v="HIGHLIGHTER / STABILO KENKO HL-100 KUNING"/>
    <n v="3050"/>
    <n v="0.14000000000000001"/>
    <m/>
    <n v="314760"/>
    <m/>
    <m/>
    <n v="98"/>
    <n v="4"/>
    <n v="366000"/>
    <n v="51240.000000000007"/>
    <n v="0"/>
    <n v="51240.000000000007"/>
    <n v="314760"/>
    <s v=""/>
    <m/>
    <s v="HIGHLIGHTER / STABILO KENKO HL-100 KUNINGPCS3050"/>
  </r>
  <r>
    <x v="0"/>
    <s v=""/>
    <s v=""/>
    <m/>
    <m/>
    <m/>
    <m/>
    <s v=""/>
    <s v=" "/>
    <s v=""/>
    <n v="120"/>
    <s v="PCS"/>
    <m/>
    <m/>
    <s v=""/>
    <s v="HIGHLIGHTER / STABILO KENKO HL-100 PINK"/>
    <n v="3050"/>
    <n v="0.14000000000000001"/>
    <m/>
    <n v="314760"/>
    <m/>
    <m/>
    <n v="98"/>
    <n v="4"/>
    <n v="366000"/>
    <n v="51240.000000000007"/>
    <n v="0"/>
    <n v="51240.000000000007"/>
    <n v="314760"/>
    <s v=""/>
    <m/>
    <s v="HIGHLIGHTER / STABILO KENKO HL-100 PINKPCS30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90024"/>
    <d v="2023-09-27T00:00:00"/>
    <n v="27"/>
    <s v="KO"/>
    <s v="3780"/>
    <s v="DWIJAYA"/>
    <s v="AM 23090024"/>
    <s v="KO 3780"/>
    <s v="CV DWI JAYA YOGYAKARTA"/>
    <n v="6"/>
    <s v="LSN"/>
    <m/>
    <s v="GUNKENSC828"/>
    <s v="GUNTING KENKO SC-828"/>
    <s v="GUNTING KENKO SC-828"/>
    <n v="56400"/>
    <n v="0.1"/>
    <m/>
    <n v="304560"/>
    <s v="NOVI / CONDRO"/>
    <m/>
    <n v="103"/>
    <n v="4"/>
    <n v="338400"/>
    <n v="33840"/>
    <n v="0"/>
    <n v="33840"/>
    <n v="304560"/>
    <n v="2300400"/>
    <m/>
    <s v="GUNTING KENKO SC-828LSN56400"/>
  </r>
  <r>
    <x v="0"/>
    <s v=""/>
    <s v=""/>
    <m/>
    <m/>
    <m/>
    <m/>
    <s v=""/>
    <s v=" "/>
    <s v=""/>
    <n v="24"/>
    <s v="LSN"/>
    <m/>
    <s v="PENJKGP265"/>
    <s v="GEL PEN JOYKO GP-265 Q-GEL"/>
    <s v="GEL PEN JOYKO GP-265 Q-GEL"/>
    <n v="28200"/>
    <n v="0.1"/>
    <m/>
    <n v="609120"/>
    <m/>
    <m/>
    <n v="103"/>
    <n v="4"/>
    <n v="676800"/>
    <n v="67680"/>
    <n v="0"/>
    <n v="67680"/>
    <n v="609120"/>
    <s v=""/>
    <m/>
    <s v="GEL PEN JOYKO GP-265 Q-GELLSN28200"/>
  </r>
  <r>
    <x v="0"/>
    <s v=""/>
    <s v=""/>
    <m/>
    <m/>
    <m/>
    <m/>
    <s v=""/>
    <s v=" "/>
    <s v=""/>
    <n v="4"/>
    <s v="LSN"/>
    <m/>
    <s v="CUTKENL500"/>
    <s v="CUTTER 18 MM KENKO L-500 (BESAR)"/>
    <s v="CUTTER 18 MM KENKO L-500 (BESAR)"/>
    <n v="147600"/>
    <n v="0.1"/>
    <m/>
    <n v="531360"/>
    <m/>
    <m/>
    <n v="103"/>
    <n v="4"/>
    <n v="590400"/>
    <n v="59040"/>
    <n v="0"/>
    <n v="59040"/>
    <n v="531360"/>
    <s v=""/>
    <m/>
    <s v="CUTTER 18 MM KENKO L-500 (BESAR)LSN147600"/>
  </r>
  <r>
    <x v="0"/>
    <s v=""/>
    <s v=""/>
    <m/>
    <m/>
    <m/>
    <m/>
    <s v=""/>
    <s v=" "/>
    <s v=""/>
    <n v="24"/>
    <s v="LSN"/>
    <m/>
    <s v="PENKENK1HITAM"/>
    <s v="GEL PEN KENKO K-1 HITAM"/>
    <s v="GEL PEN KENKO K-1 HITAM"/>
    <n v="39600"/>
    <n v="0.1"/>
    <m/>
    <n v="855360"/>
    <m/>
    <m/>
    <n v="103"/>
    <n v="4"/>
    <n v="950400"/>
    <n v="95040"/>
    <n v="0"/>
    <n v="95040"/>
    <n v="855360"/>
    <s v=""/>
    <m/>
    <s v="GEL PEN KENKO K-1 HITAMLSN39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90025"/>
    <d v="2023-09-30T00:00:00"/>
    <n v="30"/>
    <s v="G"/>
    <s v="3962"/>
    <s v="REJOAGUNG"/>
    <s v="AM 23090025"/>
    <s v="G 3962"/>
    <s v="LILY JULIAWATI (REJO AGUNG) JOMBANG"/>
    <n v="576"/>
    <s v="PCS"/>
    <n v="2"/>
    <s v="PWJK12WPENDEK"/>
    <s v="PENSIL WARNA JOYKO CP-S12 MINI (PENDEK)"/>
    <s v="PENSIL WARNA JOYKO CP-S12 MINI (PENDEK)"/>
    <n v="6700"/>
    <n v="0.125"/>
    <m/>
    <n v="3376800"/>
    <s v="NOVI / CONDRO"/>
    <m/>
    <n v="109"/>
    <n v="3"/>
    <n v="3859200"/>
    <n v="482400"/>
    <n v="0"/>
    <n v="482400"/>
    <n v="3376800"/>
    <n v="8719200"/>
    <m/>
    <s v="PENSIL WARNA JOYKO CP-S12 MINI (PENDEK)PCS6700"/>
  </r>
  <r>
    <x v="0"/>
    <s v=""/>
    <s v=""/>
    <m/>
    <m/>
    <m/>
    <m/>
    <s v=""/>
    <s v=" "/>
    <s v=""/>
    <n v="288"/>
    <s v="PCS"/>
    <n v="2"/>
    <s v="PWJK12WPANJANG"/>
    <s v="PENSIL WARNA JOYKO CP-12PB (PANJANG)"/>
    <s v="PENSIL WARNA JOYKO CP-12PB (PANJANG)"/>
    <n v="10600"/>
    <n v="0.125"/>
    <m/>
    <n v="2671200"/>
    <m/>
    <m/>
    <n v="109"/>
    <n v="3"/>
    <n v="3052800"/>
    <n v="381600"/>
    <n v="0"/>
    <n v="381600"/>
    <n v="2671200"/>
    <s v=""/>
    <m/>
    <s v="PENSIL WARNA JOYKO CP-12PB (PANJANG)PCS10600"/>
  </r>
  <r>
    <x v="0"/>
    <s v=""/>
    <s v=""/>
    <m/>
    <m/>
    <m/>
    <m/>
    <s v=""/>
    <s v=" "/>
    <s v=""/>
    <n v="144"/>
    <s v="PCS"/>
    <n v="2"/>
    <s v="PWJK24WPANJANG"/>
    <s v="PENSIL WARNA JOYKO CP-24PB (PANJANG)"/>
    <s v="PENSIL WARNA JOYKO CP-24PB (PANJANG)"/>
    <n v="21200"/>
    <n v="0.125"/>
    <m/>
    <n v="2671200"/>
    <m/>
    <m/>
    <n v="109"/>
    <n v="3"/>
    <n v="3052800"/>
    <n v="381600"/>
    <n v="0"/>
    <n v="381600"/>
    <n v="2671200"/>
    <s v=""/>
    <m/>
    <s v="PENSIL WARNA JOYKO CP-24PB (PANJANG)PCS21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1" firstHeaderRow="1" firstDataRow="1" firstDataCol="1"/>
  <pivotFields count="32">
    <pivotField axis="axisRow" showAll="0" sortType="ascending">
      <items count="34">
        <item x="1"/>
        <item m="1" x="30"/>
        <item x="2"/>
        <item x="3"/>
        <item x="4"/>
        <item x="5"/>
        <item x="6"/>
        <item x="7"/>
        <item x="8"/>
        <item x="9"/>
        <item x="10"/>
        <item x="11"/>
        <item m="1" x="27"/>
        <item x="12"/>
        <item m="1" x="28"/>
        <item x="13"/>
        <item m="1" x="29"/>
        <item x="14"/>
        <item m="1" x="32"/>
        <item x="15"/>
        <item x="16"/>
        <item x="17"/>
        <item x="18"/>
        <item x="19"/>
        <item x="20"/>
        <item x="21"/>
        <item x="22"/>
        <item x="23"/>
        <item x="24"/>
        <item m="1" x="26"/>
        <item x="25"/>
        <item m="1" x="3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7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2"/>
    </i>
    <i t="grand">
      <x/>
    </i>
  </rowItems>
  <colItems count="1">
    <i/>
  </colItems>
  <formats count="2"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1">
            <x v="1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71" totalsRowCount="1" headerRowDxfId="98" dataDxfId="97" totalsRowDxfId="96">
  <autoFilter ref="A2:AF270"/>
  <tableColumns count="32">
    <tableColumn id="16" name="//" dataDxfId="95" totalsRowDxfId="94">
      <calculatedColumnFormula>IF(Table1[[#This Row],[No. Invoice :]]="","",ROW())</calculatedColumnFormula>
    </tableColumn>
    <tableColumn id="18" name="h_No. Invoice :" dataDxfId="93" totalsRowDxfId="92">
      <calculatedColumnFormula>IF(Table1[Column3]="","",B$1+COUNT(INDIRECT("B$2:B"&amp;ROW()-1)))</calculatedColumnFormula>
    </tableColumn>
    <tableColumn id="2" name="Tgl Invoice :" dataDxfId="91" totalsRowDxfId="90">
      <calculatedColumnFormula>IF(Table1[[#This Row],[Column2]]="","",Table1[[#This Row],[Column2]]+C$1-1)</calculatedColumnFormula>
    </tableColumn>
    <tableColumn id="32" name="Column2" dataDxfId="89" totalsRowDxfId="88"/>
    <tableColumn id="17" name="Column3" dataDxfId="87" totalsRowDxfId="86"/>
    <tableColumn id="19" name="Column4" dataDxfId="85" totalsRowDxfId="84"/>
    <tableColumn id="20" name="Column5" dataDxfId="83" totalsRowDxfId="82"/>
    <tableColumn id="1" name="No. Invoice :" dataDxfId="81" totalsRowDxfId="80">
      <calculatedColumnFormula>IF(Table1[[#This Row],[h_No. Invoice :]]="","",CONCATENATE("AM"," ",Table1[[#This Row],[h_No. Invoice :]]))</calculatedColumnFormula>
    </tableColumn>
    <tableColumn id="3" name="Kode Sales :" dataDxfId="79" totalsRowDxfId="78">
      <calculatedColumnFormula>CONCATENATE(UPPER(Table1[[#This Row],[Column3]])," ",Table1[[#This Row],[Column4]])</calculatedColumnFormula>
    </tableColumn>
    <tableColumn id="4" name="Toko" dataDxfId="77" totalsRowDxfId="76">
      <calculatedColumnFormula>IF(Table1[[#This Row],[Column5]]="","",INDEX(Table2[e],IF(Table1[[#This Row],[Column5]]="","",MATCH(Table1[[#This Row],[Column5]],Table2[a],0)),))</calculatedColumnFormula>
    </tableColumn>
    <tableColumn id="5" name="Qty" dataDxfId="75" totalsRowDxfId="74"/>
    <tableColumn id="6" name="Unit" dataDxfId="73" totalsRowDxfId="72"/>
    <tableColumn id="7" name="C" dataDxfId="71" totalsRowDxfId="70"/>
    <tableColumn id="8" name="h_Item Description" dataDxfId="69" totalsRowDxfId="68"/>
    <tableColumn id="10" name="Column1" dataDxfId="67" totalsRowDxfId="66">
      <calculatedColumnFormula>IF(Table1[[#This Row],[h_Item Description]]="","",INDEX([1]!db[NB PAJAK],MATCH(Table1[[#This Row],[h_Item Description]],[1]!db[kode],0)))</calculatedColumnFormula>
    </tableColumn>
    <tableColumn id="9" name="Item Description" dataDxfId="65" totalsRowDxfId="64"/>
    <tableColumn id="11" name="Unit Price" dataDxfId="63" totalsRowDxfId="62"/>
    <tableColumn id="12" name="Disc 1" dataDxfId="61" totalsRowDxfId="60"/>
    <tableColumn id="13" name="Disc 2" dataDxfId="59" totalsRowDxfId="58"/>
    <tableColumn id="23" name="Amount" dataDxfId="57" totalsRowDxfId="56">
      <calculatedColumnFormula>Table1[[#This Row],[h_hargasetelahdiskon]]</calculatedColumnFormula>
    </tableColumn>
    <tableColumn id="14" name="pembuat nota :" dataDxfId="55" totalsRowDxfId="54"/>
    <tableColumn id="15" name="edited :" dataDxfId="53" totalsRowDxfId="52"/>
    <tableColumn id="21" name="h_id" dataDxfId="51" totalsRowDxfId="5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49" totalsRowDxfId="48">
      <calculatedColumnFormula>IF(Table1[[#This Row],[h_id]]="","",COUNTIF(Table1[h_id],Table1[[#This Row],[h_id]]))</calculatedColumnFormula>
    </tableColumn>
    <tableColumn id="24" name="h_hargasebelumdiskon" dataDxfId="47" totalsRowDxfId="46">
      <calculatedColumnFormula>IF(Table1[Item Description]="","",Table1[[#This Row],[Qty]]*Table1[[#This Row],[Unit Price]])</calculatedColumnFormula>
    </tableColumn>
    <tableColumn id="31" name="h_disc 1" dataDxfId="45" totalsRowDxfId="44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43" totalsRowDxfId="42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41" totalsRowDxfId="40">
      <calculatedColumnFormula>IF(Table1[Item Description]="","",Table1[[#This Row],[h_disc 1]]+Table1[[#This Row],[h_disc 2]])</calculatedColumnFormula>
    </tableColumn>
    <tableColumn id="26" name="h_hargasetelahdiskon" dataDxfId="39" totalsRowDxfId="38">
      <calculatedColumnFormula>IF(Table1[Item Description]="","",Table1[[#This Row],[h_hargasebelumdiskon]]-Table1[[#This Row],[h_diskon]])</calculatedColumnFormula>
    </tableColumn>
    <tableColumn id="27" name="Total Invoice" dataDxfId="37" totalsRowDxfId="36">
      <calculatedColumnFormula>IF(Table1[//]="","",SUMIF(Table1[h_id],Table1[h_id],Table1[h_hargasetelahdiskon]))</calculatedColumnFormula>
    </tableColumn>
    <tableColumn id="28" name="KETERANGAN" dataDxfId="35" totalsRowDxfId="34"/>
    <tableColumn id="29" name="H_A1" dataDxfId="33" totalsRowDxfId="32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27">
  <autoFilter ref="D4:P57"/>
  <tableColumns count="13">
    <tableColumn id="1" name="//" totalsRowLabel="Total" dataDxfId="26">
      <calculatedColumnFormula>IF(ROW()-(COUNTBLANK($D$1:$D$3)+1)&lt;=jNota,A5,"")</calculatedColumnFormula>
    </tableColumn>
    <tableColumn id="2" name="No. Invoice :" dataDxfId="25">
      <calculatedColumnFormula>IF(pajak[[#This Row],[//]]="","",INDEX(Table1[No. Invoice :],pajak[//]-offset))</calculatedColumnFormula>
    </tableColumn>
    <tableColumn id="3" name="Tgl Invoice :" dataDxfId="24">
      <calculatedColumnFormula>IF(pajak[[#This Row],[//]]="","",INDEX(Table1[Tgl Invoice :],pajak[//]-offset))</calculatedColumnFormula>
    </tableColumn>
    <tableColumn id="4" name="Kode Sales :" dataDxfId="23">
      <calculatedColumnFormula>IF(pajak[[#This Row],[//]]="","",INDEX(Table1[Kode Sales :],pajak[//]-offset))</calculatedColumnFormula>
    </tableColumn>
    <tableColumn id="5" name="Toko" dataDxfId="22">
      <calculatedColumnFormula>IF(pajak[[#This Row],[//]]="","",INDEX(Table1[Toko],pajak[//]-offset))</calculatedColumnFormula>
    </tableColumn>
    <tableColumn id="6" name="Total" totalsRowFunction="sum" dataDxfId="21" totalsRowDxfId="20">
      <calculatedColumnFormula>IF(pajak[[#This Row],[//]]="","",SUMIF(Table1[h_id],pajak[[#This Row],[//]],Table1[h_hargasebelumdiskon]))</calculatedColumnFormula>
    </tableColumn>
    <tableColumn id="7" name="Diskon" totalsRowFunction="sum" dataDxfId="19" totalsRowDxfId="18">
      <calculatedColumnFormula>IF(pajak[[#This Row],[//]]="","",SUMIF(Table1[h_id],pajak[[#This Row],[//]],Table1[h_diskon]))</calculatedColumnFormula>
    </tableColumn>
    <tableColumn id="8" name="Sub Total" totalsRowFunction="sum" dataDxfId="17" totalsRowDxfId="16">
      <calculatedColumnFormula>IF(pajak[[#This Row],[//]]="","",SUMIF(Table1[h_id],pajak[[#This Row],[//]],Table1[h_hargasetelahdiskon]))</calculatedColumnFormula>
    </tableColumn>
    <tableColumn id="9" name="PPN 11%" totalsRowFunction="sum" dataDxfId="15" totalsRowDxfId="14">
      <calculatedColumnFormula>IF(pajak[//]="","",pajak[[#This Row],[Sub Total]]/1.11*11%)</calculatedColumnFormula>
    </tableColumn>
    <tableColumn id="10" name="Total Invoice" totalsRowFunction="sum" dataDxfId="13" totalsRowDxfId="12">
      <calculatedColumnFormula>pajak[[#This Row],[Sub Total]]</calculatedColumnFormula>
    </tableColumn>
    <tableColumn id="14" name="pembuat nota" dataDxfId="11">
      <calculatedColumnFormula>IF(pajak[[#This Row],[//]]="","",INDEX(Table1[pembuat nota :],pajak[//]-offset))</calculatedColumnFormula>
    </tableColumn>
    <tableColumn id="15" name="edited" dataDxfId="10">
      <calculatedColumnFormula>IF(pajak[[#This Row],[//]]="","",IF(INDEX(Table1[edited :],pajak[//]-offset)="","",INDEX(Table1[edited :],pajak[//]-offset)))</calculatedColumnFormula>
    </tableColumn>
    <tableColumn id="12" name="4" dataDxfId="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71"/>
  <sheetViews>
    <sheetView tabSelected="1" topLeftCell="A96" zoomScale="85" zoomScaleNormal="85" workbookViewId="0">
      <selection activeCell="I113" sqref="I113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32" width="9.140625" style="280"/>
  </cols>
  <sheetData>
    <row r="1" spans="1:32" x14ac:dyDescent="0.25">
      <c r="A1" s="280" t="e">
        <f>cou</f>
        <v>#NAME?</v>
      </c>
      <c r="B1" s="280">
        <v>23090001</v>
      </c>
      <c r="C1" s="281">
        <v>45170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126</v>
      </c>
      <c r="E2" s="280" t="s">
        <v>127</v>
      </c>
      <c r="F2" s="282" t="s">
        <v>128</v>
      </c>
      <c r="G2" s="280" t="s">
        <v>129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80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37</v>
      </c>
      <c r="X2" s="280" t="s">
        <v>42</v>
      </c>
      <c r="Y2" s="283" t="s">
        <v>44</v>
      </c>
      <c r="Z2" s="283" t="s">
        <v>101</v>
      </c>
      <c r="AA2" s="283" t="s">
        <v>102</v>
      </c>
      <c r="AB2" s="283" t="s">
        <v>45</v>
      </c>
      <c r="AC2" s="283" t="s">
        <v>46</v>
      </c>
      <c r="AD2" s="280" t="s">
        <v>50</v>
      </c>
      <c r="AE2" s="280" t="s">
        <v>82</v>
      </c>
      <c r="AF2" s="280" t="s">
        <v>96</v>
      </c>
    </row>
    <row r="3" spans="1:32" x14ac:dyDescent="0.25">
      <c r="A3" s="287" t="str">
        <f ca="1">IF(Table1[[#This Row],[No. Invoice :]]="","",ROW())</f>
        <v/>
      </c>
      <c r="B3" s="287" t="str">
        <f ca="1">IF(Table1[Column3]="","",B$1+COUNT(INDIRECT("B$2:B"&amp;ROW()-1)))</f>
        <v/>
      </c>
      <c r="C3" s="281" t="str">
        <f>IF(Table1[[#This Row],[Column2]]="","",Table1[[#This Row],[Column2]]+C$1-1)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Row],[Column3]])," ",Table1[[#This Row],[Column4]])</f>
        <v xml:space="preserve"> </v>
      </c>
      <c r="J3" s="287" t="str">
        <f>IF(Table1[[#This Row],[Column5]]="","",INDEX(Table2[e],IF(Table1[[#This Row],[Column5]]="","",MATCH(Table1[[#This Row],[Column5]],Table2[a],0)),))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IF(Table1[Column3]="","",B$1+COUNT(INDIRECT("B$2:B"&amp;ROW()-1)))</f>
        <v>23090001</v>
      </c>
      <c r="C4" s="281">
        <f>IF(Table1[[#This Row],[Column2]]="","",Table1[[#This Row],[Column2]]+C$1-1)</f>
        <v>45175</v>
      </c>
      <c r="D4" s="280">
        <v>6</v>
      </c>
      <c r="E4" s="297" t="s">
        <v>130</v>
      </c>
      <c r="F4" s="282" t="s">
        <v>136</v>
      </c>
      <c r="G4" s="280" t="s">
        <v>39</v>
      </c>
      <c r="H4" s="287" t="str">
        <f ca="1">IF(Table1[[#This Row],[h_No. Invoice :]]="","",CONCATENATE("AM"," ",Table1[[#This Row],[h_No. Invoice :]]))</f>
        <v>AM 23090001</v>
      </c>
      <c r="I4" s="288" t="str">
        <f>CONCATENATE(UPPER(Table1[[#This Row],[Column3]])," ",Table1[[#This Row],[Column4]])</f>
        <v>KO 3630</v>
      </c>
      <c r="J4" s="287" t="str">
        <f>IF(Table1[[#This Row],[Column5]]="","",INDEX(Table2[e],IF(Table1[[#This Row],[Column5]]="","",MATCH(Table1[[#This Row],[Column5]],Table2[a],0)),))</f>
        <v>CV TRINITY CENTRAAL PURWOKERTO</v>
      </c>
      <c r="K4" s="280">
        <v>40</v>
      </c>
      <c r="L4" s="280" t="s">
        <v>137</v>
      </c>
      <c r="O4" s="287" t="str">
        <f>IF(Table1[[#This Row],[h_Item Description]]="","",INDEX([1]!db[NB PAJAK],MATCH(Table1[[#This Row],[h_Item Description]],[1]!db[kode],0)))</f>
        <v/>
      </c>
      <c r="P4" s="287" t="s">
        <v>139</v>
      </c>
      <c r="Q4" s="283">
        <v>19000</v>
      </c>
      <c r="R4" s="284"/>
      <c r="T4" s="283">
        <f>Table1[[#This Row],[h_hargasetelahdiskon]]</f>
        <v>760000</v>
      </c>
      <c r="U4" s="283" t="s">
        <v>141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2</v>
      </c>
      <c r="Y4" s="283">
        <f>IF(Table1[Item Description]="","",Table1[[#This Row],[Qty]]*Table1[[#This Row],[Unit Price]])</f>
        <v>760000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760000</v>
      </c>
      <c r="AD4" s="283">
        <f ca="1">IF(Table1[//]="","",SUMIF(Table1[h_id],Table1[h_id],Table1[h_hargasetelahdiskon]))</f>
        <v>1484500</v>
      </c>
      <c r="AE4" s="283"/>
      <c r="AF4" s="283" t="str">
        <f>Table1[[#This Row],[Item Description]]&amp;Table1[[#This Row],[Unit]]&amp;Table1[[#This Row],[Unit Price]]</f>
        <v>KARTU STOCK KWARTO 4 WARNAPAK19000</v>
      </c>
    </row>
    <row r="5" spans="1:32" x14ac:dyDescent="0.25">
      <c r="A5" s="287" t="str">
        <f ca="1">IF(Table1[[#This Row],[No. Invoice :]]="","",ROW())</f>
        <v/>
      </c>
      <c r="B5" s="287" t="str">
        <f ca="1">IF(Table1[Column3]="","",B$1+COUNT(INDIRECT("B$2:B"&amp;ROW()-1)))</f>
        <v/>
      </c>
      <c r="C5" s="281" t="str">
        <f>IF(Table1[[#This Row],[Column2]]="","",Table1[[#This Row],[Column2]]+C$1-1)</f>
        <v/>
      </c>
      <c r="D5" s="280"/>
      <c r="E5" s="297"/>
      <c r="H5" s="287" t="str">
        <f ca="1">IF(Table1[[#This Row],[h_No. Invoice :]]="","",CONCATENATE("AM"," ",Table1[[#This Row],[h_No. Invoice :]]))</f>
        <v/>
      </c>
      <c r="I5" s="288" t="str">
        <f>CONCATENATE(UPPER(Table1[[#This Row],[Column3]])," ",Table1[[#This Row],[Column4]])</f>
        <v xml:space="preserve"> </v>
      </c>
      <c r="J5" s="287" t="str">
        <f>IF(Table1[[#This Row],[Column5]]="","",INDEX(Table2[e],IF(Table1[[#This Row],[Column5]]="","",MATCH(Table1[[#This Row],[Column5]],Table2[a],0)),))</f>
        <v/>
      </c>
      <c r="K5" s="280">
        <v>6</v>
      </c>
      <c r="L5" s="280" t="s">
        <v>138</v>
      </c>
      <c r="O5" s="287" t="str">
        <f>IF(Table1[[#This Row],[h_Item Description]]="","",INDEX([1]!db[NB PAJAK],MATCH(Table1[[#This Row],[h_Item Description]],[1]!db[kode],0)))</f>
        <v/>
      </c>
      <c r="P5" s="287" t="s">
        <v>140</v>
      </c>
      <c r="Q5" s="283">
        <v>138000</v>
      </c>
      <c r="R5" s="284">
        <v>0.125</v>
      </c>
      <c r="T5" s="283">
        <f>Table1[[#This Row],[h_hargasetelahdiskon]]</f>
        <v>724500</v>
      </c>
      <c r="W5" s="287">
        <f ca="1">IF(Table1[[#This Row],[Item Description]]="","",IF(Table1[[#This Row],[//]]="",INDIRECT(ADDRESS(ROW()-1,COLUMN())),Table1[[#This Row],[//]]))</f>
        <v>4</v>
      </c>
      <c r="X5" s="287">
        <f ca="1">IF(Table1[[#This Row],[h_id]]="","",COUNTIF(Table1[h_id],Table1[[#This Row],[h_id]]))</f>
        <v>2</v>
      </c>
      <c r="Y5" s="283">
        <f>IF(Table1[Item Description]="","",Table1[[#This Row],[Qty]]*Table1[[#This Row],[Unit Price]])</f>
        <v>828000</v>
      </c>
      <c r="Z5" s="283">
        <f>IF(Table1[[#This Row],[h_hargasebelumdiskon]]="","",IF(Table1[[#This Row],[Disc 1]]="",0,Table1[[#This Row],[h_hargasebelumdiskon]]*Table1[[#This Row],[Disc 1]]))</f>
        <v>103500</v>
      </c>
      <c r="AA5" s="283">
        <f>IF(Table1[[#This Row],[h_hargasebelumdiskon]]="","",IF(Table1[[#This Row],[Disc 2]]="",0,(Table1[[#This Row],[h_hargasebelumdiskon]]-Table1[[#This Row],[h_disc 1]])*Table1[[#This Row],[Disc 2]]))</f>
        <v>0</v>
      </c>
      <c r="AB5" s="283">
        <f>IF(Table1[Item Description]="","",Table1[[#This Row],[h_disc 1]]+Table1[[#This Row],[h_disc 2]])</f>
        <v>103500</v>
      </c>
      <c r="AC5" s="283">
        <f>IF(Table1[Item Description]="","",Table1[[#This Row],[h_hargasebelumdiskon]]-Table1[[#This Row],[h_diskon]])</f>
        <v>724500</v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>STAPLER SDI 1102LS138000</v>
      </c>
    </row>
    <row r="6" spans="1:32" x14ac:dyDescent="0.25">
      <c r="A6" s="287" t="str">
        <f ca="1">IF(Table1[[#This Row],[No. Invoice :]]="","",ROW())</f>
        <v/>
      </c>
      <c r="B6" s="287" t="str">
        <f ca="1">IF(Table1[Column3]="","",B$1+COUNT(INDIRECT("B$2:B"&amp;ROW()-1)))</f>
        <v/>
      </c>
      <c r="C6" s="281" t="str">
        <f>IF(Table1[[#This Row],[Column2]]="","",Table1[[#This Row],[Column2]]+C$1-1)</f>
        <v/>
      </c>
      <c r="H6" s="287" t="str">
        <f ca="1">IF(Table1[[#This Row],[h_No. Invoice :]]="","",CONCATENATE("AM"," ",Table1[[#This Row],[h_No. Invoice :]]))</f>
        <v/>
      </c>
      <c r="I6" s="288" t="str">
        <f>CONCATENATE(UPPER(Table1[[#This Row],[Column3]])," ",Table1[[#This Row],[Column4]])</f>
        <v xml:space="preserve"> </v>
      </c>
      <c r="J6" s="287" t="str">
        <f>IF(Table1[[#This Row],[Column5]]="","",INDEX(Table2[e],IF(Table1[[#This Row],[Column5]]="","",MATCH(Table1[[#This Row],[Column5]],Table2[a],0)),))</f>
        <v/>
      </c>
      <c r="O6" s="287" t="str">
        <f>IF(Table1[[#This Row],[h_Item Description]]="","",INDEX([1]!db[NB PAJAK],MATCH(Table1[[#This Row],[h_Item Description]],[1]!db[kode],0)))</f>
        <v/>
      </c>
      <c r="Q6" s="283"/>
      <c r="R6" s="284"/>
      <c r="T6" s="283" t="str">
        <f>Table1[[#This Row],[h_hargasetelahdiskon]]</f>
        <v/>
      </c>
      <c r="W6" s="287" t="str">
        <f ca="1">IF(Table1[[#This Row],[Item Description]]="","",IF(Table1[[#This Row],[//]]="",INDIRECT(ADDRESS(ROW()-1,COLUMN())),Table1[[#This Row],[//]]))</f>
        <v/>
      </c>
      <c r="X6" s="287" t="str">
        <f ca="1">IF(Table1[[#This Row],[h_id]]="","",COUNTIF(Table1[h_id],Table1[[#This Row],[h_id]]))</f>
        <v/>
      </c>
      <c r="Y6" s="283" t="str">
        <f>IF(Table1[Item Description]="","",Table1[[#This Row],[Qty]]*Table1[[#This Row],[Unit Price]])</f>
        <v/>
      </c>
      <c r="Z6" s="283" t="str">
        <f>IF(Table1[[#This Row],[h_hargasebelumdiskon]]="","",IF(Table1[[#This Row],[Disc 1]]="",0,Table1[[#This Row],[h_hargasebelumdiskon]]*Table1[[#This Row],[Disc 1]]))</f>
        <v/>
      </c>
      <c r="AA6" s="283" t="str">
        <f>IF(Table1[[#This Row],[h_hargasebelumdiskon]]="","",IF(Table1[[#This Row],[Disc 2]]="",0,(Table1[[#This Row],[h_hargasebelumdiskon]]-Table1[[#This Row],[h_disc 1]])*Table1[[#This Row],[Disc 2]]))</f>
        <v/>
      </c>
      <c r="AB6" s="283" t="str">
        <f>IF(Table1[Item Description]="","",Table1[[#This Row],[h_disc 1]]+Table1[[#This Row],[h_disc 2]])</f>
        <v/>
      </c>
      <c r="AC6" s="283" t="str">
        <f>IF(Table1[Item Description]="","",Table1[[#This Row],[h_hargasebelumdiskon]]-Table1[[#This Row],[h_diskon]])</f>
        <v/>
      </c>
      <c r="AD6" s="283" t="str">
        <f ca="1">IF(Table1[//]="","",SUMIF(Table1[h_id],Table1[h_id],Table1[h_hargasetelahdiskon]))</f>
        <v/>
      </c>
      <c r="AE6" s="283"/>
      <c r="AF6" s="283" t="str">
        <f>Table1[[#This Row],[Item Description]]&amp;Table1[[#This Row],[Unit]]&amp;Table1[[#This Row],[Unit Price]]</f>
        <v/>
      </c>
    </row>
    <row r="7" spans="1:32" x14ac:dyDescent="0.25">
      <c r="A7" s="287">
        <f ca="1">IF(Table1[[#This Row],[No. Invoice :]]="","",ROW())</f>
        <v>7</v>
      </c>
      <c r="B7" s="287">
        <f ca="1">IF(Table1[Column3]="","",B$1+COUNT(INDIRECT("B$2:B"&amp;ROW()-1)))</f>
        <v>23090002</v>
      </c>
      <c r="C7" s="281">
        <f>IF(Table1[[#This Row],[Column2]]="","",Table1[[#This Row],[Column2]]+C$1-1)</f>
        <v>45178</v>
      </c>
      <c r="D7" s="292">
        <v>9</v>
      </c>
      <c r="E7" s="280" t="s">
        <v>130</v>
      </c>
      <c r="F7" s="282" t="s">
        <v>131</v>
      </c>
      <c r="G7" s="280" t="s">
        <v>88</v>
      </c>
      <c r="H7" s="287" t="str">
        <f ca="1">IF(Table1[[#This Row],[h_No. Invoice :]]="","",CONCATENATE("AM"," ",Table1[[#This Row],[h_No. Invoice :]]))</f>
        <v>AM 23090002</v>
      </c>
      <c r="I7" s="288" t="str">
        <f>CONCATENATE(UPPER(Table1[[#This Row],[Column3]])," ",Table1[[#This Row],[Column4]])</f>
        <v>KO 3644</v>
      </c>
      <c r="J7" s="287" t="str">
        <f>IF(Table1[[#This Row],[Column5]]="","",INDEX(Table2[e],IF(Table1[[#This Row],[Column5]]="","",MATCH(Table1[[#This Row],[Column5]],Table2[a],0)),))</f>
        <v>CV  WISUDA PURWOKERTO</v>
      </c>
      <c r="K7" s="280">
        <v>5</v>
      </c>
      <c r="L7" s="280" t="s">
        <v>132</v>
      </c>
      <c r="N7" s="280" t="s">
        <v>133</v>
      </c>
      <c r="O7" s="287" t="str">
        <f>IF(Table1[[#This Row],[h_Item Description]]="","",INDEX([1]!db[NB PAJAK],MATCH(Table1[[#This Row],[h_Item Description]],[1]!db[kode],0)))</f>
        <v>STAPLER KENKO HD-10</v>
      </c>
      <c r="P7" s="280" t="s">
        <v>134</v>
      </c>
      <c r="Q7" s="283">
        <v>93000</v>
      </c>
      <c r="R7" s="284">
        <v>0.1</v>
      </c>
      <c r="T7" s="283">
        <f>Table1[[#This Row],[h_hargasetelahdiskon]]</f>
        <v>418500</v>
      </c>
      <c r="U7" s="283" t="s">
        <v>135</v>
      </c>
      <c r="W7" s="287">
        <f ca="1">IF(Table1[[#This Row],[Item Description]]="","",IF(Table1[[#This Row],[//]]="",INDIRECT(ADDRESS(ROW()-1,COLUMN())),Table1[[#This Row],[//]]))</f>
        <v>7</v>
      </c>
      <c r="X7" s="287">
        <f ca="1">IF(Table1[[#This Row],[h_id]]="","",COUNTIF(Table1[h_id],Table1[[#This Row],[h_id]]))</f>
        <v>1</v>
      </c>
      <c r="Y7" s="283">
        <f>IF(Table1[Item Description]="","",Table1[[#This Row],[Qty]]*Table1[[#This Row],[Unit Price]])</f>
        <v>465000</v>
      </c>
      <c r="Z7" s="283">
        <f>IF(Table1[[#This Row],[h_hargasebelumdiskon]]="","",IF(Table1[[#This Row],[Disc 1]]="",0,Table1[[#This Row],[h_hargasebelumdiskon]]*Table1[[#This Row],[Disc 1]]))</f>
        <v>46500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46500</v>
      </c>
      <c r="AC7" s="283">
        <f>IF(Table1[Item Description]="","",Table1[[#This Row],[h_hargasebelumdiskon]]-Table1[[#This Row],[h_diskon]])</f>
        <v>418500</v>
      </c>
      <c r="AD7" s="283">
        <f ca="1">IF(Table1[//]="","",SUMIF(Table1[h_id],Table1[h_id],Table1[h_hargasetelahdiskon]))</f>
        <v>418500</v>
      </c>
      <c r="AE7" s="283"/>
      <c r="AF7" s="283" t="str">
        <f>Table1[[#This Row],[Item Description]]&amp;Table1[[#This Row],[Unit]]&amp;Table1[[#This Row],[Unit Price]]</f>
        <v>STAPLER KENKO HD-10LSN93000</v>
      </c>
    </row>
    <row r="8" spans="1:32" x14ac:dyDescent="0.25">
      <c r="A8" s="287" t="str">
        <f ca="1">IF(Table1[[#This Row],[No. Invoice :]]="","",ROW())</f>
        <v/>
      </c>
      <c r="B8" s="287" t="str">
        <f ca="1">IF(Table1[Column3]="","",B$1+COUNT(INDIRECT("B$2:B"&amp;ROW()-1)))</f>
        <v/>
      </c>
      <c r="C8" s="281" t="str">
        <f>IF(Table1[[#This Row],[Column2]]="","",Table1[[#This Row],[Column2]]+C$1-1)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Row],[Column3]])," ",Table1[[#This Row],[Column4]])</f>
        <v xml:space="preserve"> </v>
      </c>
      <c r="J8" s="287" t="str">
        <f>IF(Table1[[#This Row],[Column5]]="","",INDEX(Table2[e],IF(Table1[[#This Row],[Column5]]="","",MATCH(Table1[[#This Row],[Column5]],Table2[a],0)),))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IF(Table1[Column3]="","",B$1+COUNT(INDIRECT("B$2:B"&amp;ROW()-1)))</f>
        <v>23090003</v>
      </c>
      <c r="C9" s="281">
        <f>IF(Table1[[#This Row],[Column2]]="","",Table1[[#This Row],[Column2]]+C$1-1)</f>
        <v>45178</v>
      </c>
      <c r="D9" s="292">
        <v>9</v>
      </c>
      <c r="E9" s="280" t="s">
        <v>143</v>
      </c>
      <c r="F9" s="282" t="s">
        <v>144</v>
      </c>
      <c r="G9" s="280" t="s">
        <v>90</v>
      </c>
      <c r="H9" s="287" t="str">
        <f ca="1">IF(Table1[[#This Row],[h_No. Invoice :]]="","",CONCATENATE("AM"," ",Table1[[#This Row],[h_No. Invoice :]]))</f>
        <v>AM 23090003</v>
      </c>
      <c r="I9" s="288" t="str">
        <f>CONCATENATE(UPPER(Table1[[#This Row],[Column3]])," ",Table1[[#This Row],[Column4]])</f>
        <v>G 3531</v>
      </c>
      <c r="J9" s="287" t="str">
        <f>IF(Table1[[#This Row],[Column5]]="","",INDEX(Table2[e],IF(Table1[[#This Row],[Column5]]="","",MATCH(Table1[[#This Row],[Column5]],Table2[a],0)),))</f>
        <v>LILY JULIAWATI (REJO AGUNG) JOMBANG</v>
      </c>
      <c r="K9" s="280">
        <v>300</v>
      </c>
      <c r="L9" s="280" t="s">
        <v>132</v>
      </c>
      <c r="M9" s="280">
        <v>5</v>
      </c>
      <c r="N9" s="280" t="s">
        <v>145</v>
      </c>
      <c r="O9" s="287" t="str">
        <f>IF(Table1[[#This Row],[h_Item Description]]="","",INDEX([1]!db[NB PAJAK],MATCH(Table1[[#This Row],[h_Item Description]],[1]!db[kode],0)))</f>
        <v>CORRECTION TAPE JOYKO CT-522</v>
      </c>
      <c r="P9" s="280" t="s">
        <v>146</v>
      </c>
      <c r="Q9" s="283">
        <v>57600</v>
      </c>
      <c r="R9" s="284">
        <v>0.125</v>
      </c>
      <c r="T9" s="283">
        <f>Table1[[#This Row],[h_hargasetelahdiskon]]</f>
        <v>15120000</v>
      </c>
      <c r="U9" s="283" t="s">
        <v>135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1</v>
      </c>
      <c r="Y9" s="283">
        <f>IF(Table1[Item Description]="","",Table1[[#This Row],[Qty]]*Table1[[#This Row],[Unit Price]])</f>
        <v>17280000</v>
      </c>
      <c r="Z9" s="283">
        <f>IF(Table1[[#This Row],[h_hargasebelumdiskon]]="","",IF(Table1[[#This Row],[Disc 1]]="",0,Table1[[#This Row],[h_hargasebelumdiskon]]*Table1[[#This Row],[Disc 1]]))</f>
        <v>2160000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2160000</v>
      </c>
      <c r="AC9" s="283">
        <f>IF(Table1[Item Description]="","",Table1[[#This Row],[h_hargasebelumdiskon]]-Table1[[#This Row],[h_diskon]])</f>
        <v>15120000</v>
      </c>
      <c r="AD9" s="283">
        <f ca="1">IF(Table1[//]="","",SUMIF(Table1[h_id],Table1[h_id],Table1[h_hargasetelahdiskon]))</f>
        <v>15120000</v>
      </c>
      <c r="AE9" s="283"/>
      <c r="AF9" s="283" t="str">
        <f>Table1[[#This Row],[Item Description]]&amp;Table1[[#This Row],[Unit]]&amp;Table1[[#This Row],[Unit Price]]</f>
        <v>CORRECTION TAPE JOYKO CT-522LSN57600</v>
      </c>
    </row>
    <row r="10" spans="1:32" x14ac:dyDescent="0.25">
      <c r="A10" s="287" t="str">
        <f ca="1">IF(Table1[[#This Row],[No. Invoice :]]="","",ROW())</f>
        <v/>
      </c>
      <c r="B10" s="287" t="str">
        <f ca="1">IF(Table1[Column3]="","",B$1+COUNT(INDIRECT("B$2:B"&amp;ROW()-1)))</f>
        <v/>
      </c>
      <c r="C10" s="281" t="str">
        <f>IF(Table1[[#This Row],[Column2]]="","",Table1[[#This Row],[Column2]]+C$1-1)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Row],[Column3]])," ",Table1[[#This Row],[Column4]])</f>
        <v xml:space="preserve"> </v>
      </c>
      <c r="J10" s="287" t="str">
        <f>IF(Table1[[#This Row],[Column5]]="","",INDEX(Table2[e],IF(Table1[[#This Row],[Column5]]="","",MATCH(Table1[[#This Row],[Column5]],Table2[a],0)),))</f>
        <v/>
      </c>
      <c r="O10" s="287" t="str">
        <f>IF(Table1[[#This Row],[h_Item Description]]="","",INDEX([1]!db[NB PAJAK],MATCH(Table1[[#This Row],[h_Item Description]],[1]!db[kode],0)))</f>
        <v/>
      </c>
      <c r="Q10" s="283"/>
      <c r="R10" s="284"/>
      <c r="T10" s="283" t="str">
        <f>Table1[[#This Row],[h_hargasetelahdiskon]]</f>
        <v/>
      </c>
      <c r="W10" s="287" t="str">
        <f ca="1">IF(Table1[[#This Row],[Item Description]]="","",IF(Table1[[#This Row],[//]]="",INDIRECT(ADDRESS(ROW()-1,COLUMN())),Table1[[#This Row],[//]]))</f>
        <v/>
      </c>
      <c r="X10" s="287" t="str">
        <f ca="1">IF(Table1[[#This Row],[h_id]]="","",COUNTIF(Table1[h_id],Table1[[#This Row],[h_id]]))</f>
        <v/>
      </c>
      <c r="Y10" s="283" t="str">
        <f>IF(Table1[Item Description]="","",Table1[[#This Row],[Qty]]*Table1[[#This Row],[Unit Price]])</f>
        <v/>
      </c>
      <c r="Z10" s="283" t="str">
        <f>IF(Table1[[#This Row],[h_hargasebelumdiskon]]="","",IF(Table1[[#This Row],[Disc 1]]="",0,Table1[[#This Row],[h_hargasebelumdiskon]]*Table1[[#This Row],[Disc 1]]))</f>
        <v/>
      </c>
      <c r="AA10" s="283" t="str">
        <f>IF(Table1[[#This Row],[h_hargasebelumdiskon]]="","",IF(Table1[[#This Row],[Disc 2]]="",0,(Table1[[#This Row],[h_hargasebelumdiskon]]-Table1[[#This Row],[h_disc 1]])*Table1[[#This Row],[Disc 2]]))</f>
        <v/>
      </c>
      <c r="AB10" s="283" t="str">
        <f>IF(Table1[Item Description]="","",Table1[[#This Row],[h_disc 1]]+Table1[[#This Row],[h_disc 2]])</f>
        <v/>
      </c>
      <c r="AC10" s="283" t="str">
        <f>IF(Table1[Item Description]="","",Table1[[#This Row],[h_hargasebelumdiskon]]-Table1[[#This Row],[h_diskon]])</f>
        <v/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/>
      </c>
    </row>
    <row r="11" spans="1:32" x14ac:dyDescent="0.25">
      <c r="A11" s="287">
        <f ca="1">IF(Table1[[#This Row],[No. Invoice :]]="","",ROW())</f>
        <v>11</v>
      </c>
      <c r="B11" s="287">
        <f ca="1">IF(Table1[Column3]="","",B$1+COUNT(INDIRECT("B$2:B"&amp;ROW()-1)))</f>
        <v>23090004</v>
      </c>
      <c r="C11" s="281">
        <f>IF(Table1[[#This Row],[Column2]]="","",Table1[[#This Row],[Column2]]+C$1-1)</f>
        <v>45178</v>
      </c>
      <c r="D11" s="292">
        <v>9</v>
      </c>
      <c r="E11" s="280" t="s">
        <v>143</v>
      </c>
      <c r="F11" s="282" t="s">
        <v>147</v>
      </c>
      <c r="G11" s="280" t="s">
        <v>90</v>
      </c>
      <c r="H11" s="287" t="str">
        <f ca="1">IF(Table1[[#This Row],[h_No. Invoice :]]="","",CONCATENATE("AM"," ",Table1[[#This Row],[h_No. Invoice :]]))</f>
        <v>AM 23090004</v>
      </c>
      <c r="I11" s="288" t="str">
        <f>CONCATENATE(UPPER(Table1[[#This Row],[Column3]])," ",Table1[[#This Row],[Column4]])</f>
        <v>G 3530</v>
      </c>
      <c r="J11" s="287" t="str">
        <f>IF(Table1[[#This Row],[Column5]]="","",INDEX(Table2[e],IF(Table1[[#This Row],[Column5]]="","",MATCH(Table1[[#This Row],[Column5]],Table2[a],0)),))</f>
        <v>LILY JULIAWATI (REJO AGUNG) JOMBANG</v>
      </c>
      <c r="K11" s="280">
        <v>240</v>
      </c>
      <c r="L11" s="280" t="s">
        <v>148</v>
      </c>
      <c r="M11" s="280">
        <v>1</v>
      </c>
      <c r="N11" s="280" t="s">
        <v>149</v>
      </c>
      <c r="O11" s="287" t="str">
        <f>IF(Table1[[#This Row],[h_Item Description]]="","",INDEX([1]!db[NB PAJAK],MATCH(Table1[[#This Row],[h_Item Description]],[1]!db[kode],0)))</f>
        <v>KUAS SET JOYKO BR-1</v>
      </c>
      <c r="P11" s="280" t="s">
        <v>157</v>
      </c>
      <c r="Q11" s="283">
        <v>8800</v>
      </c>
      <c r="R11" s="284">
        <v>0.125</v>
      </c>
      <c r="T11" s="283">
        <f>Table1[[#This Row],[h_hargasetelahdiskon]]</f>
        <v>1848000</v>
      </c>
      <c r="U11" s="283" t="s">
        <v>135</v>
      </c>
      <c r="W11" s="287">
        <f ca="1">IF(Table1[[#This Row],[Item Description]]="","",IF(Table1[[#This Row],[//]]="",INDIRECT(ADDRESS(ROW()-1,COLUMN())),Table1[[#This Row],[//]]))</f>
        <v>11</v>
      </c>
      <c r="X11" s="287">
        <f ca="1">IF(Table1[[#This Row],[h_id]]="","",COUNTIF(Table1[h_id],Table1[[#This Row],[h_id]]))</f>
        <v>7</v>
      </c>
      <c r="Y11" s="283">
        <f>IF(Table1[Item Description]="","",Table1[[#This Row],[Qty]]*Table1[[#This Row],[Unit Price]])</f>
        <v>2112000</v>
      </c>
      <c r="Z11" s="283">
        <f>IF(Table1[[#This Row],[h_hargasebelumdiskon]]="","",IF(Table1[[#This Row],[Disc 1]]="",0,Table1[[#This Row],[h_hargasebelumdiskon]]*Table1[[#This Row],[Disc 1]]))</f>
        <v>264000</v>
      </c>
      <c r="AA11" s="283">
        <f>IF(Table1[[#This Row],[h_hargasebelumdiskon]]="","",IF(Table1[[#This Row],[Disc 2]]="",0,(Table1[[#This Row],[h_hargasebelumdiskon]]-Table1[[#This Row],[h_disc 1]])*Table1[[#This Row],[Disc 2]]))</f>
        <v>0</v>
      </c>
      <c r="AB11" s="283">
        <f>IF(Table1[Item Description]="","",Table1[[#This Row],[h_disc 1]]+Table1[[#This Row],[h_disc 2]])</f>
        <v>264000</v>
      </c>
      <c r="AC11" s="283">
        <f>IF(Table1[Item Description]="","",Table1[[#This Row],[h_hargasebelumdiskon]]-Table1[[#This Row],[h_diskon]])</f>
        <v>1848000</v>
      </c>
      <c r="AD11" s="283">
        <f ca="1">IF(Table1[//]="","",SUMIF(Table1[h_id],Table1[h_id],Table1[h_hargasetelahdiskon]))</f>
        <v>17922800</v>
      </c>
      <c r="AE11" s="283"/>
      <c r="AF11" s="283" t="str">
        <f>Table1[[#This Row],[Item Description]]&amp;Table1[[#This Row],[Unit]]&amp;Table1[[#This Row],[Unit Price]]</f>
        <v>KUAS SET JOYKO BR-1SET8800</v>
      </c>
    </row>
    <row r="12" spans="1:32" x14ac:dyDescent="0.25">
      <c r="A12" s="287" t="str">
        <f ca="1">IF(Table1[[#This Row],[No. Invoice :]]="","",ROW())</f>
        <v/>
      </c>
      <c r="B12" s="287" t="str">
        <f ca="1">IF(Table1[Column3]="","",B$1+COUNT(INDIRECT("B$2:B"&amp;ROW()-1)))</f>
        <v/>
      </c>
      <c r="C12" s="281" t="str">
        <f>IF(Table1[[#This Row],[Column2]]="","",Table1[[#This Row],[Column2]]+C$1-1)</f>
        <v/>
      </c>
      <c r="H12" s="287" t="str">
        <f ca="1">IF(Table1[[#This Row],[h_No. Invoice :]]="","",CONCATENATE("AM"," ",Table1[[#This Row],[h_No. Invoice :]]))</f>
        <v/>
      </c>
      <c r="I12" s="288" t="str">
        <f>CONCATENATE(UPPER(Table1[[#This Row],[Column3]])," ",Table1[[#This Row],[Column4]])</f>
        <v xml:space="preserve"> </v>
      </c>
      <c r="J12" s="287" t="str">
        <f>IF(Table1[[#This Row],[Column5]]="","",INDEX(Table2[e],IF(Table1[[#This Row],[Column5]]="","",MATCH(Table1[[#This Row],[Column5]],Table2[a],0)),))</f>
        <v/>
      </c>
      <c r="K12" s="280">
        <v>1000</v>
      </c>
      <c r="L12" s="280" t="s">
        <v>150</v>
      </c>
      <c r="M12" s="280">
        <v>1</v>
      </c>
      <c r="N12" s="280" t="s">
        <v>154</v>
      </c>
      <c r="O12" s="287" t="str">
        <f>IF(Table1[[#This Row],[h_Item Description]]="","",INDEX([1]!db[NB PAJAK],MATCH(Table1[[#This Row],[h_Item Description]],[1]!db[kode],0)))</f>
        <v>LABEL HARGA JOYKO LB-2RL (1 LINE PUTIH)</v>
      </c>
      <c r="P12" s="280" t="s">
        <v>158</v>
      </c>
      <c r="Q12" s="283">
        <v>2050</v>
      </c>
      <c r="R12" s="284">
        <v>0.125</v>
      </c>
      <c r="T12" s="283">
        <f>Table1[[#This Row],[h_hargasetelahdiskon]]</f>
        <v>1793750</v>
      </c>
      <c r="W12" s="287">
        <f ca="1">IF(Table1[[#This Row],[Item Description]]="","",IF(Table1[[#This Row],[//]]="",INDIRECT(ADDRESS(ROW()-1,COLUMN())),Table1[[#This Row],[//]]))</f>
        <v>11</v>
      </c>
      <c r="X12" s="287">
        <f ca="1">IF(Table1[[#This Row],[h_id]]="","",COUNTIF(Table1[h_id],Table1[[#This Row],[h_id]]))</f>
        <v>7</v>
      </c>
      <c r="Y12" s="283">
        <f>IF(Table1[Item Description]="","",Table1[[#This Row],[Qty]]*Table1[[#This Row],[Unit Price]])</f>
        <v>2050000</v>
      </c>
      <c r="Z12" s="283">
        <f>IF(Table1[[#This Row],[h_hargasebelumdiskon]]="","",IF(Table1[[#This Row],[Disc 1]]="",0,Table1[[#This Row],[h_hargasebelumdiskon]]*Table1[[#This Row],[Disc 1]]))</f>
        <v>256250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256250</v>
      </c>
      <c r="AC12" s="283">
        <f>IF(Table1[Item Description]="","",Table1[[#This Row],[h_hargasebelumdiskon]]-Table1[[#This Row],[h_diskon]])</f>
        <v>1793750</v>
      </c>
      <c r="AD12" s="283" t="str">
        <f ca="1">IF(Table1[//]="","",SUMIF(Table1[h_id],Table1[h_id],Table1[h_hargasetelahdiskon]))</f>
        <v/>
      </c>
      <c r="AE12" s="283"/>
      <c r="AF12" s="283" t="str">
        <f>Table1[[#This Row],[Item Description]]&amp;Table1[[#This Row],[Unit]]&amp;Table1[[#This Row],[Unit Price]]</f>
        <v>LABEL HARGA JOYKO LB-2RL (1 LINE PUTIH)PCS2050</v>
      </c>
    </row>
    <row r="13" spans="1:32" x14ac:dyDescent="0.25">
      <c r="A13" s="287" t="str">
        <f ca="1">IF(Table1[[#This Row],[No. Invoice :]]="","",ROW())</f>
        <v/>
      </c>
      <c r="B13" s="287" t="str">
        <f ca="1">IF(Table1[Column3]="","",B$1+COUNT(INDIRECT("B$2:B"&amp;ROW()-1)))</f>
        <v/>
      </c>
      <c r="C13" s="281" t="str">
        <f>IF(Table1[[#This Row],[Column2]]="","",Table1[[#This Row],[Column2]]+C$1-1)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Row],[Column3]])," ",Table1[[#This Row],[Column4]])</f>
        <v xml:space="preserve"> </v>
      </c>
      <c r="J13" s="287" t="str">
        <f>IF(Table1[[#This Row],[Column5]]="","",INDEX(Table2[e],IF(Table1[[#This Row],[Column5]]="","",MATCH(Table1[[#This Row],[Column5]],Table2[a],0)),))</f>
        <v/>
      </c>
      <c r="K13" s="280">
        <v>60</v>
      </c>
      <c r="L13" s="280" t="s">
        <v>150</v>
      </c>
      <c r="M13" s="280">
        <v>1</v>
      </c>
      <c r="N13" s="280" t="s">
        <v>151</v>
      </c>
      <c r="O13" s="287" t="str">
        <f>IF(Table1[[#This Row],[h_Item Description]]="","",INDEX([1]!db[NB PAJAK],MATCH(Table1[[#This Row],[h_Item Description]],[1]!db[kode],0)))</f>
        <v>PUNCH JOYKO 40XL</v>
      </c>
      <c r="P13" s="280" t="s">
        <v>159</v>
      </c>
      <c r="Q13" s="283">
        <v>29500</v>
      </c>
      <c r="R13" s="284">
        <v>0.125</v>
      </c>
      <c r="T13" s="283">
        <f>Table1[[#This Row],[h_hargasetelahdiskon]]</f>
        <v>1548750</v>
      </c>
      <c r="W13" s="287">
        <f ca="1">IF(Table1[[#This Row],[Item Description]]="","",IF(Table1[[#This Row],[//]]="",INDIRECT(ADDRESS(ROW()-1,COLUMN())),Table1[[#This Row],[//]]))</f>
        <v>11</v>
      </c>
      <c r="X13" s="287">
        <f ca="1">IF(Table1[[#This Row],[h_id]]="","",COUNTIF(Table1[h_id],Table1[[#This Row],[h_id]]))</f>
        <v>7</v>
      </c>
      <c r="Y13" s="283">
        <f>IF(Table1[Item Description]="","",Table1[[#This Row],[Qty]]*Table1[[#This Row],[Unit Price]])</f>
        <v>1770000</v>
      </c>
      <c r="Z13" s="283">
        <f>IF(Table1[[#This Row],[h_hargasebelumdiskon]]="","",IF(Table1[[#This Row],[Disc 1]]="",0,Table1[[#This Row],[h_hargasebelumdiskon]]*Table1[[#This Row],[Disc 1]]))</f>
        <v>221250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221250</v>
      </c>
      <c r="AC13" s="283">
        <f>IF(Table1[Item Description]="","",Table1[[#This Row],[h_hargasebelumdiskon]]-Table1[[#This Row],[h_diskon]])</f>
        <v>1548750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PUNCH JOYKO 40XLPCS29500</v>
      </c>
    </row>
    <row r="14" spans="1:32" x14ac:dyDescent="0.25">
      <c r="A14" s="287" t="str">
        <f ca="1">IF(Table1[[#This Row],[No. Invoice :]]="","",ROW())</f>
        <v/>
      </c>
      <c r="B14" s="287" t="str">
        <f ca="1">IF(Table1[Column3]="","",B$1+COUNT(INDIRECT("B$2:B"&amp;ROW()-1)))</f>
        <v/>
      </c>
      <c r="C14" s="281" t="str">
        <f>IF(Table1[[#This Row],[Column2]]="","",Table1[[#This Row],[Column2]]+C$1-1)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Row],[Column3]])," ",Table1[[#This Row],[Column4]])</f>
        <v xml:space="preserve"> </v>
      </c>
      <c r="J14" s="287" t="str">
        <f>IF(Table1[[#This Row],[Column5]]="","",INDEX(Table2[e],IF(Table1[[#This Row],[Column5]]="","",MATCH(Table1[[#This Row],[Column5]],Table2[a],0)),))</f>
        <v/>
      </c>
      <c r="K14" s="280">
        <v>18</v>
      </c>
      <c r="L14" s="280" t="s">
        <v>132</v>
      </c>
      <c r="M14" s="280">
        <v>1</v>
      </c>
      <c r="N14" s="280" t="s">
        <v>153</v>
      </c>
      <c r="O14" s="287" t="str">
        <f>IF(Table1[[#This Row],[h_Item Description]]="","",INDEX([1]!db[NB PAJAK],MATCH(Table1[[#This Row],[h_Item Description]],[1]!db[kode],0)))</f>
        <v>STAMP PAD JOYKO NO. 0</v>
      </c>
      <c r="P14" s="280" t="s">
        <v>160</v>
      </c>
      <c r="Q14" s="283">
        <v>58800</v>
      </c>
      <c r="R14" s="284">
        <v>0.125</v>
      </c>
      <c r="T14" s="283">
        <f>Table1[[#This Row],[h_hargasetelahdiskon]]</f>
        <v>926100</v>
      </c>
      <c r="W14" s="287">
        <f ca="1">IF(Table1[[#This Row],[Item Description]]="","",IF(Table1[[#This Row],[//]]="",INDIRECT(ADDRESS(ROW()-1,COLUMN())),Table1[[#This Row],[//]]))</f>
        <v>11</v>
      </c>
      <c r="X14" s="287">
        <f ca="1">IF(Table1[[#This Row],[h_id]]="","",COUNTIF(Table1[h_id],Table1[[#This Row],[h_id]]))</f>
        <v>7</v>
      </c>
      <c r="Y14" s="283">
        <f>IF(Table1[Item Description]="","",Table1[[#This Row],[Qty]]*Table1[[#This Row],[Unit Price]])</f>
        <v>1058400</v>
      </c>
      <c r="Z14" s="283">
        <f>IF(Table1[[#This Row],[h_hargasebelumdiskon]]="","",IF(Table1[[#This Row],[Disc 1]]="",0,Table1[[#This Row],[h_hargasebelumdiskon]]*Table1[[#This Row],[Disc 1]]))</f>
        <v>132300</v>
      </c>
      <c r="AA14" s="283">
        <f>IF(Table1[[#This Row],[h_hargasebelumdiskon]]="","",IF(Table1[[#This Row],[Disc 2]]="",0,(Table1[[#This Row],[h_hargasebelumdiskon]]-Table1[[#This Row],[h_disc 1]])*Table1[[#This Row],[Disc 2]]))</f>
        <v>0</v>
      </c>
      <c r="AB14" s="283">
        <f>IF(Table1[Item Description]="","",Table1[[#This Row],[h_disc 1]]+Table1[[#This Row],[h_disc 2]])</f>
        <v>132300</v>
      </c>
      <c r="AC14" s="283">
        <f>IF(Table1[Item Description]="","",Table1[[#This Row],[h_hargasebelumdiskon]]-Table1[[#This Row],[h_diskon]])</f>
        <v>926100</v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>STAMP PAD JOYKO NO. 0LSN58800</v>
      </c>
    </row>
    <row r="15" spans="1:32" x14ac:dyDescent="0.25">
      <c r="A15" s="287" t="str">
        <f ca="1">IF(Table1[[#This Row],[No. Invoice :]]="","",ROW())</f>
        <v/>
      </c>
      <c r="B15" s="287" t="str">
        <f ca="1">IF(Table1[Column3]="","",B$1+COUNT(INDIRECT("B$2:B"&amp;ROW()-1)))</f>
        <v/>
      </c>
      <c r="C15" s="281" t="str">
        <f>IF(Table1[[#This Row],[Column2]]="","",Table1[[#This Row],[Column2]]+C$1-1)</f>
        <v/>
      </c>
      <c r="H15" s="287" t="str">
        <f ca="1">IF(Table1[[#This Row],[h_No. Invoice :]]="","",CONCATENATE("AM"," ",Table1[[#This Row],[h_No. Invoice :]]))</f>
        <v/>
      </c>
      <c r="I15" s="288" t="str">
        <f>CONCATENATE(UPPER(Table1[[#This Row],[Column3]])," ",Table1[[#This Row],[Column4]])</f>
        <v xml:space="preserve"> </v>
      </c>
      <c r="J15" s="287" t="str">
        <f>IF(Table1[[#This Row],[Column5]]="","",INDEX(Table2[e],IF(Table1[[#This Row],[Column5]]="","",MATCH(Table1[[#This Row],[Column5]],Table2[a],0)),))</f>
        <v/>
      </c>
      <c r="K15" s="280">
        <v>18</v>
      </c>
      <c r="L15" s="280" t="s">
        <v>132</v>
      </c>
      <c r="M15" s="280">
        <v>1</v>
      </c>
      <c r="N15" s="280" t="s">
        <v>152</v>
      </c>
      <c r="O15" s="287" t="str">
        <f>IF(Table1[[#This Row],[h_Item Description]]="","",INDEX([1]!db[NB PAJAK],MATCH(Table1[[#This Row],[h_Item Description]],[1]!db[kode],0)))</f>
        <v>STAMP PAD JOYKO NO. 1</v>
      </c>
      <c r="P15" s="280" t="s">
        <v>161</v>
      </c>
      <c r="Q15" s="283">
        <v>69600</v>
      </c>
      <c r="R15" s="284">
        <v>0.125</v>
      </c>
      <c r="T15" s="283">
        <f>Table1[[#This Row],[h_hargasetelahdiskon]]</f>
        <v>1096200</v>
      </c>
      <c r="W15" s="287">
        <f ca="1">IF(Table1[[#This Row],[Item Description]]="","",IF(Table1[[#This Row],[//]]="",INDIRECT(ADDRESS(ROW()-1,COLUMN())),Table1[[#This Row],[//]]))</f>
        <v>11</v>
      </c>
      <c r="X15" s="287">
        <f ca="1">IF(Table1[[#This Row],[h_id]]="","",COUNTIF(Table1[h_id],Table1[[#This Row],[h_id]]))</f>
        <v>7</v>
      </c>
      <c r="Y15" s="283">
        <f>IF(Table1[Item Description]="","",Table1[[#This Row],[Qty]]*Table1[[#This Row],[Unit Price]])</f>
        <v>1252800</v>
      </c>
      <c r="Z15" s="283">
        <f>IF(Table1[[#This Row],[h_hargasebelumdiskon]]="","",IF(Table1[[#This Row],[Disc 1]]="",0,Table1[[#This Row],[h_hargasebelumdiskon]]*Table1[[#This Row],[Disc 1]]))</f>
        <v>156600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156600</v>
      </c>
      <c r="AC15" s="283">
        <f>IF(Table1[Item Description]="","",Table1[[#This Row],[h_hargasebelumdiskon]]-Table1[[#This Row],[h_diskon]])</f>
        <v>1096200</v>
      </c>
      <c r="AD15" s="283" t="str">
        <f ca="1">IF(Table1[//]="","",SUMIF(Table1[h_id],Table1[h_id],Table1[h_hargasetelahdiskon]))</f>
        <v/>
      </c>
      <c r="AE15" s="283"/>
      <c r="AF15" s="283" t="str">
        <f>Table1[[#This Row],[Item Description]]&amp;Table1[[#This Row],[Unit]]&amp;Table1[[#This Row],[Unit Price]]</f>
        <v>STAMP PAD JOYKO NO. 1LSN69600</v>
      </c>
    </row>
    <row r="16" spans="1:32" x14ac:dyDescent="0.25">
      <c r="A16" s="287" t="str">
        <f ca="1">IF(Table1[[#This Row],[No. Invoice :]]="","",ROW())</f>
        <v/>
      </c>
      <c r="B16" s="287" t="str">
        <f ca="1">IF(Table1[Column3]="","",B$1+COUNT(INDIRECT("B$2:B"&amp;ROW()-1)))</f>
        <v/>
      </c>
      <c r="C16" s="281" t="str">
        <f>IF(Table1[[#This Row],[Column2]]="","",Table1[[#This Row],[Column2]]+C$1-1)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Row],[Column3]])," ",Table1[[#This Row],[Column4]])</f>
        <v xml:space="preserve"> </v>
      </c>
      <c r="J16" s="287" t="str">
        <f>IF(Table1[[#This Row],[Column5]]="","",INDEX(Table2[e],IF(Table1[[#This Row],[Column5]]="","",MATCH(Table1[[#This Row],[Column5]],Table2[a],0)),))</f>
        <v/>
      </c>
      <c r="K16" s="280">
        <v>288</v>
      </c>
      <c r="L16" s="280" t="s">
        <v>150</v>
      </c>
      <c r="M16" s="280">
        <v>2</v>
      </c>
      <c r="N16" s="280" t="s">
        <v>156</v>
      </c>
      <c r="O16" s="287" t="str">
        <f>IF(Table1[[#This Row],[h_Item Description]]="","",INDEX([1]!db[NB PAJAK],MATCH(Table1[[#This Row],[h_Item Description]],[1]!db[kode],0)))</f>
        <v>CRAYON / OIL PASTEL PUTAR JOYKO TWCR-12S (PANJANG)</v>
      </c>
      <c r="P16" s="280" t="s">
        <v>162</v>
      </c>
      <c r="Q16" s="283">
        <v>23900</v>
      </c>
      <c r="R16" s="284">
        <v>0.125</v>
      </c>
      <c r="T16" s="283">
        <f>Table1[[#This Row],[h_hargasetelahdiskon]]</f>
        <v>6022800</v>
      </c>
      <c r="W16" s="287">
        <f ca="1">IF(Table1[[#This Row],[Item Description]]="","",IF(Table1[[#This Row],[//]]="",INDIRECT(ADDRESS(ROW()-1,COLUMN())),Table1[[#This Row],[//]]))</f>
        <v>11</v>
      </c>
      <c r="X16" s="287">
        <f ca="1">IF(Table1[[#This Row],[h_id]]="","",COUNTIF(Table1[h_id],Table1[[#This Row],[h_id]]))</f>
        <v>7</v>
      </c>
      <c r="Y16" s="283">
        <f>IF(Table1[Item Description]="","",Table1[[#This Row],[Qty]]*Table1[[#This Row],[Unit Price]])</f>
        <v>6883200</v>
      </c>
      <c r="Z16" s="283">
        <f>IF(Table1[[#This Row],[h_hargasebelumdiskon]]="","",IF(Table1[[#This Row],[Disc 1]]="",0,Table1[[#This Row],[h_hargasebelumdiskon]]*Table1[[#This Row],[Disc 1]]))</f>
        <v>860400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860400</v>
      </c>
      <c r="AC16" s="283">
        <f>IF(Table1[Item Description]="","",Table1[[#This Row],[h_hargasebelumdiskon]]-Table1[[#This Row],[h_diskon]])</f>
        <v>6022800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CRAYON / OIL PASTEL PUTAR JOYKO TWCR-12S (PANJANG)PCS23900</v>
      </c>
    </row>
    <row r="17" spans="1:32" x14ac:dyDescent="0.25">
      <c r="A17" s="287" t="str">
        <f ca="1">IF(Table1[[#This Row],[No. Invoice :]]="","",ROW())</f>
        <v/>
      </c>
      <c r="B17" s="287" t="str">
        <f ca="1">IF(Table1[Column3]="","",B$1+COUNT(INDIRECT("B$2:B"&amp;ROW()-1)))</f>
        <v/>
      </c>
      <c r="C17" s="281" t="str">
        <f>IF(Table1[[#This Row],[Column2]]="","",Table1[[#This Row],[Column2]]+C$1-1)</f>
        <v/>
      </c>
      <c r="H17" s="287" t="str">
        <f ca="1">IF(Table1[[#This Row],[h_No. Invoice :]]="","",CONCATENATE("AM"," ",Table1[[#This Row],[h_No. Invoice :]]))</f>
        <v/>
      </c>
      <c r="I17" s="288" t="str">
        <f>CONCATENATE(UPPER(Table1[[#This Row],[Column3]])," ",Table1[[#This Row],[Column4]])</f>
        <v xml:space="preserve"> </v>
      </c>
      <c r="J17" s="287" t="str">
        <f>IF(Table1[[#This Row],[Column5]]="","",INDEX(Table2[e],IF(Table1[[#This Row],[Column5]]="","",MATCH(Table1[[#This Row],[Column5]],Table2[a],0)),))</f>
        <v/>
      </c>
      <c r="K17" s="280">
        <v>288</v>
      </c>
      <c r="L17" s="280" t="s">
        <v>150</v>
      </c>
      <c r="M17" s="280">
        <v>2</v>
      </c>
      <c r="N17" s="280" t="s">
        <v>155</v>
      </c>
      <c r="O17" s="287" t="str">
        <f>IF(Table1[[#This Row],[h_Item Description]]="","",INDEX([1]!db[NB PAJAK],MATCH(Table1[[#This Row],[h_Item Description]],[1]!db[kode],0)))</f>
        <v>CRAYON / OIL PASTEL PUTAR JOYKO TWCR-12MINI (PENDEK)</v>
      </c>
      <c r="P17" s="280" t="s">
        <v>163</v>
      </c>
      <c r="Q17" s="283">
        <v>18600</v>
      </c>
      <c r="R17" s="284">
        <v>0.125</v>
      </c>
      <c r="T17" s="283">
        <f>Table1[[#This Row],[h_hargasetelahdiskon]]</f>
        <v>4687200</v>
      </c>
      <c r="W17" s="287">
        <f ca="1">IF(Table1[[#This Row],[Item Description]]="","",IF(Table1[[#This Row],[//]]="",INDIRECT(ADDRESS(ROW()-1,COLUMN())),Table1[[#This Row],[//]]))</f>
        <v>11</v>
      </c>
      <c r="X17" s="287">
        <f ca="1">IF(Table1[[#This Row],[h_id]]="","",COUNTIF(Table1[h_id],Table1[[#This Row],[h_id]]))</f>
        <v>7</v>
      </c>
      <c r="Y17" s="283">
        <f>IF(Table1[Item Description]="","",Table1[[#This Row],[Qty]]*Table1[[#This Row],[Unit Price]])</f>
        <v>5356800</v>
      </c>
      <c r="Z17" s="283">
        <f>IF(Table1[[#This Row],[h_hargasebelumdiskon]]="","",IF(Table1[[#This Row],[Disc 1]]="",0,Table1[[#This Row],[h_hargasebelumdiskon]]*Table1[[#This Row],[Disc 1]]))</f>
        <v>669600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669600</v>
      </c>
      <c r="AC17" s="283">
        <f>IF(Table1[Item Description]="","",Table1[[#This Row],[h_hargasebelumdiskon]]-Table1[[#This Row],[h_diskon]])</f>
        <v>4687200</v>
      </c>
      <c r="AD17" s="283" t="str">
        <f ca="1">IF(Table1[//]="","",SUMIF(Table1[h_id],Table1[h_id],Table1[h_hargasetelahdiskon]))</f>
        <v/>
      </c>
      <c r="AE17" s="283"/>
      <c r="AF17" s="283" t="str">
        <f>Table1[[#This Row],[Item Description]]&amp;Table1[[#This Row],[Unit]]&amp;Table1[[#This Row],[Unit Price]]</f>
        <v>CRAYON / OIL PASTEL PUTAR JOYKO TWCR-12MINI (PENDEK)PCS18600</v>
      </c>
    </row>
    <row r="18" spans="1:32" x14ac:dyDescent="0.25">
      <c r="A18" s="287" t="str">
        <f ca="1">IF(Table1[[#This Row],[No. Invoice :]]="","",ROW())</f>
        <v/>
      </c>
      <c r="B18" s="287" t="str">
        <f ca="1">IF(Table1[Column3]="","",B$1+COUNT(INDIRECT("B$2:B"&amp;ROW()-1)))</f>
        <v/>
      </c>
      <c r="C18" s="281" t="str">
        <f>IF(Table1[[#This Row],[Column2]]="","",Table1[[#This Row],[Column2]]+C$1-1)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Row],[Column3]])," ",Table1[[#This Row],[Column4]])</f>
        <v xml:space="preserve"> </v>
      </c>
      <c r="J18" s="287" t="str">
        <f>IF(Table1[[#This Row],[Column5]]="","",INDEX(Table2[e],IF(Table1[[#This Row],[Column5]]="","",MATCH(Table1[[#This Row],[Column5]],Table2[a],0)),))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32" x14ac:dyDescent="0.25">
      <c r="A19" s="287">
        <f ca="1">IF(Table1[[#This Row],[No. Invoice :]]="","",ROW())</f>
        <v>19</v>
      </c>
      <c r="B19" s="287">
        <f ca="1">IF(Table1[Column3]="","",B$1+COUNT(INDIRECT("B$2:B"&amp;ROW()-1)))</f>
        <v>23090005</v>
      </c>
      <c r="C19" s="281">
        <f>IF(Table1[[#This Row],[Column2]]="","",Table1[[#This Row],[Column2]]+C$1-1)</f>
        <v>45180</v>
      </c>
      <c r="D19" s="292">
        <v>11</v>
      </c>
      <c r="E19" s="280" t="s">
        <v>130</v>
      </c>
      <c r="F19" s="282" t="s">
        <v>164</v>
      </c>
      <c r="G19" s="280" t="s">
        <v>67</v>
      </c>
      <c r="H19" s="287" t="str">
        <f ca="1">IF(Table1[[#This Row],[h_No. Invoice :]]="","",CONCATENATE("AM"," ",Table1[[#This Row],[h_No. Invoice :]]))</f>
        <v>AM 23090005</v>
      </c>
      <c r="I19" s="288" t="str">
        <f>CONCATENATE(UPPER(Table1[[#This Row],[Column3]])," ",Table1[[#This Row],[Column4]])</f>
        <v>KO 3542</v>
      </c>
      <c r="J19" s="287" t="str">
        <f>IF(Table1[[#This Row],[Column5]]="","",INDEX(Table2[e],IF(Table1[[#This Row],[Column5]]="","",MATCH(Table1[[#This Row],[Column5]],Table2[a],0)),))</f>
        <v>HARNOYO (BENDAN) PEKALONGAN</v>
      </c>
      <c r="K19" s="280">
        <v>36</v>
      </c>
      <c r="L19" s="280" t="s">
        <v>132</v>
      </c>
      <c r="M19" s="280">
        <v>1</v>
      </c>
      <c r="N19" s="280" t="s">
        <v>165</v>
      </c>
      <c r="O19" s="287" t="str">
        <f>IF(Table1[[#This Row],[h_Item Description]]="","",INDEX([1]!db[NB PAJAK],MATCH(Table1[[#This Row],[h_Item Description]],[1]!db[kode],0)))</f>
        <v>CORRECTION FLUID KENKO KE-823M</v>
      </c>
      <c r="P19" s="280" t="s">
        <v>166</v>
      </c>
      <c r="Q19" s="283">
        <v>57000</v>
      </c>
      <c r="R19" s="284">
        <v>0.14000000000000001</v>
      </c>
      <c r="T19" s="283">
        <f>Table1[[#This Row],[h_hargasetelahdiskon]]</f>
        <v>1764720</v>
      </c>
      <c r="U19" s="283" t="s">
        <v>135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1</v>
      </c>
      <c r="Y19" s="283">
        <f>IF(Table1[Item Description]="","",Table1[[#This Row],[Qty]]*Table1[[#This Row],[Unit Price]])</f>
        <v>2052000</v>
      </c>
      <c r="Z19" s="283">
        <f>IF(Table1[[#This Row],[h_hargasebelumdiskon]]="","",IF(Table1[[#This Row],[Disc 1]]="",0,Table1[[#This Row],[h_hargasebelumdiskon]]*Table1[[#This Row],[Disc 1]]))</f>
        <v>287280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287280</v>
      </c>
      <c r="AC19" s="283">
        <f>IF(Table1[Item Description]="","",Table1[[#This Row],[h_hargasebelumdiskon]]-Table1[[#This Row],[h_diskon]])</f>
        <v>1764720</v>
      </c>
      <c r="AD19" s="283">
        <f ca="1">IF(Table1[//]="","",SUMIF(Table1[h_id],Table1[h_id],Table1[h_hargasetelahdiskon]))</f>
        <v>1764720</v>
      </c>
      <c r="AE19" s="283"/>
      <c r="AF19" s="283" t="str">
        <f>Table1[[#This Row],[Item Description]]&amp;Table1[[#This Row],[Unit]]&amp;Table1[[#This Row],[Unit Price]]</f>
        <v>CORRECTION FLUID KENKO KE-823MLSN57000</v>
      </c>
    </row>
    <row r="20" spans="1:32" x14ac:dyDescent="0.25">
      <c r="A20" s="287" t="str">
        <f ca="1">IF(Table1[[#This Row],[No. Invoice :]]="","",ROW())</f>
        <v/>
      </c>
      <c r="B20" s="287" t="str">
        <f ca="1">IF(Table1[Column3]="","",B$1+COUNT(INDIRECT("B$2:B"&amp;ROW()-1)))</f>
        <v/>
      </c>
      <c r="C20" s="281" t="str">
        <f>IF(Table1[[#This Row],[Column2]]="","",Table1[[#This Row],[Column2]]+C$1-1)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Row],[Column3]])," ",Table1[[#This Row],[Column4]])</f>
        <v xml:space="preserve"> </v>
      </c>
      <c r="J20" s="287" t="str">
        <f>IF(Table1[[#This Row],[Column5]]="","",INDEX(Table2[e],IF(Table1[[#This Row],[Column5]]="","",MATCH(Table1[[#This Row],[Column5]],Table2[a],0)),))</f>
        <v/>
      </c>
      <c r="O20" s="287" t="str">
        <f>IF(Table1[[#This Row],[h_Item Description]]="","",INDEX([1]!db[NB PAJAK],MATCH(Table1[[#This Row],[h_Item Description]],[1]!db[kode],0)))</f>
        <v/>
      </c>
      <c r="Q20" s="283"/>
      <c r="R20" s="284"/>
      <c r="T20" s="283" t="str">
        <f>Table1[[#This Row],[h_hargasetelahdiskon]]</f>
        <v/>
      </c>
      <c r="W20" s="287" t="str">
        <f ca="1">IF(Table1[[#This Row],[Item Description]]="","",IF(Table1[[#This Row],[//]]="",INDIRECT(ADDRESS(ROW()-1,COLUMN())),Table1[[#This Row],[//]]))</f>
        <v/>
      </c>
      <c r="X20" s="287" t="str">
        <f ca="1">IF(Table1[[#This Row],[h_id]]="","",COUNTIF(Table1[h_id],Table1[[#This Row],[h_id]]))</f>
        <v/>
      </c>
      <c r="Y20" s="283" t="str">
        <f>IF(Table1[Item Description]="","",Table1[[#This Row],[Qty]]*Table1[[#This Row],[Unit Price]])</f>
        <v/>
      </c>
      <c r="Z20" s="283" t="str">
        <f>IF(Table1[[#This Row],[h_hargasebelumdiskon]]="","",IF(Table1[[#This Row],[Disc 1]]="",0,Table1[[#This Row],[h_hargasebelumdiskon]]*Table1[[#This Row],[Disc 1]]))</f>
        <v/>
      </c>
      <c r="AA20" s="283" t="str">
        <f>IF(Table1[[#This Row],[h_hargasebelumdiskon]]="","",IF(Table1[[#This Row],[Disc 2]]="",0,(Table1[[#This Row],[h_hargasebelumdiskon]]-Table1[[#This Row],[h_disc 1]])*Table1[[#This Row],[Disc 2]]))</f>
        <v/>
      </c>
      <c r="AB20" s="283" t="str">
        <f>IF(Table1[Item Description]="","",Table1[[#This Row],[h_disc 1]]+Table1[[#This Row],[h_disc 2]])</f>
        <v/>
      </c>
      <c r="AC20" s="283" t="str">
        <f>IF(Table1[Item Description]="","",Table1[[#This Row],[h_hargasebelumdiskon]]-Table1[[#This Row],[h_diskon]])</f>
        <v/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/>
      </c>
    </row>
    <row r="21" spans="1:32" x14ac:dyDescent="0.25">
      <c r="A21" s="287">
        <f ca="1">IF(Table1[[#This Row],[No. Invoice :]]="","",ROW())</f>
        <v>21</v>
      </c>
      <c r="B21" s="287">
        <f ca="1">IF(Table1[Column3]="","",B$1+COUNT(INDIRECT("B$2:B"&amp;ROW()-1)))</f>
        <v>23090006</v>
      </c>
      <c r="C21" s="281">
        <f>IF(Table1[[#This Row],[Column2]]="","",Table1[[#This Row],[Column2]]+C$1-1)</f>
        <v>45180</v>
      </c>
      <c r="D21" s="292">
        <v>11</v>
      </c>
      <c r="E21" s="280" t="s">
        <v>130</v>
      </c>
      <c r="F21" s="282" t="s">
        <v>173</v>
      </c>
      <c r="G21" s="280" t="s">
        <v>81</v>
      </c>
      <c r="H21" s="287" t="str">
        <f ca="1">IF(Table1[[#This Row],[h_No. Invoice :]]="","",CONCATENATE("AM"," ",Table1[[#This Row],[h_No. Invoice :]]))</f>
        <v>AM 23090006</v>
      </c>
      <c r="I21" s="288" t="str">
        <f>CONCATENATE(UPPER(Table1[[#This Row],[Column3]])," ",Table1[[#This Row],[Column4]])</f>
        <v>KO 3544</v>
      </c>
      <c r="J21" s="287" t="str">
        <f>IF(Table1[[#This Row],[Column5]]="","",INDEX(Table2[e],IF(Table1[[#This Row],[Column5]]="","",MATCH(Table1[[#This Row],[Column5]],Table2[a],0)),))</f>
        <v>CV PELITA JAYA (ANUGERAH SEJAHTERA) PURWOKERTO</v>
      </c>
      <c r="K21" s="280">
        <v>48</v>
      </c>
      <c r="L21" s="280" t="s">
        <v>132</v>
      </c>
      <c r="M21" s="280">
        <v>1</v>
      </c>
      <c r="N21" s="280" t="s">
        <v>171</v>
      </c>
      <c r="O21" s="287" t="str">
        <f>IF(Table1[[#This Row],[h_Item Description]]="","",INDEX([1]!db[NB PAJAK],MATCH(Table1[[#This Row],[h_Item Description]],[1]!db[kode],0)))</f>
        <v>PUSH PIN KENKO PN-30 WARNA</v>
      </c>
      <c r="P21" s="280" t="s">
        <v>172</v>
      </c>
      <c r="Q21" s="283">
        <v>33000</v>
      </c>
      <c r="R21" s="284">
        <v>0.13500000000000001</v>
      </c>
      <c r="T21" s="283">
        <f>Table1[[#This Row],[h_hargasetelahdiskon]]</f>
        <v>1370160</v>
      </c>
      <c r="U21" s="283" t="s">
        <v>135</v>
      </c>
      <c r="W21" s="287">
        <f ca="1">IF(Table1[[#This Row],[Item Description]]="","",IF(Table1[[#This Row],[//]]="",INDIRECT(ADDRESS(ROW()-1,COLUMN())),Table1[[#This Row],[//]]))</f>
        <v>21</v>
      </c>
      <c r="X21" s="287">
        <f ca="1">IF(Table1[[#This Row],[h_id]]="","",COUNTIF(Table1[h_id],Table1[[#This Row],[h_id]]))</f>
        <v>3</v>
      </c>
      <c r="Y21" s="283">
        <f>IF(Table1[Item Description]="","",Table1[[#This Row],[Qty]]*Table1[[#This Row],[Unit Price]])</f>
        <v>1584000</v>
      </c>
      <c r="Z21" s="283">
        <f>IF(Table1[[#This Row],[h_hargasebelumdiskon]]="","",IF(Table1[[#This Row],[Disc 1]]="",0,Table1[[#This Row],[h_hargasebelumdiskon]]*Table1[[#This Row],[Disc 1]]))</f>
        <v>213840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213840</v>
      </c>
      <c r="AC21" s="283">
        <f>IF(Table1[Item Description]="","",Table1[[#This Row],[h_hargasebelumdiskon]]-Table1[[#This Row],[h_diskon]])</f>
        <v>1370160</v>
      </c>
      <c r="AD21" s="283">
        <f ca="1">IF(Table1[//]="","",SUMIF(Table1[h_id],Table1[h_id],Table1[h_hargasetelahdiskon]))</f>
        <v>5580288</v>
      </c>
      <c r="AE21" s="283"/>
      <c r="AF21" s="283" t="str">
        <f>Table1[[#This Row],[Item Description]]&amp;Table1[[#This Row],[Unit]]&amp;Table1[[#This Row],[Unit Price]]</f>
        <v>PUSH PIN KENKO PN-30LSN33000</v>
      </c>
    </row>
    <row r="22" spans="1:32" x14ac:dyDescent="0.25">
      <c r="A22" s="287" t="str">
        <f ca="1">IF(Table1[[#This Row],[No. Invoice :]]="","",ROW())</f>
        <v/>
      </c>
      <c r="B22" s="287" t="str">
        <f ca="1">IF(Table1[Column3]="","",B$1+COUNT(INDIRECT("B$2:B"&amp;ROW()-1)))</f>
        <v/>
      </c>
      <c r="C22" s="281" t="str">
        <f>IF(Table1[[#This Row],[Column2]]="","",Table1[[#This Row],[Column2]]+C$1-1)</f>
        <v/>
      </c>
      <c r="H22" s="287" t="str">
        <f ca="1">IF(Table1[[#This Row],[h_No. Invoice :]]="","",CONCATENATE("AM"," ",Table1[[#This Row],[h_No. Invoice :]]))</f>
        <v/>
      </c>
      <c r="I22" s="288" t="str">
        <f>CONCATENATE(UPPER(Table1[[#This Row],[Column3]])," ",Table1[[#This Row],[Column4]])</f>
        <v xml:space="preserve"> </v>
      </c>
      <c r="J22" s="287" t="str">
        <f>IF(Table1[[#This Row],[Column5]]="","",INDEX(Table2[e],IF(Table1[[#This Row],[Column5]]="","",MATCH(Table1[[#This Row],[Column5]],Table2[a],0)),))</f>
        <v/>
      </c>
      <c r="K22" s="280">
        <v>48</v>
      </c>
      <c r="L22" s="280" t="s">
        <v>132</v>
      </c>
      <c r="M22" s="280">
        <v>1</v>
      </c>
      <c r="N22" s="280" t="s">
        <v>167</v>
      </c>
      <c r="O22" s="287" t="str">
        <f>IF(Table1[[#This Row],[h_Item Description]]="","",INDEX([1]!db[NB PAJAK],MATCH(Table1[[#This Row],[h_Item Description]],[1]!db[kode],0)))</f>
        <v>PAPER CLIP WARNA KENKO 3100</v>
      </c>
      <c r="P22" s="280" t="s">
        <v>168</v>
      </c>
      <c r="Q22" s="283">
        <v>41400</v>
      </c>
      <c r="R22" s="284">
        <v>0.13500000000000001</v>
      </c>
      <c r="T22" s="283">
        <f>Table1[[#This Row],[h_hargasetelahdiskon]]</f>
        <v>1718928</v>
      </c>
      <c r="W22" s="287">
        <f ca="1">IF(Table1[[#This Row],[Item Description]]="","",IF(Table1[[#This Row],[//]]="",INDIRECT(ADDRESS(ROW()-1,COLUMN())),Table1[[#This Row],[//]]))</f>
        <v>21</v>
      </c>
      <c r="X22" s="287">
        <f ca="1">IF(Table1[[#This Row],[h_id]]="","",COUNTIF(Table1[h_id],Table1[[#This Row],[h_id]]))</f>
        <v>3</v>
      </c>
      <c r="Y22" s="283">
        <f>IF(Table1[Item Description]="","",Table1[[#This Row],[Qty]]*Table1[[#This Row],[Unit Price]])</f>
        <v>1987200</v>
      </c>
      <c r="Z22" s="283">
        <f>IF(Table1[[#This Row],[h_hargasebelumdiskon]]="","",IF(Table1[[#This Row],[Disc 1]]="",0,Table1[[#This Row],[h_hargasebelumdiskon]]*Table1[[#This Row],[Disc 1]]))</f>
        <v>268272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268272</v>
      </c>
      <c r="AC22" s="283">
        <f>IF(Table1[Item Description]="","",Table1[[#This Row],[h_hargasebelumdiskon]]-Table1[[#This Row],[h_diskon]])</f>
        <v>1718928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PAPER CLIP WARNA KENKO 3100LSN41400</v>
      </c>
    </row>
    <row r="23" spans="1:32" s="287" customFormat="1" x14ac:dyDescent="0.25">
      <c r="A23" s="287" t="str">
        <f ca="1">IF(Table1[[#This Row],[No. Invoice :]]="","",ROW())</f>
        <v/>
      </c>
      <c r="B23" s="287" t="str">
        <f ca="1">IF(Table1[Column3]="","",B$1+COUNT(INDIRECT("B$2:B"&amp;ROW()-1)))</f>
        <v/>
      </c>
      <c r="C23" s="281" t="str">
        <f>IF(Table1[[#This Row],[Column2]]="","",Table1[[#This Row],[Column2]]+C$1-1)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Row],[Column3]])," ",Table1[[#This Row],[Column4]])</f>
        <v xml:space="preserve"> </v>
      </c>
      <c r="J23" s="287" t="str">
        <f>IF(Table1[[#This Row],[Column5]]="","",INDEX(Table2[e],IF(Table1[[#This Row],[Column5]]="","",MATCH(Table1[[#This Row],[Column5]],Table2[a],0)),))</f>
        <v/>
      </c>
      <c r="K23" s="280">
        <v>48</v>
      </c>
      <c r="L23" s="280" t="s">
        <v>132</v>
      </c>
      <c r="M23" s="280">
        <v>1</v>
      </c>
      <c r="N23" s="280" t="s">
        <v>169</v>
      </c>
      <c r="O23" s="287" t="str">
        <f>IF(Table1[[#This Row],[h_Item Description]]="","",INDEX([1]!db[NB PAJAK],MATCH(Table1[[#This Row],[h_Item Description]],[1]!db[kode],0)))</f>
        <v>CORRECTION TAPE KENKO CT-902 (12M x 5MM)</v>
      </c>
      <c r="P23" s="280" t="s">
        <v>170</v>
      </c>
      <c r="Q23" s="283">
        <v>60000</v>
      </c>
      <c r="R23" s="284">
        <v>0.13500000000000001</v>
      </c>
      <c r="S23" s="284"/>
      <c r="T23" s="283">
        <f>Table1[[#This Row],[h_hargasetelahdiskon]]</f>
        <v>2491200</v>
      </c>
      <c r="U23" s="283"/>
      <c r="V23" s="280"/>
      <c r="W23" s="287">
        <f ca="1">IF(Table1[[#This Row],[Item Description]]="","",IF(Table1[[#This Row],[//]]="",INDIRECT(ADDRESS(ROW()-1,COLUMN())),Table1[[#This Row],[//]]))</f>
        <v>21</v>
      </c>
      <c r="X23" s="287">
        <f ca="1">IF(Table1[[#This Row],[h_id]]="","",COUNTIF(Table1[h_id],Table1[[#This Row],[h_id]]))</f>
        <v>3</v>
      </c>
      <c r="Y23" s="283">
        <f>IF(Table1[Item Description]="","",Table1[[#This Row],[Qty]]*Table1[[#This Row],[Unit Price]])</f>
        <v>2880000</v>
      </c>
      <c r="Z23" s="283">
        <f>IF(Table1[[#This Row],[h_hargasebelumdiskon]]="","",IF(Table1[[#This Row],[Disc 1]]="",0,Table1[[#This Row],[h_hargasebelumdiskon]]*Table1[[#This Row],[Disc 1]]))</f>
        <v>388800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388800</v>
      </c>
      <c r="AC23" s="283">
        <f>IF(Table1[Item Description]="","",Table1[[#This Row],[h_hargasebelumdiskon]]-Table1[[#This Row],[h_diskon]])</f>
        <v>2491200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CORRECTION TAPE KENKO CT-902 (12M x 5MM)LSN60000</v>
      </c>
    </row>
    <row r="24" spans="1:32" s="287" customFormat="1" x14ac:dyDescent="0.25">
      <c r="A24" s="287" t="str">
        <f ca="1">IF(Table1[[#This Row],[No. Invoice :]]="","",ROW())</f>
        <v/>
      </c>
      <c r="B24" s="287" t="str">
        <f ca="1">IF(Table1[Column3]="","",B$1+COUNT(INDIRECT("B$2:B"&amp;ROW()-1)))</f>
        <v/>
      </c>
      <c r="C24" s="281" t="str">
        <f>IF(Table1[[#This Row],[Column2]]="","",Table1[[#This Row],[Column2]]+C$1-1)</f>
        <v/>
      </c>
      <c r="D24" s="292"/>
      <c r="E24" s="280"/>
      <c r="F24" s="282"/>
      <c r="G24" s="280"/>
      <c r="H24" s="287" t="str">
        <f ca="1">IF(Table1[[#This Row],[h_No. Invoice :]]="","",CONCATENATE("AM"," ",Table1[[#This Row],[h_No. Invoice :]]))</f>
        <v/>
      </c>
      <c r="I24" s="288" t="str">
        <f>CONCATENATE(UPPER(Table1[[#This Row],[Column3]])," ",Table1[[#This Row],[Column4]])</f>
        <v xml:space="preserve"> </v>
      </c>
      <c r="J24" s="287" t="str">
        <f>IF(Table1[[#This Row],[Column5]]="","",INDEX(Table2[e],IF(Table1[[#This Row],[Column5]]="","",MATCH(Table1[[#This Row],[Column5]],Table2[a],0)),))</f>
        <v/>
      </c>
      <c r="K24" s="280"/>
      <c r="L24" s="280"/>
      <c r="M24" s="280"/>
      <c r="N24" s="280"/>
      <c r="O24" s="287" t="str">
        <f>IF(Table1[[#This Row],[h_Item Description]]="","",INDEX([1]!db[NB PAJAK],MATCH(Table1[[#This Row],[h_Item Description]],[1]!db[kode],0)))</f>
        <v/>
      </c>
      <c r="P24" s="280"/>
      <c r="Q24" s="283"/>
      <c r="R24" s="284"/>
      <c r="S24" s="284"/>
      <c r="T24" s="283" t="str">
        <f>Table1[[#This Row],[h_hargasetelahdiskon]]</f>
        <v/>
      </c>
      <c r="U24" s="283"/>
      <c r="V24" s="280"/>
      <c r="W24" s="287" t="str">
        <f ca="1">IF(Table1[[#This Row],[Item Description]]="","",IF(Table1[[#This Row],[//]]="",INDIRECT(ADDRESS(ROW()-1,COLUMN())),Table1[[#This Row],[//]]))</f>
        <v/>
      </c>
      <c r="X24" s="287" t="str">
        <f ca="1">IF(Table1[[#This Row],[h_id]]="","",COUNTIF(Table1[h_id],Table1[[#This Row],[h_id]]))</f>
        <v/>
      </c>
      <c r="Y24" s="283" t="str">
        <f>IF(Table1[Item Description]="","",Table1[[#This Row],[Qty]]*Table1[[#This Row],[Unit Price]])</f>
        <v/>
      </c>
      <c r="Z24" s="283" t="str">
        <f>IF(Table1[[#This Row],[h_hargasebelumdiskon]]="","",IF(Table1[[#This Row],[Disc 1]]="",0,Table1[[#This Row],[h_hargasebelumdiskon]]*Table1[[#This Row],[Disc 1]]))</f>
        <v/>
      </c>
      <c r="AA24" s="283" t="str">
        <f>IF(Table1[[#This Row],[h_hargasebelumdiskon]]="","",IF(Table1[[#This Row],[Disc 2]]="",0,(Table1[[#This Row],[h_hargasebelumdiskon]]-Table1[[#This Row],[h_disc 1]])*Table1[[#This Row],[Disc 2]]))</f>
        <v/>
      </c>
      <c r="AB24" s="283" t="str">
        <f>IF(Table1[Item Description]="","",Table1[[#This Row],[h_disc 1]]+Table1[[#This Row],[h_disc 2]])</f>
        <v/>
      </c>
      <c r="AC24" s="283" t="str">
        <f>IF(Table1[Item Description]="","",Table1[[#This Row],[h_hargasebelumdiskon]]-Table1[[#This Row],[h_diskon]])</f>
        <v/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/>
      </c>
    </row>
    <row r="25" spans="1:32" x14ac:dyDescent="0.25">
      <c r="A25" s="287">
        <f ca="1">IF(Table1[[#This Row],[No. Invoice :]]="","",ROW())</f>
        <v>25</v>
      </c>
      <c r="B25" s="287">
        <f ca="1">IF(Table1[Column3]="","",B$1+COUNT(INDIRECT("B$2:B"&amp;ROW()-1)))</f>
        <v>23090007</v>
      </c>
      <c r="C25" s="281">
        <f>IF(Table1[[#This Row],[Column2]]="","",Table1[[#This Row],[Column2]]+C$1-1)</f>
        <v>45180</v>
      </c>
      <c r="D25" s="292">
        <v>11</v>
      </c>
      <c r="E25" s="280" t="s">
        <v>143</v>
      </c>
      <c r="F25" s="282" t="s">
        <v>174</v>
      </c>
      <c r="G25" s="280" t="s">
        <v>90</v>
      </c>
      <c r="H25" s="287" t="str">
        <f ca="1">IF(Table1[[#This Row],[h_No. Invoice :]]="","",CONCATENATE("AM"," ",Table1[[#This Row],[h_No. Invoice :]]))</f>
        <v>AM 23090007</v>
      </c>
      <c r="I25" s="288" t="str">
        <f>CONCATENATE(UPPER(Table1[[#This Row],[Column3]])," ",Table1[[#This Row],[Column4]])</f>
        <v>G 3547</v>
      </c>
      <c r="J25" s="287" t="str">
        <f>IF(Table1[[#This Row],[Column5]]="","",INDEX(Table2[e],IF(Table1[[#This Row],[Column5]]="","",MATCH(Table1[[#This Row],[Column5]],Table2[a],0)),))</f>
        <v>LILY JULIAWATI (REJO AGUNG) JOMBANG</v>
      </c>
      <c r="K25" s="280">
        <v>144</v>
      </c>
      <c r="L25" s="280" t="s">
        <v>132</v>
      </c>
      <c r="M25" s="280">
        <v>4</v>
      </c>
      <c r="N25" s="280" t="s">
        <v>175</v>
      </c>
      <c r="O25" s="287" t="str">
        <f>IF(Table1[[#This Row],[h_Item Description]]="","",INDEX([1]!db[NB PAJAK],MATCH(Table1[[#This Row],[h_Item Description]],[1]!db[kode],0)))</f>
        <v>CORRECTION FLUID KENKO KE-01</v>
      </c>
      <c r="P25" s="280" t="s">
        <v>176</v>
      </c>
      <c r="Q25" s="283">
        <v>54300</v>
      </c>
      <c r="R25" s="284">
        <v>0.125</v>
      </c>
      <c r="T25" s="283">
        <f>Table1[[#This Row],[h_hargasetelahdiskon]]</f>
        <v>6841800</v>
      </c>
      <c r="U25" s="283" t="s">
        <v>135</v>
      </c>
      <c r="W25" s="287">
        <f ca="1">IF(Table1[[#This Row],[Item Description]]="","",IF(Table1[[#This Row],[//]]="",INDIRECT(ADDRESS(ROW()-1,COLUMN())),Table1[[#This Row],[//]]))</f>
        <v>25</v>
      </c>
      <c r="X25" s="287">
        <f ca="1">IF(Table1[[#This Row],[h_id]]="","",COUNTIF(Table1[h_id],Table1[[#This Row],[h_id]]))</f>
        <v>1</v>
      </c>
      <c r="Y25" s="283">
        <f>IF(Table1[Item Description]="","",Table1[[#This Row],[Qty]]*Table1[[#This Row],[Unit Price]])</f>
        <v>7819200</v>
      </c>
      <c r="Z25" s="283">
        <f>IF(Table1[[#This Row],[h_hargasebelumdiskon]]="","",IF(Table1[[#This Row],[Disc 1]]="",0,Table1[[#This Row],[h_hargasebelumdiskon]]*Table1[[#This Row],[Disc 1]]))</f>
        <v>977400</v>
      </c>
      <c r="AA25" s="283">
        <f>IF(Table1[[#This Row],[h_hargasebelumdiskon]]="","",IF(Table1[[#This Row],[Disc 2]]="",0,(Table1[[#This Row],[h_hargasebelumdiskon]]-Table1[[#This Row],[h_disc 1]])*Table1[[#This Row],[Disc 2]]))</f>
        <v>0</v>
      </c>
      <c r="AB25" s="283">
        <f>IF(Table1[Item Description]="","",Table1[[#This Row],[h_disc 1]]+Table1[[#This Row],[h_disc 2]])</f>
        <v>977400</v>
      </c>
      <c r="AC25" s="283">
        <f>IF(Table1[Item Description]="","",Table1[[#This Row],[h_hargasebelumdiskon]]-Table1[[#This Row],[h_diskon]])</f>
        <v>6841800</v>
      </c>
      <c r="AD25" s="283">
        <f ca="1">IF(Table1[//]="","",SUMIF(Table1[h_id],Table1[h_id],Table1[h_hargasetelahdiskon]))</f>
        <v>6841800</v>
      </c>
      <c r="AE25" s="283"/>
      <c r="AF25" s="283" t="str">
        <f>Table1[[#This Row],[Item Description]]&amp;Table1[[#This Row],[Unit]]&amp;Table1[[#This Row],[Unit Price]]</f>
        <v>CORRECTION FLUID KENKO KE-01LSN54300</v>
      </c>
    </row>
    <row r="26" spans="1:32" x14ac:dyDescent="0.25">
      <c r="A26" s="287" t="str">
        <f ca="1">IF(Table1[[#This Row],[No. Invoice :]]="","",ROW())</f>
        <v/>
      </c>
      <c r="B26" s="287" t="str">
        <f ca="1">IF(Table1[Column3]="","",B$1+COUNT(INDIRECT("B$2:B"&amp;ROW()-1)))</f>
        <v/>
      </c>
      <c r="C26" s="281" t="str">
        <f>IF(Table1[[#This Row],[Column2]]="","",Table1[[#This Row],[Column2]]+C$1-1)</f>
        <v/>
      </c>
      <c r="H26" s="287" t="str">
        <f ca="1">IF(Table1[[#This Row],[h_No. Invoice :]]="","",CONCATENATE("AM"," ",Table1[[#This Row],[h_No. Invoice :]]))</f>
        <v/>
      </c>
      <c r="I26" s="288" t="str">
        <f>CONCATENATE(UPPER(Table1[[#This Row],[Column3]])," ",Table1[[#This Row],[Column4]])</f>
        <v xml:space="preserve"> </v>
      </c>
      <c r="J26" s="287" t="str">
        <f>IF(Table1[[#This Row],[Column5]]="","",INDEX(Table2[e],IF(Table1[[#This Row],[Column5]]="","",MATCH(Table1[[#This Row],[Column5]],Table2[a],0)),))</f>
        <v/>
      </c>
      <c r="O26" s="287" t="str">
        <f>IF(Table1[[#This Row],[h_Item Description]]="","",INDEX([1]!db[NB PAJAK],MATCH(Table1[[#This Row],[h_Item Description]],[1]!db[kode],0)))</f>
        <v/>
      </c>
      <c r="Q26" s="283"/>
      <c r="R26" s="284"/>
      <c r="T26" s="283" t="str">
        <f>Table1[[#This Row],[h_hargasetelahdiskon]]</f>
        <v/>
      </c>
      <c r="W26" s="287" t="str">
        <f ca="1">IF(Table1[[#This Row],[Item Description]]="","",IF(Table1[[#This Row],[//]]="",INDIRECT(ADDRESS(ROW()-1,COLUMN())),Table1[[#This Row],[//]]))</f>
        <v/>
      </c>
      <c r="X26" s="287" t="str">
        <f ca="1">IF(Table1[[#This Row],[h_id]]="","",COUNTIF(Table1[h_id],Table1[[#This Row],[h_id]]))</f>
        <v/>
      </c>
      <c r="Y26" s="283" t="str">
        <f>IF(Table1[Item Description]="","",Table1[[#This Row],[Qty]]*Table1[[#This Row],[Unit Price]])</f>
        <v/>
      </c>
      <c r="Z26" s="283" t="str">
        <f>IF(Table1[[#This Row],[h_hargasebelumdiskon]]="","",IF(Table1[[#This Row],[Disc 1]]="",0,Table1[[#This Row],[h_hargasebelumdiskon]]*Table1[[#This Row],[Disc 1]]))</f>
        <v/>
      </c>
      <c r="AA26" s="283" t="str">
        <f>IF(Table1[[#This Row],[h_hargasebelumdiskon]]="","",IF(Table1[[#This Row],[Disc 2]]="",0,(Table1[[#This Row],[h_hargasebelumdiskon]]-Table1[[#This Row],[h_disc 1]])*Table1[[#This Row],[Disc 2]]))</f>
        <v/>
      </c>
      <c r="AB26" s="283" t="str">
        <f>IF(Table1[Item Description]="","",Table1[[#This Row],[h_disc 1]]+Table1[[#This Row],[h_disc 2]])</f>
        <v/>
      </c>
      <c r="AC26" s="283" t="str">
        <f>IF(Table1[Item Description]="","",Table1[[#This Row],[h_hargasebelumdiskon]]-Table1[[#This Row],[h_diskon]])</f>
        <v/>
      </c>
      <c r="AD26" s="283" t="str">
        <f ca="1">IF(Table1[//]="","",SUMIF(Table1[h_id],Table1[h_id],Table1[h_hargasetelahdiskon]))</f>
        <v/>
      </c>
      <c r="AE26" s="283"/>
      <c r="AF26" s="283" t="str">
        <f>Table1[[#This Row],[Item Description]]&amp;Table1[[#This Row],[Unit]]&amp;Table1[[#This Row],[Unit Price]]</f>
        <v/>
      </c>
    </row>
    <row r="27" spans="1:32" x14ac:dyDescent="0.25">
      <c r="A27" s="287">
        <f ca="1">IF(Table1[[#This Row],[No. Invoice :]]="","",ROW())</f>
        <v>27</v>
      </c>
      <c r="B27" s="287">
        <f ca="1">IF(Table1[Column3]="","",B$1+COUNT(INDIRECT("B$2:B"&amp;ROW()-1)))</f>
        <v>23090008</v>
      </c>
      <c r="C27" s="281">
        <f>IF(Table1[[#This Row],[Column2]]="","",Table1[[#This Row],[Column2]]+C$1-1)</f>
        <v>45180</v>
      </c>
      <c r="D27" s="292">
        <v>11</v>
      </c>
      <c r="E27" s="280" t="s">
        <v>177</v>
      </c>
      <c r="F27" s="282" t="s">
        <v>178</v>
      </c>
      <c r="G27" s="280" t="s">
        <v>93</v>
      </c>
      <c r="H27" s="287" t="str">
        <f ca="1">IF(Table1[[#This Row],[h_No. Invoice :]]="","",CONCATENATE("AM"," ",Table1[[#This Row],[h_No. Invoice :]]))</f>
        <v>AM 23090008</v>
      </c>
      <c r="I27" s="288" t="str">
        <f>CONCATENATE(UPPER(Table1[[#This Row],[Column3]])," ",Table1[[#This Row],[Column4]])</f>
        <v>A 3703</v>
      </c>
      <c r="J27" s="287" t="str">
        <f>IF(Table1[[#This Row],[Column5]]="","",INDEX(Table2[e],IF(Table1[[#This Row],[Column5]]="","",MATCH(Table1[[#This Row],[Column5]],Table2[a],0)),))</f>
        <v>CV TIARA SOLO</v>
      </c>
      <c r="K27" s="280">
        <v>60</v>
      </c>
      <c r="L27" s="280" t="s">
        <v>179</v>
      </c>
      <c r="M27" s="280">
        <v>1</v>
      </c>
      <c r="O27" s="287" t="str">
        <f>IF(Table1[[#This Row],[h_Item Description]]="","",INDEX([1]!db[NB PAJAK],MATCH(Table1[[#This Row],[h_Item Description]],[1]!db[kode],0)))</f>
        <v/>
      </c>
      <c r="P27" s="280" t="s">
        <v>180</v>
      </c>
      <c r="Q27" s="283">
        <v>67500</v>
      </c>
      <c r="R27" s="284">
        <v>0.15</v>
      </c>
      <c r="T27" s="283">
        <f>Table1[[#This Row],[h_hargasetelahdiskon]]</f>
        <v>3442500</v>
      </c>
      <c r="U27" s="283" t="s">
        <v>135</v>
      </c>
      <c r="W27" s="287">
        <f ca="1">IF(Table1[[#This Row],[Item Description]]="","",IF(Table1[[#This Row],[//]]="",INDIRECT(ADDRESS(ROW()-1,COLUMN())),Table1[[#This Row],[//]]))</f>
        <v>27</v>
      </c>
      <c r="X27" s="287">
        <f ca="1">IF(Table1[[#This Row],[h_id]]="","",COUNTIF(Table1[h_id],Table1[[#This Row],[h_id]]))</f>
        <v>1</v>
      </c>
      <c r="Y27" s="283">
        <f>IF(Table1[Item Description]="","",Table1[[#This Row],[Qty]]*Table1[[#This Row],[Unit Price]])</f>
        <v>4050000</v>
      </c>
      <c r="Z27" s="283">
        <f>IF(Table1[[#This Row],[h_hargasebelumdiskon]]="","",IF(Table1[[#This Row],[Disc 1]]="",0,Table1[[#This Row],[h_hargasebelumdiskon]]*Table1[[#This Row],[Disc 1]]))</f>
        <v>607500</v>
      </c>
      <c r="AA27" s="283">
        <f>IF(Table1[[#This Row],[h_hargasebelumdiskon]]="","",IF(Table1[[#This Row],[Disc 2]]="",0,(Table1[[#This Row],[h_hargasebelumdiskon]]-Table1[[#This Row],[h_disc 1]])*Table1[[#This Row],[Disc 2]]))</f>
        <v>0</v>
      </c>
      <c r="AB27" s="283">
        <f>IF(Table1[Item Description]="","",Table1[[#This Row],[h_disc 1]]+Table1[[#This Row],[h_disc 2]])</f>
        <v>607500</v>
      </c>
      <c r="AC27" s="283">
        <f>IF(Table1[Item Description]="","",Table1[[#This Row],[h_hargasebelumdiskon]]-Table1[[#This Row],[h_diskon]])</f>
        <v>3442500</v>
      </c>
      <c r="AD27" s="283">
        <f ca="1">IF(Table1[//]="","",SUMIF(Table1[h_id],Table1[h_id],Table1[h_hargasetelahdiskon]))</f>
        <v>3442500</v>
      </c>
      <c r="AE27" s="283"/>
      <c r="AF27" s="283" t="str">
        <f>Table1[[#This Row],[Item Description]]&amp;Table1[[#This Row],[Unit]]&amp;Table1[[#This Row],[Unit Price]]</f>
        <v>BALON NCL LKM 2200DISP67500</v>
      </c>
    </row>
    <row r="28" spans="1:32" x14ac:dyDescent="0.25">
      <c r="A28" s="287" t="str">
        <f ca="1">IF(Table1[[#This Row],[No. Invoice :]]="","",ROW())</f>
        <v/>
      </c>
      <c r="B28" s="287" t="str">
        <f ca="1">IF(Table1[Column3]="","",B$1+COUNT(INDIRECT("B$2:B"&amp;ROW()-1)))</f>
        <v/>
      </c>
      <c r="C28" s="281" t="str">
        <f>IF(Table1[[#This Row],[Column2]]="","",Table1[[#This Row],[Column2]]+C$1-1)</f>
        <v/>
      </c>
      <c r="H28" s="287" t="str">
        <f ca="1">IF(Table1[[#This Row],[h_No. Invoice :]]="","",CONCATENATE("AM"," ",Table1[[#This Row],[h_No. Invoice :]]))</f>
        <v/>
      </c>
      <c r="I28" s="288" t="str">
        <f>CONCATENATE(UPPER(Table1[[#This Row],[Column3]])," ",Table1[[#This Row],[Column4]])</f>
        <v xml:space="preserve"> </v>
      </c>
      <c r="J28" s="287" t="str">
        <f>IF(Table1[[#This Row],[Column5]]="","",INDEX(Table2[e],IF(Table1[[#This Row],[Column5]]="","",MATCH(Table1[[#This Row],[Column5]],Table2[a],0)),))</f>
        <v/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 t="str">
        <f ca="1">IF(Table1[//]="","",SUMIF(Table1[h_id],Table1[h_id],Table1[h_hargasetelahdiskon]))</f>
        <v/>
      </c>
      <c r="AE28" s="283"/>
      <c r="AF28" s="283" t="str">
        <f>Table1[[#This Row],[Item Description]]&amp;Table1[[#This Row],[Unit]]&amp;Table1[[#This Row],[Unit Price]]</f>
        <v/>
      </c>
    </row>
    <row r="29" spans="1:32" x14ac:dyDescent="0.25">
      <c r="A29" s="287">
        <f ca="1">IF(Table1[[#This Row],[No. Invoice :]]="","",ROW())</f>
        <v>29</v>
      </c>
      <c r="B29" s="287">
        <f ca="1">IF(Table1[Column3]="","",B$1+COUNT(INDIRECT("B$2:B"&amp;ROW()-1)))</f>
        <v>23090009</v>
      </c>
      <c r="C29" s="281">
        <f>IF(Table1[[#This Row],[Column2]]="","",Table1[[#This Row],[Column2]]+C$1-1)</f>
        <v>45173</v>
      </c>
      <c r="D29" s="292">
        <v>4</v>
      </c>
      <c r="E29" s="280" t="s">
        <v>143</v>
      </c>
      <c r="F29" s="282" t="s">
        <v>181</v>
      </c>
      <c r="G29" s="280" t="s">
        <v>89</v>
      </c>
      <c r="H29" s="287" t="str">
        <f ca="1">IF(Table1[[#This Row],[h_No. Invoice :]]="","",CONCATENATE("AM"," ",Table1[[#This Row],[h_No. Invoice :]]))</f>
        <v>AM 23090009</v>
      </c>
      <c r="I29" s="288" t="str">
        <f>CONCATENATE(UPPER(Table1[[#This Row],[Column3]])," ",Table1[[#This Row],[Column4]])</f>
        <v>G 3525</v>
      </c>
      <c r="J29" s="287" t="str">
        <f>IF(Table1[[#This Row],[Column5]]="","",INDEX(Table2[e],IF(Table1[[#This Row],[Column5]]="","",MATCH(Table1[[#This Row],[Column5]],Table2[a],0)),))</f>
        <v>CV UTAMA PUTRA TULUNG AGUNG</v>
      </c>
      <c r="K29" s="280">
        <v>144</v>
      </c>
      <c r="L29" s="280" t="s">
        <v>132</v>
      </c>
      <c r="M29" s="280">
        <v>1</v>
      </c>
      <c r="N29" s="280" t="s">
        <v>182</v>
      </c>
      <c r="O29" s="287" t="e">
        <f>IF(Table1[[#This Row],[h_Item Description]]="","",INDEX([1]!db[NB PAJAK],MATCH(Table1[[#This Row],[h_Item Description]],[1]!db[kode],0)))</f>
        <v>#N/A</v>
      </c>
      <c r="P29" s="280" t="s">
        <v>183</v>
      </c>
      <c r="Q29" s="283">
        <v>25200</v>
      </c>
      <c r="R29" s="284">
        <v>0.125</v>
      </c>
      <c r="T29" s="283">
        <f>Table1[[#This Row],[h_hargasetelahdiskon]]</f>
        <v>3175200</v>
      </c>
      <c r="U29" s="283" t="s">
        <v>135</v>
      </c>
      <c r="W29" s="287">
        <f ca="1">IF(Table1[[#This Row],[Item Description]]="","",IF(Table1[[#This Row],[//]]="",INDIRECT(ADDRESS(ROW()-1,COLUMN())),Table1[[#This Row],[//]]))</f>
        <v>29</v>
      </c>
      <c r="X29" s="287">
        <f ca="1">IF(Table1[[#This Row],[h_id]]="","",COUNTIF(Table1[h_id],Table1[[#This Row],[h_id]]))</f>
        <v>1</v>
      </c>
      <c r="Y29" s="283">
        <f>IF(Table1[Item Description]="","",Table1[[#This Row],[Qty]]*Table1[[#This Row],[Unit Price]])</f>
        <v>3628800</v>
      </c>
      <c r="Z29" s="283">
        <f>IF(Table1[[#This Row],[h_hargasebelumdiskon]]="","",IF(Table1[[#This Row],[Disc 1]]="",0,Table1[[#This Row],[h_hargasebelumdiskon]]*Table1[[#This Row],[Disc 1]]))</f>
        <v>453600</v>
      </c>
      <c r="AA29" s="283">
        <f>IF(Table1[[#This Row],[h_hargasebelumdiskon]]="","",IF(Table1[[#This Row],[Disc 2]]="",0,(Table1[[#This Row],[h_hargasebelumdiskon]]-Table1[[#This Row],[h_disc 1]])*Table1[[#This Row],[Disc 2]]))</f>
        <v>0</v>
      </c>
      <c r="AB29" s="283">
        <f>IF(Table1[Item Description]="","",Table1[[#This Row],[h_disc 1]]+Table1[[#This Row],[h_disc 2]])</f>
        <v>453600</v>
      </c>
      <c r="AC29" s="283">
        <f>IF(Table1[Item Description]="","",Table1[[#This Row],[h_hargasebelumdiskon]]-Table1[[#This Row],[h_diskon]])</f>
        <v>3175200</v>
      </c>
      <c r="AD29" s="283">
        <f ca="1">IF(Table1[//]="","",SUMIF(Table1[h_id],Table1[h_id],Table1[h_hargasetelahdiskon]))</f>
        <v>3175200</v>
      </c>
      <c r="AE29" s="283"/>
      <c r="AF29" s="283" t="str">
        <f>Table1[[#This Row],[Item Description]]&amp;Table1[[#This Row],[Unit]]&amp;Table1[[#This Row],[Unit Price]]</f>
        <v>GEL PEN KENKO FUN GEL HITAMLSN25200</v>
      </c>
    </row>
    <row r="30" spans="1:32" x14ac:dyDescent="0.25">
      <c r="A30" s="287" t="str">
        <f ca="1">IF(Table1[[#This Row],[No. Invoice :]]="","",ROW())</f>
        <v/>
      </c>
      <c r="B30" s="287" t="str">
        <f ca="1">IF(Table1[Column3]="","",B$1+COUNT(INDIRECT("B$2:B"&amp;ROW()-1)))</f>
        <v/>
      </c>
      <c r="C30" s="281" t="str">
        <f>IF(Table1[[#This Row],[Column2]]="","",Table1[[#This Row],[Column2]]+C$1-1)</f>
        <v/>
      </c>
      <c r="H30" s="287" t="str">
        <f ca="1">IF(Table1[[#This Row],[h_No. Invoice :]]="","",CONCATENATE("AM"," ",Table1[[#This Row],[h_No. Invoice :]]))</f>
        <v/>
      </c>
      <c r="I30" s="288" t="str">
        <f>CONCATENATE(UPPER(Table1[[#This Row],[Column3]])," ",Table1[[#This Row],[Column4]])</f>
        <v xml:space="preserve"> </v>
      </c>
      <c r="J30" s="287" t="str">
        <f>IF(Table1[[#This Row],[Column5]]="","",INDEX(Table2[e],IF(Table1[[#This Row],[Column5]]="","",MATCH(Table1[[#This Row],[Column5]],Table2[a],0)),))</f>
        <v/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 t="str">
        <f ca="1">IF(Table1[//]="","",SUMIF(Table1[h_id],Table1[h_id],Table1[h_hargasetelahdiskon]))</f>
        <v/>
      </c>
      <c r="AE30" s="283"/>
      <c r="AF30" s="283" t="str">
        <f>Table1[[#This Row],[Item Description]]&amp;Table1[[#This Row],[Unit]]&amp;Table1[[#This Row],[Unit Price]]</f>
        <v/>
      </c>
    </row>
    <row r="31" spans="1:32" x14ac:dyDescent="0.25">
      <c r="A31" s="287">
        <f ca="1">IF(Table1[[#This Row],[No. Invoice :]]="","",ROW())</f>
        <v>31</v>
      </c>
      <c r="B31" s="287">
        <f ca="1">IF(Table1[Column3]="","",B$1+COUNT(INDIRECT("B$2:B"&amp;ROW()-1)))</f>
        <v>23090010</v>
      </c>
      <c r="C31" s="281">
        <f>IF(Table1[[#This Row],[Column2]]="","",Table1[[#This Row],[Column2]]+C$1-1)</f>
        <v>45181</v>
      </c>
      <c r="D31" s="292">
        <v>12</v>
      </c>
      <c r="E31" s="280" t="s">
        <v>184</v>
      </c>
      <c r="F31" s="282" t="s">
        <v>185</v>
      </c>
      <c r="G31" s="280" t="s">
        <v>81</v>
      </c>
      <c r="H31" s="287" t="str">
        <f ca="1">IF(Table1[[#This Row],[h_No. Invoice :]]="","",CONCATENATE("AM"," ",Table1[[#This Row],[h_No. Invoice :]]))</f>
        <v>AM 23090010</v>
      </c>
      <c r="I31" s="288" t="str">
        <f>CONCATENATE(UPPER(Table1[[#This Row],[Column3]])," ",Table1[[#This Row],[Column4]])</f>
        <v>KO 3709</v>
      </c>
      <c r="J31" s="287" t="str">
        <f>IF(Table1[[#This Row],[Column5]]="","",INDEX(Table2[e],IF(Table1[[#This Row],[Column5]]="","",MATCH(Table1[[#This Row],[Column5]],Table2[a],0)),))</f>
        <v>CV PELITA JAYA (ANUGERAH SEJAHTERA) PURWOKERTO</v>
      </c>
      <c r="K31" s="280">
        <v>50</v>
      </c>
      <c r="L31" s="280" t="s">
        <v>186</v>
      </c>
      <c r="M31" s="280">
        <v>1</v>
      </c>
      <c r="O31" s="287" t="str">
        <f>IF(Table1[[#This Row],[h_Item Description]]="","",INDEX([1]!db[NB PAJAK],MATCH(Table1[[#This Row],[h_Item Description]],[1]!db[kode],0)))</f>
        <v/>
      </c>
      <c r="P31" s="280" t="s">
        <v>188</v>
      </c>
      <c r="Q31" s="283">
        <v>30000</v>
      </c>
      <c r="R31" s="284">
        <v>0.13500000000000001</v>
      </c>
      <c r="T31" s="283">
        <f>Table1[[#This Row],[h_hargasetelahdiskon]]</f>
        <v>1297500</v>
      </c>
      <c r="U31" s="283" t="s">
        <v>196</v>
      </c>
      <c r="W31" s="287">
        <f ca="1">IF(Table1[[#This Row],[Item Description]]="","",IF(Table1[[#This Row],[//]]="",INDIRECT(ADDRESS(ROW()-1,COLUMN())),Table1[[#This Row],[//]]))</f>
        <v>31</v>
      </c>
      <c r="X31" s="287">
        <f ca="1">IF(Table1[[#This Row],[h_id]]="","",COUNTIF(Table1[h_id],Table1[[#This Row],[h_id]]))</f>
        <v>8</v>
      </c>
      <c r="Y31" s="283">
        <f>IF(Table1[Item Description]="","",Table1[[#This Row],[Qty]]*Table1[[#This Row],[Unit Price]])</f>
        <v>1500000</v>
      </c>
      <c r="Z31" s="283">
        <f>IF(Table1[[#This Row],[h_hargasebelumdiskon]]="","",IF(Table1[[#This Row],[Disc 1]]="",0,Table1[[#This Row],[h_hargasebelumdiskon]]*Table1[[#This Row],[Disc 1]]))</f>
        <v>202500</v>
      </c>
      <c r="AA31" s="283">
        <f>IF(Table1[[#This Row],[h_hargasebelumdiskon]]="","",IF(Table1[[#This Row],[Disc 2]]="",0,(Table1[[#This Row],[h_hargasebelumdiskon]]-Table1[[#This Row],[h_disc 1]])*Table1[[#This Row],[Disc 2]]))</f>
        <v>0</v>
      </c>
      <c r="AB31" s="283">
        <f>IF(Table1[Item Description]="","",Table1[[#This Row],[h_disc 1]]+Table1[[#This Row],[h_disc 2]])</f>
        <v>202500</v>
      </c>
      <c r="AC31" s="283">
        <f>IF(Table1[Item Description]="","",Table1[[#This Row],[h_hargasebelumdiskon]]-Table1[[#This Row],[h_diskon]])</f>
        <v>1297500</v>
      </c>
      <c r="AD31" s="283">
        <f ca="1">IF(Table1[//]="","",SUMIF(Table1[h_id],Table1[h_id],Table1[h_hargasetelahdiskon]))</f>
        <v>16863348</v>
      </c>
      <c r="AE31" s="283"/>
      <c r="AF31" s="283" t="str">
        <f>Table1[[#This Row],[Item Description]]&amp;Table1[[#This Row],[Unit]]&amp;Table1[[#This Row],[Unit Price]]</f>
        <v>STIP / PENGHAPUS KENKO ERW-20SQ PUTIHBOX30000</v>
      </c>
    </row>
    <row r="32" spans="1:32" x14ac:dyDescent="0.25">
      <c r="A32" s="287" t="str">
        <f ca="1">IF(Table1[[#This Row],[No. Invoice :]]="","",ROW())</f>
        <v/>
      </c>
      <c r="B32" s="287" t="str">
        <f ca="1">IF(Table1[Column3]="","",B$1+COUNT(INDIRECT("B$2:B"&amp;ROW()-1)))</f>
        <v/>
      </c>
      <c r="C32" s="281" t="str">
        <f>IF(Table1[[#This Row],[Column2]]="","",Table1[[#This Row],[Column2]]+C$1-1)</f>
        <v/>
      </c>
      <c r="H32" s="287" t="str">
        <f ca="1">IF(Table1[[#This Row],[h_No. Invoice :]]="","",CONCATENATE("AM"," ",Table1[[#This Row],[h_No. Invoice :]]))</f>
        <v/>
      </c>
      <c r="I32" s="288" t="str">
        <f>CONCATENATE(UPPER(Table1[[#This Row],[Column3]])," ",Table1[[#This Row],[Column4]])</f>
        <v xml:space="preserve"> </v>
      </c>
      <c r="J32" s="287" t="str">
        <f>IF(Table1[[#This Row],[Column5]]="","",INDEX(Table2[e],IF(Table1[[#This Row],[Column5]]="","",MATCH(Table1[[#This Row],[Column5]],Table2[a],0)),))</f>
        <v/>
      </c>
      <c r="K32" s="280">
        <v>480</v>
      </c>
      <c r="L32" s="280" t="s">
        <v>187</v>
      </c>
      <c r="M32" s="280">
        <v>1</v>
      </c>
      <c r="O32" s="287" t="str">
        <f>IF(Table1[[#This Row],[h_Item Description]]="","",INDEX([1]!db[NB PAJAK],MATCH(Table1[[#This Row],[h_Item Description]],[1]!db[kode],0)))</f>
        <v/>
      </c>
      <c r="P32" s="280" t="s">
        <v>189</v>
      </c>
      <c r="Q32" s="283">
        <v>3050</v>
      </c>
      <c r="R32" s="284">
        <v>0.13500000000000001</v>
      </c>
      <c r="T32" s="283">
        <f>Table1[[#This Row],[h_hargasetelahdiskon]]</f>
        <v>1266360</v>
      </c>
      <c r="W32" s="287">
        <f ca="1">IF(Table1[[#This Row],[Item Description]]="","",IF(Table1[[#This Row],[//]]="",INDIRECT(ADDRESS(ROW()-1,COLUMN())),Table1[[#This Row],[//]]))</f>
        <v>31</v>
      </c>
      <c r="X32" s="287">
        <f ca="1">IF(Table1[[#This Row],[h_id]]="","",COUNTIF(Table1[h_id],Table1[[#This Row],[h_id]]))</f>
        <v>8</v>
      </c>
      <c r="Y32" s="283">
        <f>IF(Table1[Item Description]="","",Table1[[#This Row],[Qty]]*Table1[[#This Row],[Unit Price]])</f>
        <v>1464000</v>
      </c>
      <c r="Z32" s="283">
        <f>IF(Table1[[#This Row],[h_hargasebelumdiskon]]="","",IF(Table1[[#This Row],[Disc 1]]="",0,Table1[[#This Row],[h_hargasebelumdiskon]]*Table1[[#This Row],[Disc 1]]))</f>
        <v>197640</v>
      </c>
      <c r="AA32" s="283">
        <f>IF(Table1[[#This Row],[h_hargasebelumdiskon]]="","",IF(Table1[[#This Row],[Disc 2]]="",0,(Table1[[#This Row],[h_hargasebelumdiskon]]-Table1[[#This Row],[h_disc 1]])*Table1[[#This Row],[Disc 2]]))</f>
        <v>0</v>
      </c>
      <c r="AB32" s="283">
        <f>IF(Table1[Item Description]="","",Table1[[#This Row],[h_disc 1]]+Table1[[#This Row],[h_disc 2]])</f>
        <v>197640</v>
      </c>
      <c r="AC32" s="283">
        <f>IF(Table1[Item Description]="","",Table1[[#This Row],[h_hargasebelumdiskon]]-Table1[[#This Row],[h_diskon]])</f>
        <v>1266360</v>
      </c>
      <c r="AD32" s="283" t="str">
        <f ca="1">IF(Table1[//]="","",SUMIF(Table1[h_id],Table1[h_id],Table1[h_hargasetelahdiskon]))</f>
        <v/>
      </c>
      <c r="AE32" s="283"/>
      <c r="AF32" s="283" t="str">
        <f>Table1[[#This Row],[Item Description]]&amp;Table1[[#This Row],[Unit]]&amp;Table1[[#This Row],[Unit Price]]</f>
        <v>HIGHLIGHTER / STABILO KENKO HL-100PC3050</v>
      </c>
    </row>
    <row r="33" spans="1:32" x14ac:dyDescent="0.25">
      <c r="A33" s="287" t="str">
        <f ca="1">IF(Table1[[#This Row],[No. Invoice :]]="","",ROW())</f>
        <v/>
      </c>
      <c r="B33" s="287" t="str">
        <f ca="1">IF(Table1[Column3]="","",B$1+COUNT(INDIRECT("B$2:B"&amp;ROW()-1)))</f>
        <v/>
      </c>
      <c r="C33" s="281" t="str">
        <f>IF(Table1[[#This Row],[Column2]]="","",Table1[[#This Row],[Column2]]+C$1-1)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Row],[Column3]])," ",Table1[[#This Row],[Column4]])</f>
        <v xml:space="preserve"> </v>
      </c>
      <c r="J33" s="287" t="str">
        <f>IF(Table1[[#This Row],[Column5]]="","",INDEX(Table2[e],IF(Table1[[#This Row],[Column5]]="","",MATCH(Table1[[#This Row],[Column5]],Table2[a],0)),))</f>
        <v/>
      </c>
      <c r="K33" s="280">
        <v>144</v>
      </c>
      <c r="L33" s="280" t="s">
        <v>138</v>
      </c>
      <c r="M33" s="280">
        <v>1</v>
      </c>
      <c r="O33" s="287" t="str">
        <f>IF(Table1[[#This Row],[h_Item Description]]="","",INDEX([1]!db[NB PAJAK],MATCH(Table1[[#This Row],[h_Item Description]],[1]!db[kode],0)))</f>
        <v/>
      </c>
      <c r="P33" s="280" t="s">
        <v>190</v>
      </c>
      <c r="Q33" s="283">
        <v>39600</v>
      </c>
      <c r="R33" s="284">
        <v>0.13500000000000001</v>
      </c>
      <c r="T33" s="283">
        <f>Table1[[#This Row],[h_hargasetelahdiskon]]</f>
        <v>4932576</v>
      </c>
      <c r="W33" s="287">
        <f ca="1">IF(Table1[[#This Row],[Item Description]]="","",IF(Table1[[#This Row],[//]]="",INDIRECT(ADDRESS(ROW()-1,COLUMN())),Table1[[#This Row],[//]]))</f>
        <v>31</v>
      </c>
      <c r="X33" s="287">
        <f ca="1">IF(Table1[[#This Row],[h_id]]="","",COUNTIF(Table1[h_id],Table1[[#This Row],[h_id]]))</f>
        <v>8</v>
      </c>
      <c r="Y33" s="283">
        <f>IF(Table1[Item Description]="","",Table1[[#This Row],[Qty]]*Table1[[#This Row],[Unit Price]])</f>
        <v>5702400</v>
      </c>
      <c r="Z33" s="283">
        <f>IF(Table1[[#This Row],[h_hargasebelumdiskon]]="","",IF(Table1[[#This Row],[Disc 1]]="",0,Table1[[#This Row],[h_hargasebelumdiskon]]*Table1[[#This Row],[Disc 1]]))</f>
        <v>769824</v>
      </c>
      <c r="AA33" s="283">
        <f>IF(Table1[[#This Row],[h_hargasebelumdiskon]]="","",IF(Table1[[#This Row],[Disc 2]]="",0,(Table1[[#This Row],[h_hargasebelumdiskon]]-Table1[[#This Row],[h_disc 1]])*Table1[[#This Row],[Disc 2]]))</f>
        <v>0</v>
      </c>
      <c r="AB33" s="283">
        <f>IF(Table1[Item Description]="","",Table1[[#This Row],[h_disc 1]]+Table1[[#This Row],[h_disc 2]])</f>
        <v>769824</v>
      </c>
      <c r="AC33" s="283">
        <f>IF(Table1[Item Description]="","",Table1[[#This Row],[h_hargasebelumdiskon]]-Table1[[#This Row],[h_diskon]])</f>
        <v>4932576</v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>GEL PEN KENKO K-1LS39600</v>
      </c>
    </row>
    <row r="34" spans="1:32" x14ac:dyDescent="0.25">
      <c r="A34" s="287" t="str">
        <f ca="1">IF(Table1[[#This Row],[No. Invoice :]]="","",ROW())</f>
        <v/>
      </c>
      <c r="B34" s="287" t="str">
        <f ca="1">IF(Table1[Column3]="","",B$1+COUNT(INDIRECT("B$2:B"&amp;ROW()-1)))</f>
        <v/>
      </c>
      <c r="C34" s="281" t="str">
        <f>IF(Table1[[#This Row],[Column2]]="","",Table1[[#This Row],[Column2]]+C$1-1)</f>
        <v/>
      </c>
      <c r="H34" s="287" t="str">
        <f ca="1">IF(Table1[[#This Row],[h_No. Invoice :]]="","",CONCATENATE("AM"," ",Table1[[#This Row],[h_No. Invoice :]]))</f>
        <v/>
      </c>
      <c r="I34" s="288" t="str">
        <f>CONCATENATE(UPPER(Table1[[#This Row],[Column3]])," ",Table1[[#This Row],[Column4]])</f>
        <v xml:space="preserve"> </v>
      </c>
      <c r="J34" s="287" t="str">
        <f>IF(Table1[[#This Row],[Column5]]="","",INDEX(Table2[e],IF(Table1[[#This Row],[Column5]]="","",MATCH(Table1[[#This Row],[Column5]],Table2[a],0)),))</f>
        <v/>
      </c>
      <c r="K34" s="280">
        <v>144</v>
      </c>
      <c r="L34" s="280" t="s">
        <v>138</v>
      </c>
      <c r="M34" s="280">
        <v>1</v>
      </c>
      <c r="O34" s="287" t="str">
        <f>IF(Table1[[#This Row],[h_Item Description]]="","",INDEX([1]!db[NB PAJAK],MATCH(Table1[[#This Row],[h_Item Description]],[1]!db[kode],0)))</f>
        <v/>
      </c>
      <c r="P34" s="280" t="s">
        <v>191</v>
      </c>
      <c r="Q34" s="283">
        <v>19200</v>
      </c>
      <c r="R34" s="284">
        <v>0.13500000000000001</v>
      </c>
      <c r="T34" s="283">
        <f>Table1[[#This Row],[h_hargasetelahdiskon]]</f>
        <v>2391552</v>
      </c>
      <c r="W34" s="287">
        <f ca="1">IF(Table1[[#This Row],[Item Description]]="","",IF(Table1[[#This Row],[//]]="",INDIRECT(ADDRESS(ROW()-1,COLUMN())),Table1[[#This Row],[//]]))</f>
        <v>31</v>
      </c>
      <c r="X34" s="287">
        <f ca="1">IF(Table1[[#This Row],[h_id]]="","",COUNTIF(Table1[h_id],Table1[[#This Row],[h_id]]))</f>
        <v>8</v>
      </c>
      <c r="Y34" s="283">
        <f>IF(Table1[Item Description]="","",Table1[[#This Row],[Qty]]*Table1[[#This Row],[Unit Price]])</f>
        <v>2764800</v>
      </c>
      <c r="Z34" s="283">
        <f>IF(Table1[[#This Row],[h_hargasebelumdiskon]]="","",IF(Table1[[#This Row],[Disc 1]]="",0,Table1[[#This Row],[h_hargasebelumdiskon]]*Table1[[#This Row],[Disc 1]]))</f>
        <v>373248</v>
      </c>
      <c r="AA34" s="283">
        <f>IF(Table1[[#This Row],[h_hargasebelumdiskon]]="","",IF(Table1[[#This Row],[Disc 2]]="",0,(Table1[[#This Row],[h_hargasebelumdiskon]]-Table1[[#This Row],[h_disc 1]])*Table1[[#This Row],[Disc 2]]))</f>
        <v>0</v>
      </c>
      <c r="AB34" s="283">
        <f>IF(Table1[Item Description]="","",Table1[[#This Row],[h_disc 1]]+Table1[[#This Row],[h_disc 2]])</f>
        <v>373248</v>
      </c>
      <c r="AC34" s="283">
        <f>IF(Table1[Item Description]="","",Table1[[#This Row],[h_hargasebelumdiskon]]-Table1[[#This Row],[h_diskon]])</f>
        <v>2391552</v>
      </c>
      <c r="AD34" s="283" t="str">
        <f ca="1">IF(Table1[//]="","",SUMIF(Table1[h_id],Table1[h_id],Table1[h_hargasetelahdiskon]))</f>
        <v/>
      </c>
      <c r="AE34" s="283"/>
      <c r="AF34" s="283" t="str">
        <f>Table1[[#This Row],[Item Description]]&amp;Table1[[#This Row],[Unit]]&amp;Table1[[#This Row],[Unit Price]]</f>
        <v>GEL PEN KENKO KE-100LS19200</v>
      </c>
    </row>
    <row r="35" spans="1:32" x14ac:dyDescent="0.25">
      <c r="A35" s="287" t="str">
        <f ca="1">IF(Table1[[#This Row],[No. Invoice :]]="","",ROW())</f>
        <v/>
      </c>
      <c r="B35" s="287" t="str">
        <f ca="1">IF(Table1[Column3]="","",B$1+COUNT(INDIRECT("B$2:B"&amp;ROW()-1)))</f>
        <v/>
      </c>
      <c r="C35" s="281" t="str">
        <f>IF(Table1[[#This Row],[Column2]]="","",Table1[[#This Row],[Column2]]+C$1-1)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Row],[Column3]])," ",Table1[[#This Row],[Column4]])</f>
        <v xml:space="preserve"> </v>
      </c>
      <c r="J35" s="287" t="str">
        <f>IF(Table1[[#This Row],[Column5]]="","",INDEX(Table2[e],IF(Table1[[#This Row],[Column5]]="","",MATCH(Table1[[#This Row],[Column5]],Table2[a],0)),))</f>
        <v/>
      </c>
      <c r="K35" s="280">
        <v>10</v>
      </c>
      <c r="L35" s="280" t="s">
        <v>138</v>
      </c>
      <c r="M35" s="280">
        <v>1</v>
      </c>
      <c r="O35" s="287" t="str">
        <f>IF(Table1[[#This Row],[h_Item Description]]="","",INDEX([1]!db[NB PAJAK],MATCH(Table1[[#This Row],[h_Item Description]],[1]!db[kode],0)))</f>
        <v/>
      </c>
      <c r="P35" s="280" t="s">
        <v>192</v>
      </c>
      <c r="Q35" s="283">
        <v>156000</v>
      </c>
      <c r="R35" s="284">
        <v>0.13500000000000001</v>
      </c>
      <c r="T35" s="283">
        <f>Table1[[#This Row],[h_hargasetelahdiskon]]</f>
        <v>1349400</v>
      </c>
      <c r="W35" s="287">
        <f ca="1">IF(Table1[[#This Row],[Item Description]]="","",IF(Table1[[#This Row],[//]]="",INDIRECT(ADDRESS(ROW()-1,COLUMN())),Table1[[#This Row],[//]]))</f>
        <v>31</v>
      </c>
      <c r="X35" s="287">
        <f ca="1">IF(Table1[[#This Row],[h_id]]="","",COUNTIF(Table1[h_id],Table1[[#This Row],[h_id]]))</f>
        <v>8</v>
      </c>
      <c r="Y35" s="283">
        <f>IF(Table1[Item Description]="","",Table1[[#This Row],[Qty]]*Table1[[#This Row],[Unit Price]])</f>
        <v>1560000</v>
      </c>
      <c r="Z35" s="283">
        <f>IF(Table1[[#This Row],[h_hargasebelumdiskon]]="","",IF(Table1[[#This Row],[Disc 1]]="",0,Table1[[#This Row],[h_hargasebelumdiskon]]*Table1[[#This Row],[Disc 1]]))</f>
        <v>210600</v>
      </c>
      <c r="AA35" s="283">
        <f>IF(Table1[[#This Row],[h_hargasebelumdiskon]]="","",IF(Table1[[#This Row],[Disc 2]]="",0,(Table1[[#This Row],[h_hargasebelumdiskon]]-Table1[[#This Row],[h_disc 1]])*Table1[[#This Row],[Disc 2]]))</f>
        <v>0</v>
      </c>
      <c r="AB35" s="283">
        <f>IF(Table1[Item Description]="","",Table1[[#This Row],[h_disc 1]]+Table1[[#This Row],[h_disc 2]])</f>
        <v>210600</v>
      </c>
      <c r="AC35" s="283">
        <f>IF(Table1[Item Description]="","",Table1[[#This Row],[h_hargasebelumdiskon]]-Table1[[#This Row],[h_diskon]])</f>
        <v>1349400</v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>PUNCH KENKO NO. 30LS156000</v>
      </c>
    </row>
    <row r="36" spans="1:32" x14ac:dyDescent="0.25">
      <c r="A36" s="287" t="str">
        <f ca="1">IF(Table1[[#This Row],[No. Invoice :]]="","",ROW())</f>
        <v/>
      </c>
      <c r="B36" s="287" t="str">
        <f ca="1">IF(Table1[Column3]="","",B$1+COUNT(INDIRECT("B$2:B"&amp;ROW()-1)))</f>
        <v/>
      </c>
      <c r="C36" s="281" t="str">
        <f>IF(Table1[[#This Row],[Column2]]="","",Table1[[#This Row],[Column2]]+C$1-1)</f>
        <v/>
      </c>
      <c r="H36" s="287" t="str">
        <f ca="1">IF(Table1[[#This Row],[h_No. Invoice :]]="","",CONCATENATE("AM"," ",Table1[[#This Row],[h_No. Invoice :]]))</f>
        <v/>
      </c>
      <c r="I36" s="288" t="str">
        <f>CONCATENATE(UPPER(Table1[[#This Row],[Column3]])," ",Table1[[#This Row],[Column4]])</f>
        <v xml:space="preserve"> </v>
      </c>
      <c r="J36" s="287" t="str">
        <f>IF(Table1[[#This Row],[Column5]]="","",INDEX(Table2[e],IF(Table1[[#This Row],[Column5]]="","",MATCH(Table1[[#This Row],[Column5]],Table2[a],0)),))</f>
        <v/>
      </c>
      <c r="K36" s="280">
        <v>8</v>
      </c>
      <c r="L36" s="280" t="s">
        <v>138</v>
      </c>
      <c r="M36" s="280">
        <v>1</v>
      </c>
      <c r="O36" s="287" t="str">
        <f>IF(Table1[[#This Row],[h_Item Description]]="","",INDEX([1]!db[NB PAJAK],MATCH(Table1[[#This Row],[h_Item Description]],[1]!db[kode],0)))</f>
        <v/>
      </c>
      <c r="P36" s="280" t="s">
        <v>193</v>
      </c>
      <c r="Q36" s="283">
        <v>180000</v>
      </c>
      <c r="R36" s="284">
        <v>0.13500000000000001</v>
      </c>
      <c r="T36" s="283">
        <f>Table1[[#This Row],[h_hargasetelahdiskon]]</f>
        <v>1245600</v>
      </c>
      <c r="W36" s="287">
        <f ca="1">IF(Table1[[#This Row],[Item Description]]="","",IF(Table1[[#This Row],[//]]="",INDIRECT(ADDRESS(ROW()-1,COLUMN())),Table1[[#This Row],[//]]))</f>
        <v>31</v>
      </c>
      <c r="X36" s="287">
        <f ca="1">IF(Table1[[#This Row],[h_id]]="","",COUNTIF(Table1[h_id],Table1[[#This Row],[h_id]]))</f>
        <v>8</v>
      </c>
      <c r="Y36" s="283">
        <f>IF(Table1[Item Description]="","",Table1[[#This Row],[Qty]]*Table1[[#This Row],[Unit Price]])</f>
        <v>1440000</v>
      </c>
      <c r="Z36" s="283">
        <f>IF(Table1[[#This Row],[h_hargasebelumdiskon]]="","",IF(Table1[[#This Row],[Disc 1]]="",0,Table1[[#This Row],[h_hargasebelumdiskon]]*Table1[[#This Row],[Disc 1]]))</f>
        <v>194400</v>
      </c>
      <c r="AA36" s="283">
        <f>IF(Table1[[#This Row],[h_hargasebelumdiskon]]="","",IF(Table1[[#This Row],[Disc 2]]="",0,(Table1[[#This Row],[h_hargasebelumdiskon]]-Table1[[#This Row],[h_disc 1]])*Table1[[#This Row],[Disc 2]]))</f>
        <v>0</v>
      </c>
      <c r="AB36" s="283">
        <f>IF(Table1[Item Description]="","",Table1[[#This Row],[h_disc 1]]+Table1[[#This Row],[h_disc 2]])</f>
        <v>194400</v>
      </c>
      <c r="AC36" s="283">
        <f>IF(Table1[Item Description]="","",Table1[[#This Row],[h_hargasebelumdiskon]]-Table1[[#This Row],[h_diskon]])</f>
        <v>1245600</v>
      </c>
      <c r="AD36" s="283" t="str">
        <f ca="1">IF(Table1[//]="","",SUMIF(Table1[h_id],Table1[h_id],Table1[h_hargasetelahdiskon]))</f>
        <v/>
      </c>
      <c r="AE36" s="283"/>
      <c r="AF36" s="283" t="str">
        <f>Table1[[#This Row],[Item Description]]&amp;Table1[[#This Row],[Unit]]&amp;Table1[[#This Row],[Unit Price]]</f>
        <v>PUNCH KENKO NO. 30XLLS180000</v>
      </c>
    </row>
    <row r="37" spans="1:32" x14ac:dyDescent="0.25">
      <c r="A37" s="287" t="str">
        <f ca="1">IF(Table1[[#This Row],[No. Invoice :]]="","",ROW())</f>
        <v/>
      </c>
      <c r="B37" s="287" t="str">
        <f ca="1">IF(Table1[Column3]="","",B$1+COUNT(INDIRECT("B$2:B"&amp;ROW()-1)))</f>
        <v/>
      </c>
      <c r="C37" s="281" t="str">
        <f>IF(Table1[[#This Row],[Column2]]="","",Table1[[#This Row],[Column2]]+C$1-1)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Row],[Column3]])," ",Table1[[#This Row],[Column4]])</f>
        <v xml:space="preserve"> </v>
      </c>
      <c r="J37" s="287" t="str">
        <f>IF(Table1[[#This Row],[Column5]]="","",INDEX(Table2[e],IF(Table1[[#This Row],[Column5]]="","",MATCH(Table1[[#This Row],[Column5]],Table2[a],0)),))</f>
        <v/>
      </c>
      <c r="K37" s="280">
        <v>6</v>
      </c>
      <c r="L37" s="280" t="s">
        <v>187</v>
      </c>
      <c r="M37" s="280">
        <v>1</v>
      </c>
      <c r="O37" s="287" t="str">
        <f>IF(Table1[[#This Row],[h_Item Description]]="","",INDEX([1]!db[NB PAJAK],MATCH(Table1[[#This Row],[h_Item Description]],[1]!db[kode],0)))</f>
        <v/>
      </c>
      <c r="P37" s="280" t="s">
        <v>194</v>
      </c>
      <c r="Q37" s="283">
        <v>84000</v>
      </c>
      <c r="R37" s="284">
        <v>0.13500000000000001</v>
      </c>
      <c r="T37" s="283">
        <f>Table1[[#This Row],[h_hargasetelahdiskon]]</f>
        <v>435960</v>
      </c>
      <c r="W37" s="287">
        <f ca="1">IF(Table1[[#This Row],[Item Description]]="","",IF(Table1[[#This Row],[//]]="",INDIRECT(ADDRESS(ROW()-1,COLUMN())),Table1[[#This Row],[//]]))</f>
        <v>31</v>
      </c>
      <c r="X37" s="287">
        <f ca="1">IF(Table1[[#This Row],[h_id]]="","",COUNTIF(Table1[h_id],Table1[[#This Row],[h_id]]))</f>
        <v>8</v>
      </c>
      <c r="Y37" s="283">
        <f>IF(Table1[Item Description]="","",Table1[[#This Row],[Qty]]*Table1[[#This Row],[Unit Price]])</f>
        <v>504000</v>
      </c>
      <c r="Z37" s="283">
        <f>IF(Table1[[#This Row],[h_hargasebelumdiskon]]="","",IF(Table1[[#This Row],[Disc 1]]="",0,Table1[[#This Row],[h_hargasebelumdiskon]]*Table1[[#This Row],[Disc 1]]))</f>
        <v>68040</v>
      </c>
      <c r="AA37" s="283">
        <f>IF(Table1[[#This Row],[h_hargasebelumdiskon]]="","",IF(Table1[[#This Row],[Disc 2]]="",0,(Table1[[#This Row],[h_hargasebelumdiskon]]-Table1[[#This Row],[h_disc 1]])*Table1[[#This Row],[Disc 2]]))</f>
        <v>0</v>
      </c>
      <c r="AB37" s="283">
        <f>IF(Table1[Item Description]="","",Table1[[#This Row],[h_disc 1]]+Table1[[#This Row],[h_disc 2]])</f>
        <v>68040</v>
      </c>
      <c r="AC37" s="283">
        <f>IF(Table1[Item Description]="","",Table1[[#This Row],[h_hargasebelumdiskon]]-Table1[[#This Row],[h_diskon]])</f>
        <v>435960</v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>STAPLER HEAVY DUTY KENKO HD-12N/13PC84000</v>
      </c>
    </row>
    <row r="38" spans="1:32" x14ac:dyDescent="0.25">
      <c r="A38" s="287" t="str">
        <f ca="1">IF(Table1[[#This Row],[No. Invoice :]]="","",ROW())</f>
        <v/>
      </c>
      <c r="B38" s="287" t="str">
        <f ca="1">IF(Table1[Column3]="","",B$1+COUNT(INDIRECT("B$2:B"&amp;ROW()-1)))</f>
        <v/>
      </c>
      <c r="C38" s="281" t="str">
        <f>IF(Table1[[#This Row],[Column2]]="","",Table1[[#This Row],[Column2]]+C$1-1)</f>
        <v/>
      </c>
      <c r="H38" s="287" t="str">
        <f ca="1">IF(Table1[[#This Row],[h_No. Invoice :]]="","",CONCATENATE("AM"," ",Table1[[#This Row],[h_No. Invoice :]]))</f>
        <v/>
      </c>
      <c r="I38" s="288" t="str">
        <f>CONCATENATE(UPPER(Table1[[#This Row],[Column3]])," ",Table1[[#This Row],[Column4]])</f>
        <v xml:space="preserve"> </v>
      </c>
      <c r="J38" s="287" t="str">
        <f>IF(Table1[[#This Row],[Column5]]="","",INDEX(Table2[e],IF(Table1[[#This Row],[Column5]]="","",MATCH(Table1[[#This Row],[Column5]],Table2[a],0)),))</f>
        <v/>
      </c>
      <c r="K38" s="280">
        <v>20</v>
      </c>
      <c r="L38" s="280" t="s">
        <v>138</v>
      </c>
      <c r="M38" s="280">
        <v>2</v>
      </c>
      <c r="O38" s="287" t="str">
        <f>IF(Table1[[#This Row],[h_Item Description]]="","",INDEX([1]!db[NB PAJAK],MATCH(Table1[[#This Row],[h_Item Description]],[1]!db[kode],0)))</f>
        <v/>
      </c>
      <c r="P38" s="280" t="s">
        <v>195</v>
      </c>
      <c r="Q38" s="283">
        <v>228000</v>
      </c>
      <c r="R38" s="284">
        <v>0.13500000000000001</v>
      </c>
      <c r="T38" s="283">
        <f>Table1[[#This Row],[h_hargasetelahdiskon]]</f>
        <v>3944400</v>
      </c>
      <c r="W38" s="287">
        <f ca="1">IF(Table1[[#This Row],[Item Description]]="","",IF(Table1[[#This Row],[//]]="",INDIRECT(ADDRESS(ROW()-1,COLUMN())),Table1[[#This Row],[//]]))</f>
        <v>31</v>
      </c>
      <c r="X38" s="287">
        <f ca="1">IF(Table1[[#This Row],[h_id]]="","",COUNTIF(Table1[h_id],Table1[[#This Row],[h_id]]))</f>
        <v>8</v>
      </c>
      <c r="Y38" s="283">
        <f>IF(Table1[Item Description]="","",Table1[[#This Row],[Qty]]*Table1[[#This Row],[Unit Price]])</f>
        <v>4560000</v>
      </c>
      <c r="Z38" s="283">
        <f>IF(Table1[[#This Row],[h_hargasebelumdiskon]]="","",IF(Table1[[#This Row],[Disc 1]]="",0,Table1[[#This Row],[h_hargasebelumdiskon]]*Table1[[#This Row],[Disc 1]]))</f>
        <v>615600</v>
      </c>
      <c r="AA38" s="283">
        <f>IF(Table1[[#This Row],[h_hargasebelumdiskon]]="","",IF(Table1[[#This Row],[Disc 2]]="",0,(Table1[[#This Row],[h_hargasebelumdiskon]]-Table1[[#This Row],[h_disc 1]])*Table1[[#This Row],[Disc 2]]))</f>
        <v>0</v>
      </c>
      <c r="AB38" s="283">
        <f>IF(Table1[Item Description]="","",Table1[[#This Row],[h_disc 1]]+Table1[[#This Row],[h_disc 2]])</f>
        <v>615600</v>
      </c>
      <c r="AC38" s="283">
        <f>IF(Table1[Item Description]="","",Table1[[#This Row],[h_hargasebelumdiskon]]-Table1[[#This Row],[h_diskon]])</f>
        <v>3944400</v>
      </c>
      <c r="AD38" s="283" t="str">
        <f ca="1">IF(Table1[//]="","",SUMIF(Table1[h_id],Table1[h_id],Table1[h_hargasetelahdiskon]))</f>
        <v/>
      </c>
      <c r="AE38" s="283"/>
      <c r="AF38" s="283" t="str">
        <f>Table1[[#This Row],[Item Description]]&amp;Table1[[#This Row],[Unit]]&amp;Table1[[#This Row],[Unit Price]]</f>
        <v>STAPLER KENKO HD-50LS228000</v>
      </c>
    </row>
    <row r="39" spans="1:32" x14ac:dyDescent="0.25">
      <c r="A39" s="287" t="str">
        <f ca="1">IF(Table1[[#This Row],[No. Invoice :]]="","",ROW())</f>
        <v/>
      </c>
      <c r="B39" s="287" t="str">
        <f ca="1">IF(Table1[Column3]="","",B$1+COUNT(INDIRECT("B$2:B"&amp;ROW()-1)))</f>
        <v/>
      </c>
      <c r="C39" s="281" t="str">
        <f>IF(Table1[[#This Row],[Column2]]="","",Table1[[#This Row],[Column2]]+C$1-1)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Row],[Column3]])," ",Table1[[#This Row],[Column4]])</f>
        <v xml:space="preserve"> </v>
      </c>
      <c r="J39" s="287" t="str">
        <f>IF(Table1[[#This Row],[Column5]]="","",INDEX(Table2[e],IF(Table1[[#This Row],[Column5]]="","",MATCH(Table1[[#This Row],[Column5]],Table2[a],0)),))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 t="str">
        <f>Table1[[#This Row],[Item Description]]&amp;Table1[[#This Row],[Unit]]&amp;Table1[[#This Row],[Unit Price]]</f>
        <v/>
      </c>
    </row>
    <row r="40" spans="1:32" x14ac:dyDescent="0.25">
      <c r="A40" s="287">
        <f ca="1">IF(Table1[[#This Row],[No. Invoice :]]="","",ROW())</f>
        <v>40</v>
      </c>
      <c r="B40" s="287">
        <f ca="1">IF(Table1[Column3]="","",B$1+COUNT(INDIRECT("B$2:B"&amp;ROW()-1)))</f>
        <v>23090011</v>
      </c>
      <c r="C40" s="281">
        <f>IF(Table1[[#This Row],[Column2]]="","",Table1[[#This Row],[Column2]]+C$1-1)</f>
        <v>45183</v>
      </c>
      <c r="D40" s="292">
        <v>14</v>
      </c>
      <c r="E40" s="280" t="s">
        <v>143</v>
      </c>
      <c r="F40" s="282" t="s">
        <v>223</v>
      </c>
      <c r="G40" s="280" t="s">
        <v>90</v>
      </c>
      <c r="H40" s="287" t="str">
        <f ca="1">IF(Table1[[#This Row],[h_No. Invoice :]]="","",CONCATENATE("AM"," ",Table1[[#This Row],[h_No. Invoice :]]))</f>
        <v>AM 23090011</v>
      </c>
      <c r="I40" s="288" t="str">
        <f>CONCATENATE(UPPER(Table1[[#This Row],[Column3]])," ",Table1[[#This Row],[Column4]])</f>
        <v>G 3803</v>
      </c>
      <c r="J40" s="287" t="str">
        <f>IF(Table1[[#This Row],[Column5]]="","",INDEX(Table2[e],IF(Table1[[#This Row],[Column5]]="","",MATCH(Table1[[#This Row],[Column5]],Table2[a],0)),))</f>
        <v>LILY JULIAWATI (REJO AGUNG) JOMBANG</v>
      </c>
      <c r="K40" s="280">
        <v>72</v>
      </c>
      <c r="L40" s="280" t="s">
        <v>132</v>
      </c>
      <c r="M40" s="280">
        <v>1</v>
      </c>
      <c r="N40" s="280" t="s">
        <v>197</v>
      </c>
      <c r="O40" s="287" t="str">
        <f>IF(Table1[[#This Row],[h_Item Description]]="","",INDEX([1]!db[NB PAJAK],MATCH(Table1[[#This Row],[h_Item Description]],[1]!db[kode],0)))</f>
        <v>CORRECTION FLUID KENKO KE-108</v>
      </c>
      <c r="P40" s="280" t="s">
        <v>198</v>
      </c>
      <c r="Q40" s="283">
        <v>47100</v>
      </c>
      <c r="R40" s="284">
        <v>0.125</v>
      </c>
      <c r="T40" s="283">
        <f>Table1[[#This Row],[h_hargasetelahdiskon]]</f>
        <v>2967300</v>
      </c>
      <c r="U40" s="283" t="s">
        <v>135</v>
      </c>
      <c r="W40" s="287">
        <f ca="1">IF(Table1[[#This Row],[Item Description]]="","",IF(Table1[[#This Row],[//]]="",INDIRECT(ADDRESS(ROW()-1,COLUMN())),Table1[[#This Row],[//]]))</f>
        <v>40</v>
      </c>
      <c r="X40" s="287">
        <f ca="1">IF(Table1[[#This Row],[h_id]]="","",COUNTIF(Table1[h_id],Table1[[#This Row],[h_id]]))</f>
        <v>2</v>
      </c>
      <c r="Y40" s="283">
        <f>IF(Table1[Item Description]="","",Table1[[#This Row],[Qty]]*Table1[[#This Row],[Unit Price]])</f>
        <v>3391200</v>
      </c>
      <c r="Z40" s="283">
        <f>IF(Table1[[#This Row],[h_hargasebelumdiskon]]="","",IF(Table1[[#This Row],[Disc 1]]="",0,Table1[[#This Row],[h_hargasebelumdiskon]]*Table1[[#This Row],[Disc 1]]))</f>
        <v>423900</v>
      </c>
      <c r="AA40" s="283">
        <f>IF(Table1[[#This Row],[h_hargasebelumdiskon]]="","",IF(Table1[[#This Row],[Disc 2]]="",0,(Table1[[#This Row],[h_hargasebelumdiskon]]-Table1[[#This Row],[h_disc 1]])*Table1[[#This Row],[Disc 2]]))</f>
        <v>0</v>
      </c>
      <c r="AB40" s="283">
        <f>IF(Table1[Item Description]="","",Table1[[#This Row],[h_disc 1]]+Table1[[#This Row],[h_disc 2]])</f>
        <v>423900</v>
      </c>
      <c r="AC40" s="283">
        <f>IF(Table1[Item Description]="","",Table1[[#This Row],[h_hargasebelumdiskon]]-Table1[[#This Row],[h_diskon]])</f>
        <v>2967300</v>
      </c>
      <c r="AD40" s="283">
        <f ca="1">IF(Table1[//]="","",SUMIF(Table1[h_id],Table1[h_id],Table1[h_hargasetelahdiskon]))</f>
        <v>3660300</v>
      </c>
      <c r="AE40" s="283"/>
      <c r="AF40" s="283">
        <v>10</v>
      </c>
    </row>
    <row r="41" spans="1:32" x14ac:dyDescent="0.25">
      <c r="A41" s="287" t="str">
        <f ca="1">IF(Table1[[#This Row],[No. Invoice :]]="","",ROW())</f>
        <v/>
      </c>
      <c r="B41" s="287" t="str">
        <f ca="1">IF(Table1[Column3]="","",B$1+COUNT(INDIRECT("B$2:B"&amp;ROW()-1)))</f>
        <v/>
      </c>
      <c r="C41" s="281" t="str">
        <f>IF(Table1[[#This Row],[Column2]]="","",Table1[[#This Row],[Column2]]+C$1-1)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Row],[Column3]])," ",Table1[[#This Row],[Column4]])</f>
        <v xml:space="preserve"> </v>
      </c>
      <c r="J41" s="287" t="str">
        <f>IF(Table1[[#This Row],[Column5]]="","",INDEX(Table2[e],IF(Table1[[#This Row],[Column5]]="","",MATCH(Table1[[#This Row],[Column5]],Table2[a],0)),))</f>
        <v/>
      </c>
      <c r="K41" s="280">
        <v>40</v>
      </c>
      <c r="L41" s="280" t="s">
        <v>132</v>
      </c>
      <c r="M41" s="280">
        <v>1</v>
      </c>
      <c r="N41" s="280" t="s">
        <v>221</v>
      </c>
      <c r="O41" s="287" t="str">
        <f>IF(Table1[[#This Row],[h_Item Description]]="","",INDEX([1]!db[NB PAJAK],MATCH(Table1[[#This Row],[h_Item Description]],[1]!db[kode],0)))</f>
        <v>LEM CAIR 35 ML KENKO LG-35</v>
      </c>
      <c r="P41" s="280" t="s">
        <v>222</v>
      </c>
      <c r="Q41" s="283">
        <v>19800</v>
      </c>
      <c r="R41" s="284">
        <v>0.125</v>
      </c>
      <c r="T41" s="283">
        <f>Table1[[#This Row],[h_hargasetelahdiskon]]</f>
        <v>693000</v>
      </c>
      <c r="W41" s="287">
        <f ca="1">IF(Table1[[#This Row],[Item Description]]="","",IF(Table1[[#This Row],[//]]="",INDIRECT(ADDRESS(ROW()-1,COLUMN())),Table1[[#This Row],[//]]))</f>
        <v>40</v>
      </c>
      <c r="X41" s="287">
        <f ca="1">IF(Table1[[#This Row],[h_id]]="","",COUNTIF(Table1[h_id],Table1[[#This Row],[h_id]]))</f>
        <v>2</v>
      </c>
      <c r="Y41" s="283">
        <f>IF(Table1[Item Description]="","",Table1[[#This Row],[Qty]]*Table1[[#This Row],[Unit Price]])</f>
        <v>792000</v>
      </c>
      <c r="Z41" s="283">
        <f>IF(Table1[[#This Row],[h_hargasebelumdiskon]]="","",IF(Table1[[#This Row],[Disc 1]]="",0,Table1[[#This Row],[h_hargasebelumdiskon]]*Table1[[#This Row],[Disc 1]]))</f>
        <v>99000</v>
      </c>
      <c r="AA41" s="283">
        <f>IF(Table1[[#This Row],[h_hargasebelumdiskon]]="","",IF(Table1[[#This Row],[Disc 2]]="",0,(Table1[[#This Row],[h_hargasebelumdiskon]]-Table1[[#This Row],[h_disc 1]])*Table1[[#This Row],[Disc 2]]))</f>
        <v>0</v>
      </c>
      <c r="AB41" s="283">
        <f>IF(Table1[Item Description]="","",Table1[[#This Row],[h_disc 1]]+Table1[[#This Row],[h_disc 2]])</f>
        <v>99000</v>
      </c>
      <c r="AC41" s="283">
        <f>IF(Table1[Item Description]="","",Table1[[#This Row],[h_hargasebelumdiskon]]-Table1[[#This Row],[h_diskon]])</f>
        <v>693000</v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>LEM CAIR 35 ML KENKO LG-35LSN19800</v>
      </c>
    </row>
    <row r="42" spans="1:32" x14ac:dyDescent="0.25">
      <c r="A42" s="287" t="str">
        <f ca="1">IF(Table1[[#This Row],[No. Invoice :]]="","",ROW())</f>
        <v/>
      </c>
      <c r="B42" s="287" t="str">
        <f ca="1">IF(Table1[Column3]="","",B$1+COUNT(INDIRECT("B$2:B"&amp;ROW()-1)))</f>
        <v/>
      </c>
      <c r="C42" s="281" t="str">
        <f>IF(Table1[[#This Row],[Column2]]="","",Table1[[#This Row],[Column2]]+C$1-1)</f>
        <v/>
      </c>
      <c r="H42" s="287" t="str">
        <f ca="1">IF(Table1[[#This Row],[h_No. Invoice :]]="","",CONCATENATE("AM"," ",Table1[[#This Row],[h_No. Invoice :]]))</f>
        <v/>
      </c>
      <c r="I42" s="288" t="str">
        <f>CONCATENATE(UPPER(Table1[[#This Row],[Column3]])," ",Table1[[#This Row],[Column4]])</f>
        <v xml:space="preserve"> </v>
      </c>
      <c r="J42" s="287" t="str">
        <f>IF(Table1[[#This Row],[Column5]]="","",INDEX(Table2[e],IF(Table1[[#This Row],[Column5]]="","",MATCH(Table1[[#This Row],[Column5]],Table2[a],0)),))</f>
        <v/>
      </c>
      <c r="O42" s="287" t="str">
        <f>IF(Table1[[#This Row],[h_Item Description]]="","",INDEX([1]!db[NB PAJAK],MATCH(Table1[[#This Row],[h_Item Description]],[1]!db[kode],0)))</f>
        <v/>
      </c>
      <c r="Q42" s="283"/>
      <c r="R42" s="284"/>
      <c r="T42" s="283" t="str">
        <f>Table1[[#This Row],[h_hargasetelahdiskon]]</f>
        <v/>
      </c>
      <c r="W42" s="287" t="str">
        <f ca="1">IF(Table1[[#This Row],[Item Description]]="","",IF(Table1[[#This Row],[//]]="",INDIRECT(ADDRESS(ROW()-1,COLUMN())),Table1[[#This Row],[//]]))</f>
        <v/>
      </c>
      <c r="X42" s="287" t="str">
        <f ca="1">IF(Table1[[#This Row],[h_id]]="","",COUNTIF(Table1[h_id],Table1[[#This Row],[h_id]]))</f>
        <v/>
      </c>
      <c r="Y42" s="283" t="str">
        <f>IF(Table1[Item Description]="","",Table1[[#This Row],[Qty]]*Table1[[#This Row],[Unit Price]])</f>
        <v/>
      </c>
      <c r="Z42" s="283" t="str">
        <f>IF(Table1[[#This Row],[h_hargasebelumdiskon]]="","",IF(Table1[[#This Row],[Disc 1]]="",0,Table1[[#This Row],[h_hargasebelumdiskon]]*Table1[[#This Row],[Disc 1]]))</f>
        <v/>
      </c>
      <c r="AA42" s="283" t="str">
        <f>IF(Table1[[#This Row],[h_hargasebelumdiskon]]="","",IF(Table1[[#This Row],[Disc 2]]="",0,(Table1[[#This Row],[h_hargasebelumdiskon]]-Table1[[#This Row],[h_disc 1]])*Table1[[#This Row],[Disc 2]]))</f>
        <v/>
      </c>
      <c r="AB42" s="283" t="str">
        <f>IF(Table1[Item Description]="","",Table1[[#This Row],[h_disc 1]]+Table1[[#This Row],[h_disc 2]])</f>
        <v/>
      </c>
      <c r="AC42" s="283" t="str">
        <f>IF(Table1[Item Description]="","",Table1[[#This Row],[h_hargasebelumdiskon]]-Table1[[#This Row],[h_diskon]])</f>
        <v/>
      </c>
      <c r="AD42" s="283" t="str">
        <f ca="1">IF(Table1[//]="","",SUMIF(Table1[h_id],Table1[h_id],Table1[h_hargasetelahdiskon]))</f>
        <v/>
      </c>
      <c r="AE42" s="283"/>
      <c r="AF42" s="283" t="str">
        <f>Table1[[#This Row],[Item Description]]&amp;Table1[[#This Row],[Unit]]&amp;Table1[[#This Row],[Unit Price]]</f>
        <v/>
      </c>
    </row>
    <row r="43" spans="1:32" x14ac:dyDescent="0.25">
      <c r="A43" s="287">
        <f ca="1">IF(Table1[[#This Row],[No. Invoice :]]="","",ROW())</f>
        <v>43</v>
      </c>
      <c r="B43" s="287">
        <f ca="1">IF(Table1[Column3]="","",B$1+COUNT(INDIRECT("B$2:B"&amp;ROW()-1)))</f>
        <v>23090012</v>
      </c>
      <c r="C43" s="281">
        <f>IF(Table1[[#This Row],[Column2]]="","",Table1[[#This Row],[Column2]]+C$1-1)</f>
        <v>45184</v>
      </c>
      <c r="D43" s="292">
        <v>15</v>
      </c>
      <c r="E43" s="280" t="s">
        <v>130</v>
      </c>
      <c r="F43" s="282" t="s">
        <v>199</v>
      </c>
      <c r="G43" s="280" t="s">
        <v>81</v>
      </c>
      <c r="H43" s="287" t="str">
        <f ca="1">IF(Table1[[#This Row],[h_No. Invoice :]]="","",CONCATENATE("AM"," ",Table1[[#This Row],[h_No. Invoice :]]))</f>
        <v>AM 23090012</v>
      </c>
      <c r="I43" s="288" t="str">
        <f>CONCATENATE(UPPER(Table1[[#This Row],[Column3]])," ",Table1[[#This Row],[Column4]])</f>
        <v>KO 3801</v>
      </c>
      <c r="J43" s="287" t="str">
        <f>IF(Table1[[#This Row],[Column5]]="","",INDEX(Table2[e],IF(Table1[[#This Row],[Column5]]="","",MATCH(Table1[[#This Row],[Column5]],Table2[a],0)),))</f>
        <v>CV PELITA JAYA (ANUGERAH SEJAHTERA) PURWOKERTO</v>
      </c>
      <c r="K43" s="280">
        <v>144</v>
      </c>
      <c r="L43" s="280" t="s">
        <v>132</v>
      </c>
      <c r="M43" s="280">
        <v>1</v>
      </c>
      <c r="N43" s="280" t="s">
        <v>200</v>
      </c>
      <c r="O43" s="287" t="str">
        <f>IF(Table1[[#This Row],[h_Item Description]]="","",INDEX([1]!db[NB PAJAK],MATCH(Table1[[#This Row],[h_Item Description]],[1]!db[kode],0)))</f>
        <v>GEL PEN KENKO K-1 HITAM</v>
      </c>
      <c r="P43" s="280" t="s">
        <v>201</v>
      </c>
      <c r="Q43" s="283">
        <v>39600</v>
      </c>
      <c r="R43" s="284">
        <v>0.13500000000000001</v>
      </c>
      <c r="T43" s="283">
        <f>Table1[[#This Row],[h_hargasetelahdiskon]]</f>
        <v>4932576</v>
      </c>
      <c r="U43" s="283" t="s">
        <v>135</v>
      </c>
      <c r="W43" s="287">
        <f ca="1">IF(Table1[[#This Row],[Item Description]]="","",IF(Table1[[#This Row],[//]]="",INDIRECT(ADDRESS(ROW()-1,COLUMN())),Table1[[#This Row],[//]]))</f>
        <v>43</v>
      </c>
      <c r="X43" s="287">
        <f ca="1">IF(Table1[[#This Row],[h_id]]="","",COUNTIF(Table1[h_id],Table1[[#This Row],[h_id]]))</f>
        <v>1</v>
      </c>
      <c r="Y43" s="283">
        <f>IF(Table1[Item Description]="","",Table1[[#This Row],[Qty]]*Table1[[#This Row],[Unit Price]])</f>
        <v>5702400</v>
      </c>
      <c r="Z43" s="283">
        <f>IF(Table1[[#This Row],[h_hargasebelumdiskon]]="","",IF(Table1[[#This Row],[Disc 1]]="",0,Table1[[#This Row],[h_hargasebelumdiskon]]*Table1[[#This Row],[Disc 1]]))</f>
        <v>769824</v>
      </c>
      <c r="AA43" s="283">
        <f>IF(Table1[[#This Row],[h_hargasebelumdiskon]]="","",IF(Table1[[#This Row],[Disc 2]]="",0,(Table1[[#This Row],[h_hargasebelumdiskon]]-Table1[[#This Row],[h_disc 1]])*Table1[[#This Row],[Disc 2]]))</f>
        <v>0</v>
      </c>
      <c r="AB43" s="283">
        <f>IF(Table1[Item Description]="","",Table1[[#This Row],[h_disc 1]]+Table1[[#This Row],[h_disc 2]])</f>
        <v>769824</v>
      </c>
      <c r="AC43" s="283">
        <f>IF(Table1[Item Description]="","",Table1[[#This Row],[h_hargasebelumdiskon]]-Table1[[#This Row],[h_diskon]])</f>
        <v>4932576</v>
      </c>
      <c r="AD43" s="283">
        <f ca="1">IF(Table1[//]="","",SUMIF(Table1[h_id],Table1[h_id],Table1[h_hargasetelahdiskon]))</f>
        <v>4932576</v>
      </c>
      <c r="AE43" s="283"/>
      <c r="AF43" s="283" t="str">
        <f>Table1[[#This Row],[Item Description]]&amp;Table1[[#This Row],[Unit]]&amp;Table1[[#This Row],[Unit Price]]</f>
        <v>GEL PEN KENKO K-1 HITAMLSN39600</v>
      </c>
    </row>
    <row r="44" spans="1:32" x14ac:dyDescent="0.25">
      <c r="A44" s="287" t="str">
        <f ca="1">IF(Table1[[#This Row],[No. Invoice :]]="","",ROW())</f>
        <v/>
      </c>
      <c r="B44" s="287" t="str">
        <f ca="1">IF(Table1[Column3]="","",B$1+COUNT(INDIRECT("B$2:B"&amp;ROW()-1)))</f>
        <v/>
      </c>
      <c r="C44" s="281" t="str">
        <f>IF(Table1[[#This Row],[Column2]]="","",Table1[[#This Row],[Column2]]+C$1-1)</f>
        <v/>
      </c>
      <c r="H44" s="287" t="str">
        <f ca="1">IF(Table1[[#This Row],[h_No. Invoice :]]="","",CONCATENATE("AM"," ",Table1[[#This Row],[h_No. Invoice :]]))</f>
        <v/>
      </c>
      <c r="I44" s="288" t="str">
        <f>CONCATENATE(UPPER(Table1[[#This Row],[Column3]])," ",Table1[[#This Row],[Column4]])</f>
        <v xml:space="preserve"> </v>
      </c>
      <c r="J44" s="287" t="str">
        <f>IF(Table1[[#This Row],[Column5]]="","",INDEX(Table2[e],IF(Table1[[#This Row],[Column5]]="","",MATCH(Table1[[#This Row],[Column5]],Table2[a],0)),))</f>
        <v/>
      </c>
      <c r="O44" s="287" t="str">
        <f>IF(Table1[[#This Row],[h_Item Description]]="","",INDEX([1]!db[NB PAJAK],MATCH(Table1[[#This Row],[h_Item Description]],[1]!db[kode],0)))</f>
        <v/>
      </c>
      <c r="Q44" s="283"/>
      <c r="R44" s="284"/>
      <c r="T44" s="283" t="str">
        <f>Table1[[#This Row],[h_hargasetelahdiskon]]</f>
        <v/>
      </c>
      <c r="W44" s="287" t="str">
        <f ca="1">IF(Table1[[#This Row],[Item Description]]="","",IF(Table1[[#This Row],[//]]="",INDIRECT(ADDRESS(ROW()-1,COLUMN())),Table1[[#This Row],[//]]))</f>
        <v/>
      </c>
      <c r="X44" s="287" t="str">
        <f ca="1">IF(Table1[[#This Row],[h_id]]="","",COUNTIF(Table1[h_id],Table1[[#This Row],[h_id]]))</f>
        <v/>
      </c>
      <c r="Y44" s="283" t="str">
        <f>IF(Table1[Item Description]="","",Table1[[#This Row],[Qty]]*Table1[[#This Row],[Unit Price]])</f>
        <v/>
      </c>
      <c r="Z44" s="283" t="str">
        <f>IF(Table1[[#This Row],[h_hargasebelumdiskon]]="","",IF(Table1[[#This Row],[Disc 1]]="",0,Table1[[#This Row],[h_hargasebelumdiskon]]*Table1[[#This Row],[Disc 1]]))</f>
        <v/>
      </c>
      <c r="AA44" s="283" t="str">
        <f>IF(Table1[[#This Row],[h_hargasebelumdiskon]]="","",IF(Table1[[#This Row],[Disc 2]]="",0,(Table1[[#This Row],[h_hargasebelumdiskon]]-Table1[[#This Row],[h_disc 1]])*Table1[[#This Row],[Disc 2]]))</f>
        <v/>
      </c>
      <c r="AB44" s="283" t="str">
        <f>IF(Table1[Item Description]="","",Table1[[#This Row],[h_disc 1]]+Table1[[#This Row],[h_disc 2]])</f>
        <v/>
      </c>
      <c r="AC44" s="283" t="str">
        <f>IF(Table1[Item Description]="","",Table1[[#This Row],[h_hargasebelumdiskon]]-Table1[[#This Row],[h_diskon]])</f>
        <v/>
      </c>
      <c r="AD44" s="283" t="str">
        <f ca="1">IF(Table1[//]="","",SUMIF(Table1[h_id],Table1[h_id],Table1[h_hargasetelahdiskon]))</f>
        <v/>
      </c>
      <c r="AE44" s="283"/>
      <c r="AF44" s="283" t="str">
        <f>Table1[[#This Row],[Item Description]]&amp;Table1[[#This Row],[Unit]]&amp;Table1[[#This Row],[Unit Price]]</f>
        <v/>
      </c>
    </row>
    <row r="45" spans="1:32" x14ac:dyDescent="0.25">
      <c r="A45" s="287">
        <f ca="1">IF(Table1[[#This Row],[No. Invoice :]]="","",ROW())</f>
        <v>45</v>
      </c>
      <c r="B45" s="287">
        <f ca="1">IF(Table1[Column3]="","",B$1+COUNT(INDIRECT("B$2:B"&amp;ROW()-1)))</f>
        <v>23090013</v>
      </c>
      <c r="C45" s="281">
        <f>IF(Table1[[#This Row],[Column2]]="","",Table1[[#This Row],[Column2]]+C$1-1)</f>
        <v>45185</v>
      </c>
      <c r="D45" s="292">
        <v>16</v>
      </c>
      <c r="E45" s="280" t="s">
        <v>130</v>
      </c>
      <c r="F45" s="282" t="s">
        <v>202</v>
      </c>
      <c r="G45" s="280" t="s">
        <v>91</v>
      </c>
      <c r="H45" s="287" t="str">
        <f ca="1">IF(Table1[[#This Row],[h_No. Invoice :]]="","",CONCATENATE("AM"," ",Table1[[#This Row],[h_No. Invoice :]]))</f>
        <v>AM 23090013</v>
      </c>
      <c r="I45" s="288" t="str">
        <f>CONCATENATE(UPPER(Table1[[#This Row],[Column3]])," ",Table1[[#This Row],[Column4]])</f>
        <v>KO 3265</v>
      </c>
      <c r="J45" s="287" t="str">
        <f>IF(Table1[[#This Row],[Column5]]="","",INDEX(Table2[e],IF(Table1[[#This Row],[Column5]]="","",MATCH(Table1[[#This Row],[Column5]],Table2[a],0)),))</f>
        <v>CV LANCAR JAYA SENTOSA MALANG</v>
      </c>
      <c r="K45" s="280">
        <v>2160</v>
      </c>
      <c r="L45" s="280" t="s">
        <v>150</v>
      </c>
      <c r="M45" s="280">
        <v>3</v>
      </c>
      <c r="N45" s="280" t="s">
        <v>145</v>
      </c>
      <c r="O45" s="287" t="str">
        <f>IF(Table1[[#This Row],[h_Item Description]]="","",INDEX([1]!db[NB PAJAK],MATCH(Table1[[#This Row],[h_Item Description]],[1]!db[kode],0)))</f>
        <v>CORRECTION TAPE JOYKO CT-522</v>
      </c>
      <c r="P45" s="280" t="s">
        <v>146</v>
      </c>
      <c r="Q45" s="283">
        <v>4800</v>
      </c>
      <c r="R45" s="284">
        <v>0.125</v>
      </c>
      <c r="T45" s="283">
        <f>Table1[[#This Row],[h_hargasetelahdiskon]]</f>
        <v>9072000</v>
      </c>
      <c r="U45" s="283" t="s">
        <v>135</v>
      </c>
      <c r="W45" s="287">
        <f ca="1">IF(Table1[[#This Row],[Item Description]]="","",IF(Table1[[#This Row],[//]]="",INDIRECT(ADDRESS(ROW()-1,COLUMN())),Table1[[#This Row],[//]]))</f>
        <v>45</v>
      </c>
      <c r="X45" s="287">
        <f ca="1">IF(Table1[[#This Row],[h_id]]="","",COUNTIF(Table1[h_id],Table1[[#This Row],[h_id]]))</f>
        <v>1</v>
      </c>
      <c r="Y45" s="283">
        <f>IF(Table1[Item Description]="","",Table1[[#This Row],[Qty]]*Table1[[#This Row],[Unit Price]])</f>
        <v>10368000</v>
      </c>
      <c r="Z45" s="283">
        <f>IF(Table1[[#This Row],[h_hargasebelumdiskon]]="","",IF(Table1[[#This Row],[Disc 1]]="",0,Table1[[#This Row],[h_hargasebelumdiskon]]*Table1[[#This Row],[Disc 1]]))</f>
        <v>1296000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1296000</v>
      </c>
      <c r="AC45" s="283">
        <f>IF(Table1[Item Description]="","",Table1[[#This Row],[h_hargasebelumdiskon]]-Table1[[#This Row],[h_diskon]])</f>
        <v>9072000</v>
      </c>
      <c r="AD45" s="283">
        <f ca="1">IF(Table1[//]="","",SUMIF(Table1[h_id],Table1[h_id],Table1[h_hargasetelahdiskon]))</f>
        <v>9072000</v>
      </c>
      <c r="AE45" s="283"/>
      <c r="AF45" s="283" t="str">
        <f>Table1[[#This Row],[Item Description]]&amp;Table1[[#This Row],[Unit]]&amp;Table1[[#This Row],[Unit Price]]</f>
        <v>CORRECTION TAPE JOYKO CT-522PCS4800</v>
      </c>
    </row>
    <row r="46" spans="1:32" x14ac:dyDescent="0.25">
      <c r="A46" s="287" t="str">
        <f ca="1">IF(Table1[[#This Row],[No. Invoice :]]="","",ROW())</f>
        <v/>
      </c>
      <c r="B46" s="287" t="str">
        <f ca="1">IF(Table1[Column3]="","",B$1+COUNT(INDIRECT("B$2:B"&amp;ROW()-1)))</f>
        <v/>
      </c>
      <c r="C46" s="281" t="str">
        <f>IF(Table1[[#This Row],[Column2]]="","",Table1[[#This Row],[Column2]]+C$1-1)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Row],[Column3]])," ",Table1[[#This Row],[Column4]])</f>
        <v xml:space="preserve"> </v>
      </c>
      <c r="J46" s="287" t="str">
        <f>IF(Table1[[#This Row],[Column5]]="","",INDEX(Table2[e],IF(Table1[[#This Row],[Column5]]="","",MATCH(Table1[[#This Row],[Column5]],Table2[a],0)),))</f>
        <v/>
      </c>
      <c r="O46" s="287" t="str">
        <f>IF(Table1[[#This Row],[h_Item Description]]="","",INDEX([1]!db[NB PAJAK],MATCH(Table1[[#This Row],[h_Item Description]],[1]!db[kode],0)))</f>
        <v/>
      </c>
      <c r="Q46" s="283"/>
      <c r="R46" s="284"/>
      <c r="T46" s="283" t="str">
        <f>Table1[[#This Row],[h_hargasetelahdiskon]]</f>
        <v/>
      </c>
      <c r="W46" s="287" t="str">
        <f ca="1">IF(Table1[[#This Row],[Item Description]]="","",IF(Table1[[#This Row],[//]]="",INDIRECT(ADDRESS(ROW()-1,COLUMN())),Table1[[#This Row],[//]]))</f>
        <v/>
      </c>
      <c r="X46" s="287" t="str">
        <f ca="1">IF(Table1[[#This Row],[h_id]]="","",COUNTIF(Table1[h_id],Table1[[#This Row],[h_id]]))</f>
        <v/>
      </c>
      <c r="Y46" s="283" t="str">
        <f>IF(Table1[Item Description]="","",Table1[[#This Row],[Qty]]*Table1[[#This Row],[Unit Price]])</f>
        <v/>
      </c>
      <c r="Z46" s="283" t="str">
        <f>IF(Table1[[#This Row],[h_hargasebelumdiskon]]="","",IF(Table1[[#This Row],[Disc 1]]="",0,Table1[[#This Row],[h_hargasebelumdiskon]]*Table1[[#This Row],[Disc 1]]))</f>
        <v/>
      </c>
      <c r="AA46" s="283" t="str">
        <f>IF(Table1[[#This Row],[h_hargasebelumdiskon]]="","",IF(Table1[[#This Row],[Disc 2]]="",0,(Table1[[#This Row],[h_hargasebelumdiskon]]-Table1[[#This Row],[h_disc 1]])*Table1[[#This Row],[Disc 2]]))</f>
        <v/>
      </c>
      <c r="AB46" s="283" t="str">
        <f>IF(Table1[Item Description]="","",Table1[[#This Row],[h_disc 1]]+Table1[[#This Row],[h_disc 2]])</f>
        <v/>
      </c>
      <c r="AC46" s="283" t="str">
        <f>IF(Table1[Item Description]="","",Table1[[#This Row],[h_hargasebelumdiskon]]-Table1[[#This Row],[h_diskon]])</f>
        <v/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/>
      </c>
    </row>
    <row r="47" spans="1:32" x14ac:dyDescent="0.25">
      <c r="A47" s="287" t="str">
        <f ca="1">IF(Table1[[#This Row],[No. Invoice :]]="","",ROW())</f>
        <v/>
      </c>
      <c r="B47" s="287" t="str">
        <f ca="1">IF(Table1[Column3]="","",B$1+COUNT(INDIRECT("B$2:B"&amp;ROW()-1)))</f>
        <v/>
      </c>
      <c r="C47" s="281" t="str">
        <f>IF(Table1[[#This Row],[Column2]]="","",Table1[[#This Row],[Column2]]+C$1-1)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Row],[Column3]])," ",Table1[[#This Row],[Column4]])</f>
        <v xml:space="preserve"> </v>
      </c>
      <c r="J47" s="287" t="str">
        <f>IF(Table1[[#This Row],[Column5]]="","",INDEX(Table2[e],IF(Table1[[#This Row],[Column5]]="","",MATCH(Table1[[#This Row],[Column5]],Table2[a],0)),))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>
        <f ca="1">IF(Table1[[#This Row],[No. Invoice :]]="","",ROW())</f>
        <v>48</v>
      </c>
      <c r="B48" s="287">
        <f ca="1">IF(Table1[Column3]="","",B$1+COUNT(INDIRECT("B$2:B"&amp;ROW()-1)))</f>
        <v>23090014</v>
      </c>
      <c r="C48" s="281">
        <f>IF(Table1[[#This Row],[Column2]]="","",Table1[[#This Row],[Column2]]+C$1-1)</f>
        <v>45185</v>
      </c>
      <c r="D48" s="292">
        <v>16</v>
      </c>
      <c r="E48" s="280" t="s">
        <v>184</v>
      </c>
      <c r="F48" s="282" t="s">
        <v>203</v>
      </c>
      <c r="G48" s="280" t="s">
        <v>81</v>
      </c>
      <c r="H48" s="287" t="str">
        <f ca="1">IF(Table1[[#This Row],[h_No. Invoice :]]="","",CONCATENATE("AM"," ",Table1[[#This Row],[h_No. Invoice :]]))</f>
        <v>AM 23090014</v>
      </c>
      <c r="I48" s="288" t="str">
        <f>CONCATENATE(UPPER(Table1[[#This Row],[Column3]])," ",Table1[[#This Row],[Column4]])</f>
        <v>KO 3726</v>
      </c>
      <c r="J48" s="287" t="str">
        <f>IF(Table1[[#This Row],[Column5]]="","",INDEX(Table2[e],IF(Table1[[#This Row],[Column5]]="","",MATCH(Table1[[#This Row],[Column5]],Table2[a],0)),))</f>
        <v>CV PELITA JAYA (ANUGERAH SEJAHTERA) PURWOKERTO</v>
      </c>
      <c r="K48" s="280">
        <v>100</v>
      </c>
      <c r="L48" s="280" t="s">
        <v>205</v>
      </c>
      <c r="M48" s="280">
        <v>2</v>
      </c>
      <c r="N48" s="280" t="s">
        <v>204</v>
      </c>
      <c r="O48" s="287" t="str">
        <f>IF(Table1[[#This Row],[h_Item Description]]="","",INDEX([1]!db[NB PAJAK],MATCH(Table1[[#This Row],[h_Item Description]],[1]!db[kode],0)))</f>
        <v>STIP / PENGHAPUS JOYKO 526-B40BL HITAM</v>
      </c>
      <c r="P48" s="280" t="s">
        <v>210</v>
      </c>
      <c r="Q48" s="283">
        <v>28300</v>
      </c>
      <c r="R48" s="284">
        <v>0.13500000000000001</v>
      </c>
      <c r="T48" s="283">
        <f>Table1[[#This Row],[h_hargasetelahdiskon]]</f>
        <v>2447950</v>
      </c>
      <c r="U48" s="283" t="s">
        <v>135</v>
      </c>
      <c r="W48" s="287">
        <f ca="1">IF(Table1[[#This Row],[Item Description]]="","",IF(Table1[[#This Row],[//]]="",INDIRECT(ADDRESS(ROW()-1,COLUMN())),Table1[[#This Row],[//]]))</f>
        <v>48</v>
      </c>
      <c r="X48" s="287">
        <f ca="1">IF(Table1[[#This Row],[h_id]]="","",COUNTIF(Table1[h_id],Table1[[#This Row],[h_id]]))</f>
        <v>4</v>
      </c>
      <c r="Y48" s="283">
        <f>IF(Table1[Item Description]="","",Table1[[#This Row],[Qty]]*Table1[[#This Row],[Unit Price]])</f>
        <v>2830000</v>
      </c>
      <c r="Z48" s="283">
        <f>IF(Table1[[#This Row],[h_hargasebelumdiskon]]="","",IF(Table1[[#This Row],[Disc 1]]="",0,Table1[[#This Row],[h_hargasebelumdiskon]]*Table1[[#This Row],[Disc 1]]))</f>
        <v>382050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382050</v>
      </c>
      <c r="AC48" s="283">
        <f>IF(Table1[Item Description]="","",Table1[[#This Row],[h_hargasebelumdiskon]]-Table1[[#This Row],[h_diskon]])</f>
        <v>2447950</v>
      </c>
      <c r="AD48" s="283">
        <f ca="1">IF(Table1[//]="","",SUMIF(Table1[h_id],Table1[h_id],Table1[h_hargasetelahdiskon]))</f>
        <v>7257350</v>
      </c>
      <c r="AE48" s="283"/>
      <c r="AF48" s="283" t="str">
        <f>Table1[[#This Row],[Item Description]]&amp;Table1[[#This Row],[Unit]]&amp;Table1[[#This Row],[Unit Price]]</f>
        <v>STIP / PENGHAPUS JOYKO 526-B40BL HITAMbox28300</v>
      </c>
    </row>
    <row r="49" spans="1:32" x14ac:dyDescent="0.25">
      <c r="A49" s="287" t="str">
        <f ca="1">IF(Table1[[#This Row],[No. Invoice :]]="","",ROW())</f>
        <v/>
      </c>
      <c r="B49" s="287" t="str">
        <f ca="1">IF(Table1[Column3]="","",B$1+COUNT(INDIRECT("B$2:B"&amp;ROW()-1)))</f>
        <v/>
      </c>
      <c r="C49" s="281" t="str">
        <f>IF(Table1[[#This Row],[Column2]]="","",Table1[[#This Row],[Column2]]+C$1-1)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Row],[Column3]])," ",Table1[[#This Row],[Column4]])</f>
        <v xml:space="preserve"> </v>
      </c>
      <c r="J49" s="287" t="str">
        <f>IF(Table1[[#This Row],[Column5]]="","",INDEX(Table2[e],IF(Table1[[#This Row],[Column5]]="","",MATCH(Table1[[#This Row],[Column5]],Table2[a],0)),))</f>
        <v/>
      </c>
      <c r="K49" s="280">
        <v>50</v>
      </c>
      <c r="L49" s="280" t="s">
        <v>186</v>
      </c>
      <c r="M49" s="280">
        <v>1</v>
      </c>
      <c r="N49" s="280" t="s">
        <v>206</v>
      </c>
      <c r="O49" s="287" t="str">
        <f>IF(Table1[[#This Row],[h_Item Description]]="","",INDEX([1]!db[NB PAJAK],MATCH(Table1[[#This Row],[h_Item Description]],[1]!db[kode],0)))</f>
        <v>STIP / PENGHAPUS JOYKO ER-B20BL HITAM</v>
      </c>
      <c r="P49" s="280" t="s">
        <v>211</v>
      </c>
      <c r="Q49" s="283">
        <v>34100</v>
      </c>
      <c r="R49" s="284">
        <v>0.13500000000000001</v>
      </c>
      <c r="T49" s="283">
        <f>Table1[[#This Row],[h_hargasetelahdiskon]]</f>
        <v>1474825</v>
      </c>
      <c r="W49" s="287">
        <f ca="1">IF(Table1[[#This Row],[Item Description]]="","",IF(Table1[[#This Row],[//]]="",INDIRECT(ADDRESS(ROW()-1,COLUMN())),Table1[[#This Row],[//]]))</f>
        <v>48</v>
      </c>
      <c r="X49" s="287">
        <f ca="1">IF(Table1[[#This Row],[h_id]]="","",COUNTIF(Table1[h_id],Table1[[#This Row],[h_id]]))</f>
        <v>4</v>
      </c>
      <c r="Y49" s="283">
        <f>IF(Table1[Item Description]="","",Table1[[#This Row],[Qty]]*Table1[[#This Row],[Unit Price]])</f>
        <v>1705000</v>
      </c>
      <c r="Z49" s="283">
        <f>IF(Table1[[#This Row],[h_hargasebelumdiskon]]="","",IF(Table1[[#This Row],[Disc 1]]="",0,Table1[[#This Row],[h_hargasebelumdiskon]]*Table1[[#This Row],[Disc 1]]))</f>
        <v>230175.00000000003</v>
      </c>
      <c r="AA49" s="283">
        <f>IF(Table1[[#This Row],[h_hargasebelumdiskon]]="","",IF(Table1[[#This Row],[Disc 2]]="",0,(Table1[[#This Row],[h_hargasebelumdiskon]]-Table1[[#This Row],[h_disc 1]])*Table1[[#This Row],[Disc 2]]))</f>
        <v>0</v>
      </c>
      <c r="AB49" s="283">
        <f>IF(Table1[Item Description]="","",Table1[[#This Row],[h_disc 1]]+Table1[[#This Row],[h_disc 2]])</f>
        <v>230175.00000000003</v>
      </c>
      <c r="AC49" s="283">
        <f>IF(Table1[Item Description]="","",Table1[[#This Row],[h_hargasebelumdiskon]]-Table1[[#This Row],[h_diskon]])</f>
        <v>1474825</v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>STIP / PENGHAPUS JOYKO ER-B20BL HITAMBOX34100</v>
      </c>
    </row>
    <row r="50" spans="1:32" x14ac:dyDescent="0.25">
      <c r="A50" s="287" t="str">
        <f ca="1">IF(Table1[[#This Row],[No. Invoice :]]="","",ROW())</f>
        <v/>
      </c>
      <c r="B50" s="287" t="str">
        <f ca="1">IF(Table1[Column3]="","",B$1+COUNT(INDIRECT("B$2:B"&amp;ROW()-1)))</f>
        <v/>
      </c>
      <c r="C50" s="281" t="str">
        <f>IF(Table1[[#This Row],[Column2]]="","",Table1[[#This Row],[Column2]]+C$1-1)</f>
        <v/>
      </c>
      <c r="H50" s="287" t="str">
        <f ca="1">IF(Table1[[#This Row],[h_No. Invoice :]]="","",CONCATENATE("AM"," ",Table1[[#This Row],[h_No. Invoice :]]))</f>
        <v/>
      </c>
      <c r="I50" s="288" t="str">
        <f>CONCATENATE(UPPER(Table1[[#This Row],[Column3]])," ",Table1[[#This Row],[Column4]])</f>
        <v xml:space="preserve"> </v>
      </c>
      <c r="J50" s="287" t="str">
        <f>IF(Table1[[#This Row],[Column5]]="","",INDEX(Table2[e],IF(Table1[[#This Row],[Column5]]="","",MATCH(Table1[[#This Row],[Column5]],Table2[a],0)),))</f>
        <v/>
      </c>
      <c r="K50" s="280">
        <v>50</v>
      </c>
      <c r="L50" s="280" t="s">
        <v>186</v>
      </c>
      <c r="M50" s="280">
        <v>1</v>
      </c>
      <c r="N50" s="280" t="s">
        <v>207</v>
      </c>
      <c r="O50" s="287" t="str">
        <f>IF(Table1[[#This Row],[h_Item Description]]="","",INDEX([1]!db[NB PAJAK],MATCH(Table1[[#This Row],[h_Item Description]],[1]!db[kode],0)))</f>
        <v>STIP / PENGHAPUS JOYKO 526-B20 PUTIH</v>
      </c>
      <c r="P50" s="280" t="s">
        <v>212</v>
      </c>
      <c r="Q50" s="283">
        <v>34100</v>
      </c>
      <c r="R50" s="284">
        <v>0.13500000000000001</v>
      </c>
      <c r="T50" s="283">
        <f>Table1[[#This Row],[h_hargasetelahdiskon]]</f>
        <v>1474825</v>
      </c>
      <c r="W50" s="287">
        <f ca="1">IF(Table1[[#This Row],[Item Description]]="","",IF(Table1[[#This Row],[//]]="",INDIRECT(ADDRESS(ROW()-1,COLUMN())),Table1[[#This Row],[//]]))</f>
        <v>48</v>
      </c>
      <c r="X50" s="287">
        <f ca="1">IF(Table1[[#This Row],[h_id]]="","",COUNTIF(Table1[h_id],Table1[[#This Row],[h_id]]))</f>
        <v>4</v>
      </c>
      <c r="Y50" s="283">
        <f>IF(Table1[Item Description]="","",Table1[[#This Row],[Qty]]*Table1[[#This Row],[Unit Price]])</f>
        <v>1705000</v>
      </c>
      <c r="Z50" s="283">
        <f>IF(Table1[[#This Row],[h_hargasebelumdiskon]]="","",IF(Table1[[#This Row],[Disc 1]]="",0,Table1[[#This Row],[h_hargasebelumdiskon]]*Table1[[#This Row],[Disc 1]]))</f>
        <v>230175.00000000003</v>
      </c>
      <c r="AA50" s="283">
        <f>IF(Table1[[#This Row],[h_hargasebelumdiskon]]="","",IF(Table1[[#This Row],[Disc 2]]="",0,(Table1[[#This Row],[h_hargasebelumdiskon]]-Table1[[#This Row],[h_disc 1]])*Table1[[#This Row],[Disc 2]]))</f>
        <v>0</v>
      </c>
      <c r="AB50" s="283">
        <f>IF(Table1[Item Description]="","",Table1[[#This Row],[h_disc 1]]+Table1[[#This Row],[h_disc 2]])</f>
        <v>230175.00000000003</v>
      </c>
      <c r="AC50" s="283">
        <f>IF(Table1[Item Description]="","",Table1[[#This Row],[h_hargasebelumdiskon]]-Table1[[#This Row],[h_diskon]])</f>
        <v>1474825</v>
      </c>
      <c r="AD50" s="283" t="str">
        <f ca="1">IF(Table1[//]="","",SUMIF(Table1[h_id],Table1[h_id],Table1[h_hargasetelahdiskon]))</f>
        <v/>
      </c>
      <c r="AE50" s="283"/>
      <c r="AF50" s="283" t="str">
        <f>Table1[[#This Row],[Item Description]]&amp;Table1[[#This Row],[Unit]]&amp;Table1[[#This Row],[Unit Price]]</f>
        <v>STIP / PENGHAPUS JOYKO 526-B20 PUTIHBOX34100</v>
      </c>
    </row>
    <row r="51" spans="1:32" x14ac:dyDescent="0.25">
      <c r="A51" s="287" t="str">
        <f ca="1">IF(Table1[[#This Row],[No. Invoice :]]="","",ROW())</f>
        <v/>
      </c>
      <c r="B51" s="287" t="str">
        <f ca="1">IF(Table1[Column3]="","",B$1+COUNT(INDIRECT("B$2:B"&amp;ROW()-1)))</f>
        <v/>
      </c>
      <c r="C51" s="281" t="str">
        <f>IF(Table1[[#This Row],[Column2]]="","",Table1[[#This Row],[Column2]]+C$1-1)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Row],[Column3]])," ",Table1[[#This Row],[Column4]])</f>
        <v xml:space="preserve"> </v>
      </c>
      <c r="J51" s="287" t="str">
        <f>IF(Table1[[#This Row],[Column5]]="","",INDEX(Table2[e],IF(Table1[[#This Row],[Column5]]="","",MATCH(Table1[[#This Row],[Column5]],Table2[a],0)),))</f>
        <v/>
      </c>
      <c r="K51" s="280">
        <v>500</v>
      </c>
      <c r="L51" s="280" t="s">
        <v>209</v>
      </c>
      <c r="M51" s="280">
        <v>1</v>
      </c>
      <c r="N51" s="280" t="s">
        <v>208</v>
      </c>
      <c r="O51" s="287" t="str">
        <f>IF(Table1[[#This Row],[h_Item Description]]="","",INDEX([1]!db[NB PAJAK],MATCH(Table1[[#This Row],[h_Item Description]],[1]!db[kode],0)))</f>
        <v>LABEL HARGA JOYKO LB-3 (2 LINE KUNING FLUOR)</v>
      </c>
      <c r="P51" s="280" t="s">
        <v>213</v>
      </c>
      <c r="Q51" s="283">
        <v>4300</v>
      </c>
      <c r="R51" s="284">
        <v>0.13500000000000001</v>
      </c>
      <c r="T51" s="283">
        <f>Table1[[#This Row],[h_hargasetelahdiskon]]</f>
        <v>1859750</v>
      </c>
      <c r="W51" s="287">
        <f ca="1">IF(Table1[[#This Row],[Item Description]]="","",IF(Table1[[#This Row],[//]]="",INDIRECT(ADDRESS(ROW()-1,COLUMN())),Table1[[#This Row],[//]]))</f>
        <v>48</v>
      </c>
      <c r="X51" s="287">
        <f ca="1">IF(Table1[[#This Row],[h_id]]="","",COUNTIF(Table1[h_id],Table1[[#This Row],[h_id]]))</f>
        <v>4</v>
      </c>
      <c r="Y51" s="283">
        <f>IF(Table1[Item Description]="","",Table1[[#This Row],[Qty]]*Table1[[#This Row],[Unit Price]])</f>
        <v>2150000</v>
      </c>
      <c r="Z51" s="283">
        <f>IF(Table1[[#This Row],[h_hargasebelumdiskon]]="","",IF(Table1[[#This Row],[Disc 1]]="",0,Table1[[#This Row],[h_hargasebelumdiskon]]*Table1[[#This Row],[Disc 1]]))</f>
        <v>290250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290250</v>
      </c>
      <c r="AC51" s="283">
        <f>IF(Table1[Item Description]="","",Table1[[#This Row],[h_hargasebelumdiskon]]-Table1[[#This Row],[h_diskon]])</f>
        <v>1859750</v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>LABEL HARGA JOYKO LB-3 (2 LINE KUNING FLUOR)ROL4300</v>
      </c>
    </row>
    <row r="52" spans="1:32" x14ac:dyDescent="0.25">
      <c r="A52" s="287" t="str">
        <f ca="1">IF(Table1[[#This Row],[No. Invoice :]]="","",ROW())</f>
        <v/>
      </c>
      <c r="B52" s="287" t="str">
        <f ca="1">IF(Table1[Column3]="","",B$1+COUNT(INDIRECT("B$2:B"&amp;ROW()-1)))</f>
        <v/>
      </c>
      <c r="C52" s="281" t="str">
        <f>IF(Table1[[#This Row],[Column2]]="","",Table1[[#This Row],[Column2]]+C$1-1)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Row],[Column3]])," ",Table1[[#This Row],[Column4]])</f>
        <v xml:space="preserve"> </v>
      </c>
      <c r="J52" s="287" t="str">
        <f>IF(Table1[[#This Row],[Column5]]="","",INDEX(Table2[e],IF(Table1[[#This Row],[Column5]]="","",MATCH(Table1[[#This Row],[Column5]],Table2[a],0)),))</f>
        <v/>
      </c>
      <c r="O52" s="287" t="str">
        <f>IF(Table1[[#This Row],[h_Item Description]]="","",INDEX([1]!db[NB PAJAK],MATCH(Table1[[#This Row],[h_Item Description]],[1]!db[kode],0)))</f>
        <v/>
      </c>
      <c r="Q52" s="283"/>
      <c r="R52" s="284"/>
      <c r="T52" s="283" t="str">
        <f>Table1[[#This Row],[h_hargasetelahdiskon]]</f>
        <v/>
      </c>
      <c r="W52" s="287" t="str">
        <f ca="1">IF(Table1[[#This Row],[Item Description]]="","",IF(Table1[[#This Row],[//]]="",INDIRECT(ADDRESS(ROW()-1,COLUMN())),Table1[[#This Row],[//]]))</f>
        <v/>
      </c>
      <c r="X52" s="287" t="str">
        <f ca="1">IF(Table1[[#This Row],[h_id]]="","",COUNTIF(Table1[h_id],Table1[[#This Row],[h_id]]))</f>
        <v/>
      </c>
      <c r="Y52" s="283" t="str">
        <f>IF(Table1[Item Description]="","",Table1[[#This Row],[Qty]]*Table1[[#This Row],[Unit Price]])</f>
        <v/>
      </c>
      <c r="Z52" s="283" t="str">
        <f>IF(Table1[[#This Row],[h_hargasebelumdiskon]]="","",IF(Table1[[#This Row],[Disc 1]]="",0,Table1[[#This Row],[h_hargasebelumdiskon]]*Table1[[#This Row],[Disc 1]]))</f>
        <v/>
      </c>
      <c r="AA52" s="283" t="str">
        <f>IF(Table1[[#This Row],[h_hargasebelumdiskon]]="","",IF(Table1[[#This Row],[Disc 2]]="",0,(Table1[[#This Row],[h_hargasebelumdiskon]]-Table1[[#This Row],[h_disc 1]])*Table1[[#This Row],[Disc 2]]))</f>
        <v/>
      </c>
      <c r="AB52" s="283" t="str">
        <f>IF(Table1[Item Description]="","",Table1[[#This Row],[h_disc 1]]+Table1[[#This Row],[h_disc 2]])</f>
        <v/>
      </c>
      <c r="AC52" s="283" t="str">
        <f>IF(Table1[Item Description]="","",Table1[[#This Row],[h_hargasebelumdiskon]]-Table1[[#This Row],[h_diskon]])</f>
        <v/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/>
      </c>
    </row>
    <row r="53" spans="1:32" x14ac:dyDescent="0.25">
      <c r="A53" s="287">
        <f ca="1">IF(Table1[[#This Row],[No. Invoice :]]="","",ROW())</f>
        <v>53</v>
      </c>
      <c r="B53" s="287">
        <f ca="1">IF(Table1[Column3]="","",B$1+COUNT(INDIRECT("B$2:B"&amp;ROW()-1)))</f>
        <v>23090015</v>
      </c>
      <c r="C53" s="281">
        <f>IF(Table1[[#This Row],[Column2]]="","",Table1[[#This Row],[Column2]]+C$1-1)</f>
        <v>45183</v>
      </c>
      <c r="D53" s="292">
        <v>14</v>
      </c>
      <c r="E53" s="280" t="s">
        <v>143</v>
      </c>
      <c r="F53" s="282" t="s">
        <v>214</v>
      </c>
      <c r="G53" s="280" t="s">
        <v>58</v>
      </c>
      <c r="H53" s="287" t="str">
        <f ca="1">IF(Table1[[#This Row],[h_No. Invoice :]]="","",CONCATENATE("AM"," ",Table1[[#This Row],[h_No. Invoice :]]))</f>
        <v>AM 23090015</v>
      </c>
      <c r="I53" s="288" t="str">
        <f>CONCATENATE(UPPER(Table1[[#This Row],[Column3]])," ",Table1[[#This Row],[Column4]])</f>
        <v>G 3754</v>
      </c>
      <c r="J53" s="287" t="str">
        <f>IF(Table1[[#This Row],[Column5]]="","",INDEX(Table2[e],IF(Table1[[#This Row],[Column5]]="","",MATCH(Table1[[#This Row],[Column5]],Table2[a],0)),))</f>
        <v>MUHAMMAD AGUS MUNADI ( SINAR BHAKTI ) YOGYAKARTA</v>
      </c>
      <c r="K53" s="280">
        <v>24</v>
      </c>
      <c r="L53" s="280" t="s">
        <v>132</v>
      </c>
      <c r="N53" s="280" t="s">
        <v>217</v>
      </c>
      <c r="O53" s="287" t="str">
        <f>IF(Table1[[#This Row],[h_Item Description]]="","",INDEX([1]!db[NB PAJAK],MATCH(Table1[[#This Row],[h_Item Description]],[1]!db[kode],0)))</f>
        <v>PENSIL KENKO 2B-6371 SILVER CAP BIRU</v>
      </c>
      <c r="P53" s="280" t="s">
        <v>219</v>
      </c>
      <c r="Q53" s="283">
        <v>9000</v>
      </c>
      <c r="R53" s="284">
        <v>0.1</v>
      </c>
      <c r="T53" s="283">
        <f>Table1[[#This Row],[h_hargasetelahdiskon]]</f>
        <v>194400</v>
      </c>
      <c r="U53" s="283" t="s">
        <v>135</v>
      </c>
      <c r="W53" s="287">
        <f ca="1">IF(Table1[[#This Row],[Item Description]]="","",IF(Table1[[#This Row],[//]]="",INDIRECT(ADDRESS(ROW()-1,COLUMN())),Table1[[#This Row],[//]]))</f>
        <v>53</v>
      </c>
      <c r="X53" s="287">
        <f ca="1">IF(Table1[[#This Row],[h_id]]="","",COUNTIF(Table1[h_id],Table1[[#This Row],[h_id]]))</f>
        <v>3</v>
      </c>
      <c r="Y53" s="283">
        <f>IF(Table1[Item Description]="","",Table1[[#This Row],[Qty]]*Table1[[#This Row],[Unit Price]])</f>
        <v>216000</v>
      </c>
      <c r="Z53" s="283">
        <f>IF(Table1[[#This Row],[h_hargasebelumdiskon]]="","",IF(Table1[[#This Row],[Disc 1]]="",0,Table1[[#This Row],[h_hargasebelumdiskon]]*Table1[[#This Row],[Disc 1]]))</f>
        <v>21600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21600</v>
      </c>
      <c r="AC53" s="283">
        <f>IF(Table1[Item Description]="","",Table1[[#This Row],[h_hargasebelumdiskon]]-Table1[[#This Row],[h_diskon]])</f>
        <v>194400</v>
      </c>
      <c r="AD53" s="283">
        <f ca="1">IF(Table1[//]="","",SUMIF(Table1[h_id],Table1[h_id],Table1[h_hargasetelahdiskon]))</f>
        <v>963360</v>
      </c>
      <c r="AE53" s="283"/>
      <c r="AF53" s="283" t="str">
        <f>Table1[[#This Row],[Item Description]]&amp;Table1[[#This Row],[Unit]]&amp;Table1[[#This Row],[Unit Price]]</f>
        <v>PENSIL KENKO 2B-6371 SILVER CAP BIRULSN9000</v>
      </c>
    </row>
    <row r="54" spans="1:32" x14ac:dyDescent="0.25">
      <c r="A54" s="287" t="str">
        <f ca="1">IF(Table1[[#This Row],[No. Invoice :]]="","",ROW())</f>
        <v/>
      </c>
      <c r="B54" s="287" t="str">
        <f ca="1">IF(Table1[Column3]="","",B$1+COUNT(INDIRECT("B$2:B"&amp;ROW()-1)))</f>
        <v/>
      </c>
      <c r="C54" s="281" t="str">
        <f>IF(Table1[[#This Row],[Column2]]="","",Table1[[#This Row],[Column2]]+C$1-1)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Row],[Column3]])," ",Table1[[#This Row],[Column4]])</f>
        <v xml:space="preserve"> </v>
      </c>
      <c r="J54" s="287" t="str">
        <f>IF(Table1[[#This Row],[Column5]]="","",INDEX(Table2[e],IF(Table1[[#This Row],[Column5]]="","",MATCH(Table1[[#This Row],[Column5]],Table2[a],0)),))</f>
        <v/>
      </c>
      <c r="K54" s="280">
        <v>12</v>
      </c>
      <c r="L54" s="280" t="s">
        <v>132</v>
      </c>
      <c r="N54" s="280" t="s">
        <v>215</v>
      </c>
      <c r="O54" s="287" t="str">
        <f>IF(Table1[[#This Row],[h_Item Description]]="","",INDEX([1]!db[NB PAJAK],MATCH(Table1[[#This Row],[h_Item Description]],[1]!db[kode],0)))</f>
        <v>PENSIL KENKO 2B-6800 PLATINUM</v>
      </c>
      <c r="P54" s="280" t="s">
        <v>220</v>
      </c>
      <c r="Q54" s="283">
        <v>8800</v>
      </c>
      <c r="R54" s="284">
        <v>0.1</v>
      </c>
      <c r="T54" s="283">
        <f>Table1[[#This Row],[h_hargasetelahdiskon]]</f>
        <v>95040</v>
      </c>
      <c r="W54" s="287">
        <f ca="1">IF(Table1[[#This Row],[Item Description]]="","",IF(Table1[[#This Row],[//]]="",INDIRECT(ADDRESS(ROW()-1,COLUMN())),Table1[[#This Row],[//]]))</f>
        <v>53</v>
      </c>
      <c r="X54" s="287">
        <f ca="1">IF(Table1[[#This Row],[h_id]]="","",COUNTIF(Table1[h_id],Table1[[#This Row],[h_id]]))</f>
        <v>3</v>
      </c>
      <c r="Y54" s="283">
        <f>IF(Table1[Item Description]="","",Table1[[#This Row],[Qty]]*Table1[[#This Row],[Unit Price]])</f>
        <v>105600</v>
      </c>
      <c r="Z54" s="283">
        <f>IF(Table1[[#This Row],[h_hargasebelumdiskon]]="","",IF(Table1[[#This Row],[Disc 1]]="",0,Table1[[#This Row],[h_hargasebelumdiskon]]*Table1[[#This Row],[Disc 1]]))</f>
        <v>10560</v>
      </c>
      <c r="AA54" s="283">
        <f>IF(Table1[[#This Row],[h_hargasebelumdiskon]]="","",IF(Table1[[#This Row],[Disc 2]]="",0,(Table1[[#This Row],[h_hargasebelumdiskon]]-Table1[[#This Row],[h_disc 1]])*Table1[[#This Row],[Disc 2]]))</f>
        <v>0</v>
      </c>
      <c r="AB54" s="283">
        <f>IF(Table1[Item Description]="","",Table1[[#This Row],[h_disc 1]]+Table1[[#This Row],[h_disc 2]])</f>
        <v>10560</v>
      </c>
      <c r="AC54" s="283">
        <f>IF(Table1[Item Description]="","",Table1[[#This Row],[h_hargasebelumdiskon]]-Table1[[#This Row],[h_diskon]])</f>
        <v>95040</v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>PENSIL KENKO 2B-6800 PLATINUMLSN8800</v>
      </c>
    </row>
    <row r="55" spans="1:32" x14ac:dyDescent="0.25">
      <c r="A55" s="287" t="str">
        <f ca="1">IF(Table1[[#This Row],[No. Invoice :]]="","",ROW())</f>
        <v/>
      </c>
      <c r="B55" s="287" t="str">
        <f ca="1">IF(Table1[Column3]="","",B$1+COUNT(INDIRECT("B$2:B"&amp;ROW()-1)))</f>
        <v/>
      </c>
      <c r="C55" s="281" t="str">
        <f>IF(Table1[[#This Row],[Column2]]="","",Table1[[#This Row],[Column2]]+C$1-1)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Row],[Column3]])," ",Table1[[#This Row],[Column4]])</f>
        <v xml:space="preserve"> </v>
      </c>
      <c r="J55" s="287" t="str">
        <f>IF(Table1[[#This Row],[Column5]]="","",INDEX(Table2[e],IF(Table1[[#This Row],[Column5]]="","",MATCH(Table1[[#This Row],[Column5]],Table2[a],0)),))</f>
        <v/>
      </c>
      <c r="K55" s="280">
        <v>12</v>
      </c>
      <c r="L55" s="280" t="s">
        <v>132</v>
      </c>
      <c r="N55" s="280" t="s">
        <v>216</v>
      </c>
      <c r="O55" s="287" t="e">
        <f>IF(Table1[[#This Row],[h_Item Description]]="","",INDEX([1]!db[NB PAJAK],MATCH(Table1[[#This Row],[h_Item Description]],[1]!db[kode],0)))</f>
        <v>#N/A</v>
      </c>
      <c r="P55" s="280" t="s">
        <v>218</v>
      </c>
      <c r="Q55" s="283">
        <v>62400</v>
      </c>
      <c r="R55" s="284">
        <v>0.1</v>
      </c>
      <c r="T55" s="283">
        <f>Table1[[#This Row],[h_hargasetelahdiskon]]</f>
        <v>673920</v>
      </c>
      <c r="W55" s="287">
        <f ca="1">IF(Table1[[#This Row],[Item Description]]="","",IF(Table1[[#This Row],[//]]="",INDIRECT(ADDRESS(ROW()-1,COLUMN())),Table1[[#This Row],[//]]))</f>
        <v>53</v>
      </c>
      <c r="X55" s="287">
        <f ca="1">IF(Table1[[#This Row],[h_id]]="","",COUNTIF(Table1[h_id],Table1[[#This Row],[h_id]]))</f>
        <v>3</v>
      </c>
      <c r="Y55" s="283">
        <f>IF(Table1[Item Description]="","",Table1[[#This Row],[Qty]]*Table1[[#This Row],[Unit Price]])</f>
        <v>748800</v>
      </c>
      <c r="Z55" s="283">
        <f>IF(Table1[[#This Row],[h_hargasebelumdiskon]]="","",IF(Table1[[#This Row],[Disc 1]]="",0,Table1[[#This Row],[h_hargasebelumdiskon]]*Table1[[#This Row],[Disc 1]]))</f>
        <v>74880</v>
      </c>
      <c r="AA55" s="283">
        <f>IF(Table1[[#This Row],[h_hargasebelumdiskon]]="","",IF(Table1[[#This Row],[Disc 2]]="",0,(Table1[[#This Row],[h_hargasebelumdiskon]]-Table1[[#This Row],[h_disc 1]])*Table1[[#This Row],[Disc 2]]))</f>
        <v>0</v>
      </c>
      <c r="AB55" s="283">
        <f>IF(Table1[Item Description]="","",Table1[[#This Row],[h_disc 1]]+Table1[[#This Row],[h_disc 2]])</f>
        <v>74880</v>
      </c>
      <c r="AC55" s="283">
        <f>IF(Table1[Item Description]="","",Table1[[#This Row],[h_hargasebelumdiskon]]-Table1[[#This Row],[h_diskon]])</f>
        <v>673920</v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>PENCIL CASE KENKO PC-0719LSN62400</v>
      </c>
    </row>
    <row r="56" spans="1:32" x14ac:dyDescent="0.25">
      <c r="A56" s="287" t="str">
        <f ca="1">IF(Table1[[#This Row],[No. Invoice :]]="","",ROW())</f>
        <v/>
      </c>
      <c r="B56" s="287" t="str">
        <f ca="1">IF(Table1[Column3]="","",B$1+COUNT(INDIRECT("B$2:B"&amp;ROW()-1)))</f>
        <v/>
      </c>
      <c r="C56" s="281" t="str">
        <f>IF(Table1[[#This Row],[Column2]]="","",Table1[[#This Row],[Column2]]+C$1-1)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Row],[Column3]])," ",Table1[[#This Row],[Column4]])</f>
        <v xml:space="preserve"> </v>
      </c>
      <c r="J56" s="287" t="str">
        <f>IF(Table1[[#This Row],[Column5]]="","",INDEX(Table2[e],IF(Table1[[#This Row],[Column5]]="","",MATCH(Table1[[#This Row],[Column5]],Table2[a],0)),))</f>
        <v/>
      </c>
      <c r="O56" s="287" t="str">
        <f>IF(Table1[[#This Row],[h_Item Description]]="","",INDEX([1]!db[NB PAJAK],MATCH(Table1[[#This Row],[h_Item Description]],[1]!db[kode],0)))</f>
        <v/>
      </c>
      <c r="Q56" s="283"/>
      <c r="R56" s="284"/>
      <c r="T56" s="283" t="str">
        <f>Table1[[#This Row],[h_hargasetelahdiskon]]</f>
        <v/>
      </c>
      <c r="W56" s="287" t="str">
        <f ca="1">IF(Table1[[#This Row],[Item Description]]="","",IF(Table1[[#This Row],[//]]="",INDIRECT(ADDRESS(ROW()-1,COLUMN())),Table1[[#This Row],[//]]))</f>
        <v/>
      </c>
      <c r="X56" s="287" t="str">
        <f ca="1">IF(Table1[[#This Row],[h_id]]="","",COUNTIF(Table1[h_id],Table1[[#This Row],[h_id]]))</f>
        <v/>
      </c>
      <c r="Y56" s="283" t="str">
        <f>IF(Table1[Item Description]="","",Table1[[#This Row],[Qty]]*Table1[[#This Row],[Unit Price]])</f>
        <v/>
      </c>
      <c r="Z56" s="283" t="str">
        <f>IF(Table1[[#This Row],[h_hargasebelumdiskon]]="","",IF(Table1[[#This Row],[Disc 1]]="",0,Table1[[#This Row],[h_hargasebelumdiskon]]*Table1[[#This Row],[Disc 1]]))</f>
        <v/>
      </c>
      <c r="AA56" s="283" t="str">
        <f>IF(Table1[[#This Row],[h_hargasebelumdiskon]]="","",IF(Table1[[#This Row],[Disc 2]]="",0,(Table1[[#This Row],[h_hargasebelumdiskon]]-Table1[[#This Row],[h_disc 1]])*Table1[[#This Row],[Disc 2]]))</f>
        <v/>
      </c>
      <c r="AB56" s="283" t="str">
        <f>IF(Table1[Item Description]="","",Table1[[#This Row],[h_disc 1]]+Table1[[#This Row],[h_disc 2]])</f>
        <v/>
      </c>
      <c r="AC56" s="283" t="str">
        <f>IF(Table1[Item Description]="","",Table1[[#This Row],[h_hargasebelumdiskon]]-Table1[[#This Row],[h_diskon]])</f>
        <v/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/>
      </c>
    </row>
    <row r="57" spans="1:32" ht="16.5" x14ac:dyDescent="0.25">
      <c r="A57" s="287">
        <f ca="1">IF(Table1[[#This Row],[No. Invoice :]]="","",ROW())</f>
        <v>57</v>
      </c>
      <c r="B57" s="287">
        <f ca="1">IF(Table1[Column3]="","",B$1+COUNT(INDIRECT("B$2:B"&amp;ROW()-1)))</f>
        <v>23090016</v>
      </c>
      <c r="C57" s="281">
        <f>IF(Table1[[#This Row],[Column2]]="","",Table1[[#This Row],[Column2]]+C$1-1)</f>
        <v>45187</v>
      </c>
      <c r="D57" s="292">
        <v>18</v>
      </c>
      <c r="E57" s="280" t="s">
        <v>143</v>
      </c>
      <c r="F57" s="282" t="s">
        <v>224</v>
      </c>
      <c r="G57" s="280" t="s">
        <v>90</v>
      </c>
      <c r="H57" s="287" t="str">
        <f ca="1">IF(Table1[[#This Row],[h_No. Invoice :]]="","",CONCATENATE("AM"," ",Table1[[#This Row],[h_No. Invoice :]]))</f>
        <v>AM 23090016</v>
      </c>
      <c r="I57" s="288" t="str">
        <f>CONCATENATE(UPPER(Table1[[#This Row],[Column3]])," ",Table1[[#This Row],[Column4]])</f>
        <v>G 3731</v>
      </c>
      <c r="J57" s="287" t="str">
        <f>IF(Table1[[#This Row],[Column5]]="","",INDEX(Table2[e],IF(Table1[[#This Row],[Column5]]="","",MATCH(Table1[[#This Row],[Column5]],Table2[a],0)),))</f>
        <v>LILY JULIAWATI (REJO AGUNG) JOMBANG</v>
      </c>
      <c r="K57" s="280">
        <v>96</v>
      </c>
      <c r="L57" s="280" t="s">
        <v>132</v>
      </c>
      <c r="M57" s="280">
        <v>2</v>
      </c>
      <c r="N57" s="280" t="s">
        <v>229</v>
      </c>
      <c r="O57" s="287" t="str">
        <f>IF(Table1[[#This Row],[h_Item Description]]="","",INDEX([1]!db[NB PAJAK],MATCH(Table1[[#This Row],[h_Item Description]],[1]!db[kode],0)))</f>
        <v>PUSH PIN JOYKO PP-30 WARNA</v>
      </c>
      <c r="P57" s="290" t="s">
        <v>235</v>
      </c>
      <c r="Q57" s="283">
        <v>31200</v>
      </c>
      <c r="R57" s="284">
        <v>0.125</v>
      </c>
      <c r="T57" s="283">
        <f>Table1[[#This Row],[h_hargasetelahdiskon]]</f>
        <v>2620800</v>
      </c>
      <c r="U57" s="283" t="s">
        <v>234</v>
      </c>
      <c r="W57" s="287">
        <f ca="1">IF(Table1[[#This Row],[Item Description]]="","",IF(Table1[[#This Row],[//]]="",INDIRECT(ADDRESS(ROW()-1,COLUMN())),Table1[[#This Row],[//]]))</f>
        <v>57</v>
      </c>
      <c r="X57" s="287">
        <f ca="1">IF(Table1[[#This Row],[h_id]]="","",COUNTIF(Table1[h_id],Table1[[#This Row],[h_id]]))</f>
        <v>6</v>
      </c>
      <c r="Y57" s="283">
        <f>IF(Table1[Item Description]="","",Table1[[#This Row],[Qty]]*Table1[[#This Row],[Unit Price]])</f>
        <v>2995200</v>
      </c>
      <c r="Z57" s="283">
        <f>IF(Table1[[#This Row],[h_hargasebelumdiskon]]="","",IF(Table1[[#This Row],[Disc 1]]="",0,Table1[[#This Row],[h_hargasebelumdiskon]]*Table1[[#This Row],[Disc 1]]))</f>
        <v>374400</v>
      </c>
      <c r="AA57" s="283">
        <f>IF(Table1[[#This Row],[h_hargasebelumdiskon]]="","",IF(Table1[[#This Row],[Disc 2]]="",0,(Table1[[#This Row],[h_hargasebelumdiskon]]-Table1[[#This Row],[h_disc 1]])*Table1[[#This Row],[Disc 2]]))</f>
        <v>0</v>
      </c>
      <c r="AB57" s="283">
        <f>IF(Table1[Item Description]="","",Table1[[#This Row],[h_disc 1]]+Table1[[#This Row],[h_disc 2]])</f>
        <v>374400</v>
      </c>
      <c r="AC57" s="283">
        <f>IF(Table1[Item Description]="","",Table1[[#This Row],[h_hargasebelumdiskon]]-Table1[[#This Row],[h_diskon]])</f>
        <v>2620800</v>
      </c>
      <c r="AD57" s="283">
        <f ca="1">IF(Table1[//]="","",SUMIF(Table1[h_id],Table1[h_id],Table1[h_hargasetelahdiskon]))</f>
        <v>18683700</v>
      </c>
      <c r="AE57" s="283"/>
      <c r="AF57" s="283" t="str">
        <f>Table1[[#This Row],[Item Description]]&amp;Table1[[#This Row],[Unit]]&amp;Table1[[#This Row],[Unit Price]]</f>
        <v>PUSH PIN JOYKO PP-30LSN31200</v>
      </c>
    </row>
    <row r="58" spans="1:32" x14ac:dyDescent="0.25">
      <c r="A58" s="287" t="str">
        <f ca="1">IF(Table1[[#This Row],[No. Invoice :]]="","",ROW())</f>
        <v/>
      </c>
      <c r="B58" s="287" t="str">
        <f ca="1">IF(Table1[Column3]="","",B$1+COUNT(INDIRECT("B$2:B"&amp;ROW()-1)))</f>
        <v/>
      </c>
      <c r="C58" s="281" t="str">
        <f>IF(Table1[[#This Row],[Column2]]="","",Table1[[#This Row],[Column2]]+C$1-1)</f>
        <v/>
      </c>
      <c r="H58" s="287" t="str">
        <f ca="1">IF(Table1[[#This Row],[h_No. Invoice :]]="","",CONCATENATE("AM"," ",Table1[[#This Row],[h_No. Invoice :]]))</f>
        <v/>
      </c>
      <c r="I58" s="288" t="str">
        <f>CONCATENATE(UPPER(Table1[[#This Row],[Column3]])," ",Table1[[#This Row],[Column4]])</f>
        <v xml:space="preserve"> </v>
      </c>
      <c r="J58" s="287" t="str">
        <f>IF(Table1[[#This Row],[Column5]]="","",INDEX(Table2[e],IF(Table1[[#This Row],[Column5]]="","",MATCH(Table1[[#This Row],[Column5]],Table2[a],0)),))</f>
        <v/>
      </c>
      <c r="K58" s="280">
        <v>144</v>
      </c>
      <c r="L58" s="280" t="s">
        <v>132</v>
      </c>
      <c r="M58" s="280">
        <v>1</v>
      </c>
      <c r="N58" s="280" t="s">
        <v>225</v>
      </c>
      <c r="O58" s="287" t="str">
        <f>IF(Table1[[#This Row],[h_Item Description]]="","",INDEX([1]!db[NB PAJAK],MATCH(Table1[[#This Row],[h_Item Description]],[1]!db[kode],0)))</f>
        <v>MECHANICAL PENCIL 0.5 MM JOYKO MP-19</v>
      </c>
      <c r="P58" s="280" t="s">
        <v>230</v>
      </c>
      <c r="Q58" s="283">
        <v>40800</v>
      </c>
      <c r="R58" s="284">
        <v>0.125</v>
      </c>
      <c r="T58" s="283">
        <f>Table1[[#This Row],[h_hargasetelahdiskon]]</f>
        <v>5140800</v>
      </c>
      <c r="W58" s="287">
        <f ca="1">IF(Table1[[#This Row],[Item Description]]="","",IF(Table1[[#This Row],[//]]="",INDIRECT(ADDRESS(ROW()-1,COLUMN())),Table1[[#This Row],[//]]))</f>
        <v>57</v>
      </c>
      <c r="X58" s="287">
        <f ca="1">IF(Table1[[#This Row],[h_id]]="","",COUNTIF(Table1[h_id],Table1[[#This Row],[h_id]]))</f>
        <v>6</v>
      </c>
      <c r="Y58" s="283">
        <f>IF(Table1[Item Description]="","",Table1[[#This Row],[Qty]]*Table1[[#This Row],[Unit Price]])</f>
        <v>5875200</v>
      </c>
      <c r="Z58" s="283">
        <f>IF(Table1[[#This Row],[h_hargasebelumdiskon]]="","",IF(Table1[[#This Row],[Disc 1]]="",0,Table1[[#This Row],[h_hargasebelumdiskon]]*Table1[[#This Row],[Disc 1]]))</f>
        <v>734400</v>
      </c>
      <c r="AA58" s="283">
        <f>IF(Table1[[#This Row],[h_hargasebelumdiskon]]="","",IF(Table1[[#This Row],[Disc 2]]="",0,(Table1[[#This Row],[h_hargasebelumdiskon]]-Table1[[#This Row],[h_disc 1]])*Table1[[#This Row],[Disc 2]]))</f>
        <v>0</v>
      </c>
      <c r="AB58" s="283">
        <f>IF(Table1[Item Description]="","",Table1[[#This Row],[h_disc 1]]+Table1[[#This Row],[h_disc 2]])</f>
        <v>734400</v>
      </c>
      <c r="AC58" s="283">
        <f>IF(Table1[Item Description]="","",Table1[[#This Row],[h_hargasebelumdiskon]]-Table1[[#This Row],[h_diskon]])</f>
        <v>5140800</v>
      </c>
      <c r="AD58" s="283" t="str">
        <f ca="1">IF(Table1[//]="","",SUMIF(Table1[h_id],Table1[h_id],Table1[h_hargasetelahdiskon]))</f>
        <v/>
      </c>
      <c r="AE58" s="283"/>
      <c r="AF58" s="283" t="str">
        <f>Table1[[#This Row],[Item Description]]&amp;Table1[[#This Row],[Unit]]&amp;Table1[[#This Row],[Unit Price]]</f>
        <v>MECHANICAL PENCIL 0.5 MM JOYKO MP-19LSN40800</v>
      </c>
    </row>
    <row r="59" spans="1:32" x14ac:dyDescent="0.25">
      <c r="A59" s="287" t="str">
        <f ca="1">IF(Table1[[#This Row],[No. Invoice :]]="","",ROW())</f>
        <v/>
      </c>
      <c r="B59" s="287" t="str">
        <f ca="1">IF(Table1[Column3]="","",B$1+COUNT(INDIRECT("B$2:B"&amp;ROW()-1)))</f>
        <v/>
      </c>
      <c r="C59" s="281" t="str">
        <f>IF(Table1[[#This Row],[Column2]]="","",Table1[[#This Row],[Column2]]+C$1-1)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Row],[Column3]])," ",Table1[[#This Row],[Column4]])</f>
        <v xml:space="preserve"> </v>
      </c>
      <c r="J59" s="287" t="str">
        <f>IF(Table1[[#This Row],[Column5]]="","",INDEX(Table2[e],IF(Table1[[#This Row],[Column5]]="","",MATCH(Table1[[#This Row],[Column5]],Table2[a],0)),))</f>
        <v/>
      </c>
      <c r="K59" s="280">
        <v>48</v>
      </c>
      <c r="L59" s="280" t="s">
        <v>150</v>
      </c>
      <c r="M59" s="280">
        <v>2</v>
      </c>
      <c r="N59" s="280" t="s">
        <v>226</v>
      </c>
      <c r="O59" s="287" t="str">
        <f>IF(Table1[[#This Row],[h_Item Description]]="","",INDEX([1]!db[NB PAJAK],MATCH(Table1[[#This Row],[h_Item Description]],[1]!db[kode],0)))</f>
        <v>CRAYON / OIL PASTEL JOYKO OP-48S PP CASE SEA WORLD</v>
      </c>
      <c r="P59" s="280" t="s">
        <v>231</v>
      </c>
      <c r="Q59" s="283">
        <v>58900</v>
      </c>
      <c r="R59" s="284">
        <v>0.125</v>
      </c>
      <c r="T59" s="283">
        <f>Table1[[#This Row],[h_hargasetelahdiskon]]</f>
        <v>2473800</v>
      </c>
      <c r="W59" s="287">
        <f ca="1">IF(Table1[[#This Row],[Item Description]]="","",IF(Table1[[#This Row],[//]]="",INDIRECT(ADDRESS(ROW()-1,COLUMN())),Table1[[#This Row],[//]]))</f>
        <v>57</v>
      </c>
      <c r="X59" s="287">
        <f ca="1">IF(Table1[[#This Row],[h_id]]="","",COUNTIF(Table1[h_id],Table1[[#This Row],[h_id]]))</f>
        <v>6</v>
      </c>
      <c r="Y59" s="283">
        <f>IF(Table1[Item Description]="","",Table1[[#This Row],[Qty]]*Table1[[#This Row],[Unit Price]])</f>
        <v>2827200</v>
      </c>
      <c r="Z59" s="283">
        <f>IF(Table1[[#This Row],[h_hargasebelumdiskon]]="","",IF(Table1[[#This Row],[Disc 1]]="",0,Table1[[#This Row],[h_hargasebelumdiskon]]*Table1[[#This Row],[Disc 1]]))</f>
        <v>353400</v>
      </c>
      <c r="AA59" s="283">
        <f>IF(Table1[[#This Row],[h_hargasebelumdiskon]]="","",IF(Table1[[#This Row],[Disc 2]]="",0,(Table1[[#This Row],[h_hargasebelumdiskon]]-Table1[[#This Row],[h_disc 1]])*Table1[[#This Row],[Disc 2]]))</f>
        <v>0</v>
      </c>
      <c r="AB59" s="283">
        <f>IF(Table1[Item Description]="","",Table1[[#This Row],[h_disc 1]]+Table1[[#This Row],[h_disc 2]])</f>
        <v>353400</v>
      </c>
      <c r="AC59" s="283">
        <f>IF(Table1[Item Description]="","",Table1[[#This Row],[h_hargasebelumdiskon]]-Table1[[#This Row],[h_diskon]])</f>
        <v>2473800</v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>CRAYON / OIL PASTEL JOYKO OP-48S PP CASE SEA WORLDPCS58900</v>
      </c>
    </row>
    <row r="60" spans="1:32" x14ac:dyDescent="0.25">
      <c r="A60" s="287" t="str">
        <f ca="1">IF(Table1[[#This Row],[No. Invoice :]]="","",ROW())</f>
        <v/>
      </c>
      <c r="B60" s="287" t="str">
        <f ca="1">IF(Table1[Column3]="","",B$1+COUNT(INDIRECT("B$2:B"&amp;ROW()-1)))</f>
        <v/>
      </c>
      <c r="C60" s="281" t="str">
        <f>IF(Table1[[#This Row],[Column2]]="","",Table1[[#This Row],[Column2]]+C$1-1)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Row],[Column3]])," ",Table1[[#This Row],[Column4]])</f>
        <v xml:space="preserve"> </v>
      </c>
      <c r="J60" s="287" t="str">
        <f>IF(Table1[[#This Row],[Column5]]="","",INDEX(Table2[e],IF(Table1[[#This Row],[Column5]]="","",MATCH(Table1[[#This Row],[Column5]],Table2[a],0)),))</f>
        <v/>
      </c>
      <c r="K60" s="280">
        <v>48</v>
      </c>
      <c r="L60" s="280" t="s">
        <v>150</v>
      </c>
      <c r="M60" s="280">
        <v>2</v>
      </c>
      <c r="N60" s="280" t="s">
        <v>227</v>
      </c>
      <c r="O60" s="287" t="str">
        <f>IF(Table1[[#This Row],[h_Item Description]]="","",INDEX([1]!db[NB PAJAK],MATCH(Table1[[#This Row],[h_Item Description]],[1]!db[kode],0)))</f>
        <v>CRAYON / OIL PASTEL JOYKO OP-55S PP CASE SEA WORLD</v>
      </c>
      <c r="P60" s="280" t="s">
        <v>232</v>
      </c>
      <c r="Q60" s="283">
        <v>66900</v>
      </c>
      <c r="R60" s="284">
        <v>0.125</v>
      </c>
      <c r="T60" s="283">
        <f>Table1[[#This Row],[h_hargasetelahdiskon]]</f>
        <v>2809800</v>
      </c>
      <c r="W60" s="287">
        <f ca="1">IF(Table1[[#This Row],[Item Description]]="","",IF(Table1[[#This Row],[//]]="",INDIRECT(ADDRESS(ROW()-1,COLUMN())),Table1[[#This Row],[//]]))</f>
        <v>57</v>
      </c>
      <c r="X60" s="287">
        <f ca="1">IF(Table1[[#This Row],[h_id]]="","",COUNTIF(Table1[h_id],Table1[[#This Row],[h_id]]))</f>
        <v>6</v>
      </c>
      <c r="Y60" s="283">
        <f>IF(Table1[Item Description]="","",Table1[[#This Row],[Qty]]*Table1[[#This Row],[Unit Price]])</f>
        <v>3211200</v>
      </c>
      <c r="Z60" s="283">
        <f>IF(Table1[[#This Row],[h_hargasebelumdiskon]]="","",IF(Table1[[#This Row],[Disc 1]]="",0,Table1[[#This Row],[h_hargasebelumdiskon]]*Table1[[#This Row],[Disc 1]]))</f>
        <v>401400</v>
      </c>
      <c r="AA60" s="283">
        <f>IF(Table1[[#This Row],[h_hargasebelumdiskon]]="","",IF(Table1[[#This Row],[Disc 2]]="",0,(Table1[[#This Row],[h_hargasebelumdiskon]]-Table1[[#This Row],[h_disc 1]])*Table1[[#This Row],[Disc 2]]))</f>
        <v>0</v>
      </c>
      <c r="AB60" s="283">
        <f>IF(Table1[Item Description]="","",Table1[[#This Row],[h_disc 1]]+Table1[[#This Row],[h_disc 2]])</f>
        <v>401400</v>
      </c>
      <c r="AC60" s="283">
        <f>IF(Table1[Item Description]="","",Table1[[#This Row],[h_hargasebelumdiskon]]-Table1[[#This Row],[h_diskon]])</f>
        <v>2809800</v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>CRAYON / OIL PASTEL JOYKO OP-55S PP CASE SEA WORLDPCS66900</v>
      </c>
    </row>
    <row r="61" spans="1:32" x14ac:dyDescent="0.25">
      <c r="A61" s="287" t="str">
        <f ca="1">IF(Table1[[#This Row],[No. Invoice :]]="","",ROW())</f>
        <v/>
      </c>
      <c r="B61" s="287" t="str">
        <f ca="1">IF(Table1[Column3]="","",B$1+COUNT(INDIRECT("B$2:B"&amp;ROW()-1)))</f>
        <v/>
      </c>
      <c r="C61" s="281" t="str">
        <f>IF(Table1[[#This Row],[Column2]]="","",Table1[[#This Row],[Column2]]+C$1-1)</f>
        <v/>
      </c>
      <c r="H61" s="287" t="str">
        <f ca="1">IF(Table1[[#This Row],[h_No. Invoice :]]="","",CONCATENATE("AM"," ",Table1[[#This Row],[h_No. Invoice :]]))</f>
        <v/>
      </c>
      <c r="I61" s="288" t="str">
        <f>CONCATENATE(UPPER(Table1[[#This Row],[Column3]])," ",Table1[[#This Row],[Column4]])</f>
        <v xml:space="preserve"> </v>
      </c>
      <c r="J61" s="287" t="str">
        <f>IF(Table1[[#This Row],[Column5]]="","",INDEX(Table2[e],IF(Table1[[#This Row],[Column5]]="","",MATCH(Table1[[#This Row],[Column5]],Table2[a],0)),))</f>
        <v/>
      </c>
      <c r="K61" s="280">
        <v>144</v>
      </c>
      <c r="L61" s="280" t="s">
        <v>150</v>
      </c>
      <c r="M61" s="280">
        <v>2</v>
      </c>
      <c r="N61" s="280" t="s">
        <v>228</v>
      </c>
      <c r="O61" s="287" t="str">
        <f>IF(Table1[[#This Row],[h_Item Description]]="","",INDEX([1]!db[NB PAJAK],MATCH(Table1[[#This Row],[h_Item Description]],[1]!db[kode],0)))</f>
        <v>PENSIL WARNA JOYKO CP-24PB (PANJANG)</v>
      </c>
      <c r="P61" s="280" t="s">
        <v>233</v>
      </c>
      <c r="Q61" s="283">
        <v>21200</v>
      </c>
      <c r="R61" s="284">
        <v>0.125</v>
      </c>
      <c r="T61" s="283">
        <f>Table1[[#This Row],[h_hargasetelahdiskon]]</f>
        <v>2671200</v>
      </c>
      <c r="W61" s="287">
        <f ca="1">IF(Table1[[#This Row],[Item Description]]="","",IF(Table1[[#This Row],[//]]="",INDIRECT(ADDRESS(ROW()-1,COLUMN())),Table1[[#This Row],[//]]))</f>
        <v>57</v>
      </c>
      <c r="X61" s="287">
        <f ca="1">IF(Table1[[#This Row],[h_id]]="","",COUNTIF(Table1[h_id],Table1[[#This Row],[h_id]]))</f>
        <v>6</v>
      </c>
      <c r="Y61" s="283">
        <f>IF(Table1[Item Description]="","",Table1[[#This Row],[Qty]]*Table1[[#This Row],[Unit Price]])</f>
        <v>3052800</v>
      </c>
      <c r="Z61" s="283">
        <f>IF(Table1[[#This Row],[h_hargasebelumdiskon]]="","",IF(Table1[[#This Row],[Disc 1]]="",0,Table1[[#This Row],[h_hargasebelumdiskon]]*Table1[[#This Row],[Disc 1]]))</f>
        <v>381600</v>
      </c>
      <c r="AA61" s="283">
        <f>IF(Table1[[#This Row],[h_hargasebelumdiskon]]="","",IF(Table1[[#This Row],[Disc 2]]="",0,(Table1[[#This Row],[h_hargasebelumdiskon]]-Table1[[#This Row],[h_disc 1]])*Table1[[#This Row],[Disc 2]]))</f>
        <v>0</v>
      </c>
      <c r="AB61" s="283">
        <f>IF(Table1[Item Description]="","",Table1[[#This Row],[h_disc 1]]+Table1[[#This Row],[h_disc 2]])</f>
        <v>381600</v>
      </c>
      <c r="AC61" s="283">
        <f>IF(Table1[Item Description]="","",Table1[[#This Row],[h_hargasebelumdiskon]]-Table1[[#This Row],[h_diskon]])</f>
        <v>2671200</v>
      </c>
      <c r="AD61" s="283" t="str">
        <f ca="1">IF(Table1[//]="","",SUMIF(Table1[h_id],Table1[h_id],Table1[h_hargasetelahdiskon]))</f>
        <v/>
      </c>
      <c r="AE61" s="283"/>
      <c r="AF61" s="283" t="str">
        <f>Table1[[#This Row],[Item Description]]&amp;Table1[[#This Row],[Unit]]&amp;Table1[[#This Row],[Unit Price]]</f>
        <v>PENSIL WARNA JOYKO CP-24PB (PANJANG)PCS21200</v>
      </c>
    </row>
    <row r="62" spans="1:32" x14ac:dyDescent="0.25">
      <c r="A62" s="287" t="str">
        <f ca="1">IF(Table1[[#This Row],[No. Invoice :]]="","",ROW())</f>
        <v/>
      </c>
      <c r="B62" s="287" t="str">
        <f ca="1">IF(Table1[Column3]="","",B$1+COUNT(INDIRECT("B$2:B"&amp;ROW()-1)))</f>
        <v/>
      </c>
      <c r="C62" s="281" t="str">
        <f>IF(Table1[[#This Row],[Column2]]="","",Table1[[#This Row],[Column2]]+C$1-1)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Row],[Column3]])," ",Table1[[#This Row],[Column4]])</f>
        <v xml:space="preserve"> </v>
      </c>
      <c r="J62" s="287" t="str">
        <f>IF(Table1[[#This Row],[Column5]]="","",INDEX(Table2[e],IF(Table1[[#This Row],[Column5]]="","",MATCH(Table1[[#This Row],[Column5]],Table2[a],0)),))</f>
        <v/>
      </c>
      <c r="K62" s="280">
        <v>72</v>
      </c>
      <c r="L62" s="280" t="s">
        <v>132</v>
      </c>
      <c r="M62" s="280">
        <v>1</v>
      </c>
      <c r="N62" s="280" t="s">
        <v>197</v>
      </c>
      <c r="O62" s="287" t="str">
        <f>IF(Table1[[#This Row],[h_Item Description]]="","",INDEX([1]!db[NB PAJAK],MATCH(Table1[[#This Row],[h_Item Description]],[1]!db[kode],0)))</f>
        <v>CORRECTION FLUID KENKO KE-108</v>
      </c>
      <c r="P62" s="280" t="s">
        <v>198</v>
      </c>
      <c r="Q62" s="283">
        <v>47100</v>
      </c>
      <c r="R62" s="284">
        <v>0.125</v>
      </c>
      <c r="T62" s="283">
        <f>Table1[[#This Row],[h_hargasetelahdiskon]]</f>
        <v>2967300</v>
      </c>
      <c r="W62" s="287">
        <f ca="1">IF(Table1[[#This Row],[Item Description]]="","",IF(Table1[[#This Row],[//]]="",INDIRECT(ADDRESS(ROW()-1,COLUMN())),Table1[[#This Row],[//]]))</f>
        <v>57</v>
      </c>
      <c r="X62" s="287">
        <f ca="1">IF(Table1[[#This Row],[h_id]]="","",COUNTIF(Table1[h_id],Table1[[#This Row],[h_id]]))</f>
        <v>6</v>
      </c>
      <c r="Y62" s="283">
        <f>IF(Table1[Item Description]="","",Table1[[#This Row],[Qty]]*Table1[[#This Row],[Unit Price]])</f>
        <v>3391200</v>
      </c>
      <c r="Z62" s="283">
        <f>IF(Table1[[#This Row],[h_hargasebelumdiskon]]="","",IF(Table1[[#This Row],[Disc 1]]="",0,Table1[[#This Row],[h_hargasebelumdiskon]]*Table1[[#This Row],[Disc 1]]))</f>
        <v>423900</v>
      </c>
      <c r="AA62" s="283">
        <f>IF(Table1[[#This Row],[h_hargasebelumdiskon]]="","",IF(Table1[[#This Row],[Disc 2]]="",0,(Table1[[#This Row],[h_hargasebelumdiskon]]-Table1[[#This Row],[h_disc 1]])*Table1[[#This Row],[Disc 2]]))</f>
        <v>0</v>
      </c>
      <c r="AB62" s="283">
        <f>IF(Table1[Item Description]="","",Table1[[#This Row],[h_disc 1]]+Table1[[#This Row],[h_disc 2]])</f>
        <v>423900</v>
      </c>
      <c r="AC62" s="283">
        <f>IF(Table1[Item Description]="","",Table1[[#This Row],[h_hargasebelumdiskon]]-Table1[[#This Row],[h_diskon]])</f>
        <v>2967300</v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>CORRECTION FLUID KENKO KE-108LSN47100</v>
      </c>
    </row>
    <row r="63" spans="1:32" x14ac:dyDescent="0.25">
      <c r="A63" s="287" t="str">
        <f ca="1">IF(Table1[[#This Row],[No. Invoice :]]="","",ROW())</f>
        <v/>
      </c>
      <c r="B63" s="287" t="str">
        <f ca="1">IF(Table1[Column3]="","",B$1+COUNT(INDIRECT("B$2:B"&amp;ROW()-1)))</f>
        <v/>
      </c>
      <c r="C63" s="281" t="str">
        <f>IF(Table1[[#This Row],[Column2]]="","",Table1[[#This Row],[Column2]]+C$1-1)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Row],[Column3]])," ",Table1[[#This Row],[Column4]])</f>
        <v xml:space="preserve"> </v>
      </c>
      <c r="J63" s="287" t="str">
        <f>IF(Table1[[#This Row],[Column5]]="","",INDEX(Table2[e],IF(Table1[[#This Row],[Column5]]="","",MATCH(Table1[[#This Row],[Column5]],Table2[a],0)),))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>
        <f ca="1">IF(Table1[[#This Row],[No. Invoice :]]="","",ROW())</f>
        <v>64</v>
      </c>
      <c r="B64" s="287">
        <f ca="1">IF(Table1[Column3]="","",B$1+COUNT(INDIRECT("B$2:B"&amp;ROW()-1)))</f>
        <v>23090017</v>
      </c>
      <c r="C64" s="281">
        <f>IF(Table1[[#This Row],[Column2]]="","",Table1[[#This Row],[Column2]]+C$1-1)</f>
        <v>45187</v>
      </c>
      <c r="D64" s="292">
        <v>18</v>
      </c>
      <c r="E64" s="280" t="s">
        <v>143</v>
      </c>
      <c r="F64" s="282" t="s">
        <v>236</v>
      </c>
      <c r="G64" s="280" t="s">
        <v>88</v>
      </c>
      <c r="H64" s="287" t="str">
        <f ca="1">IF(Table1[[#This Row],[h_No. Invoice :]]="","",CONCATENATE("AM"," ",Table1[[#This Row],[h_No. Invoice :]]))</f>
        <v>AM 23090017</v>
      </c>
      <c r="I64" s="288" t="str">
        <f>CONCATENATE(UPPER(Table1[[#This Row],[Column3]])," ",Table1[[#This Row],[Column4]])</f>
        <v>G 3733</v>
      </c>
      <c r="J64" s="287" t="str">
        <f>IF(Table1[[#This Row],[Column5]]="","",INDEX(Table2[e],IF(Table1[[#This Row],[Column5]]="","",MATCH(Table1[[#This Row],[Column5]],Table2[a],0)),))</f>
        <v>CV  WISUDA PURWOKERTO</v>
      </c>
      <c r="K64" s="280">
        <v>20</v>
      </c>
      <c r="L64" s="280" t="s">
        <v>237</v>
      </c>
      <c r="M64" s="280">
        <v>1</v>
      </c>
      <c r="N64" s="280" t="s">
        <v>238</v>
      </c>
      <c r="O64" s="287" t="str">
        <f>IF(Table1[[#This Row],[h_Item Description]]="","",INDEX([1]!db[NB PAJAK],MATCH(Table1[[#This Row],[h_Item Description]],[1]!db[kode],0)))</f>
        <v>BINDER CLIP JOYKO 155</v>
      </c>
      <c r="P64" s="280" t="s">
        <v>240</v>
      </c>
      <c r="Q64" s="283">
        <v>67800</v>
      </c>
      <c r="R64" s="284">
        <v>0.1</v>
      </c>
      <c r="T64" s="283">
        <f>Table1[[#This Row],[h_hargasetelahdiskon]]</f>
        <v>1220400</v>
      </c>
      <c r="U64" s="283" t="s">
        <v>234</v>
      </c>
      <c r="W64" s="287">
        <f ca="1">IF(Table1[[#This Row],[Item Description]]="","",IF(Table1[[#This Row],[//]]="",INDIRECT(ADDRESS(ROW()-1,COLUMN())),Table1[[#This Row],[//]]))</f>
        <v>64</v>
      </c>
      <c r="X64" s="287">
        <f ca="1">IF(Table1[[#This Row],[h_id]]="","",COUNTIF(Table1[h_id],Table1[[#This Row],[h_id]]))</f>
        <v>3</v>
      </c>
      <c r="Y64" s="283">
        <f>IF(Table1[Item Description]="","",Table1[[#This Row],[Qty]]*Table1[[#This Row],[Unit Price]])</f>
        <v>1356000</v>
      </c>
      <c r="Z64" s="283">
        <f>IF(Table1[[#This Row],[h_hargasebelumdiskon]]="","",IF(Table1[[#This Row],[Disc 1]]="",0,Table1[[#This Row],[h_hargasebelumdiskon]]*Table1[[#This Row],[Disc 1]]))</f>
        <v>135600</v>
      </c>
      <c r="AA64" s="283">
        <f>IF(Table1[[#This Row],[h_hargasebelumdiskon]]="","",IF(Table1[[#This Row],[Disc 2]]="",0,(Table1[[#This Row],[h_hargasebelumdiskon]]-Table1[[#This Row],[h_disc 1]])*Table1[[#This Row],[Disc 2]]))</f>
        <v>0</v>
      </c>
      <c r="AB64" s="283">
        <f>IF(Table1[Item Description]="","",Table1[[#This Row],[h_disc 1]]+Table1[[#This Row],[h_disc 2]])</f>
        <v>135600</v>
      </c>
      <c r="AC64" s="283">
        <f>IF(Table1[Item Description]="","",Table1[[#This Row],[h_hargasebelumdiskon]]-Table1[[#This Row],[h_diskon]])</f>
        <v>1220400</v>
      </c>
      <c r="AD64" s="283">
        <f ca="1">IF(Table1[//]="","",SUMIF(Table1[h_id],Table1[h_id],Table1[h_hargasetelahdiskon]))</f>
        <v>2130300</v>
      </c>
      <c r="AE64" s="283"/>
      <c r="AF64" s="283" t="str">
        <f>Table1[[#This Row],[Item Description]]&amp;Table1[[#This Row],[Unit]]&amp;Table1[[#This Row],[Unit Price]]</f>
        <v>BINDER CLIP JOYKO 155GRS67800</v>
      </c>
    </row>
    <row r="65" spans="1:32" x14ac:dyDescent="0.25">
      <c r="A65" s="287" t="str">
        <f ca="1">IF(Table1[[#This Row],[No. Invoice :]]="","",ROW())</f>
        <v/>
      </c>
      <c r="B65" s="287" t="str">
        <f ca="1">IF(Table1[Column3]="","",B$1+COUNT(INDIRECT("B$2:B"&amp;ROW()-1)))</f>
        <v/>
      </c>
      <c r="C65" s="281" t="str">
        <f>IF(Table1[[#This Row],[Column2]]="","",Table1[[#This Row],[Column2]]+C$1-1)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Row],[Column3]])," ",Table1[[#This Row],[Column4]])</f>
        <v xml:space="preserve"> </v>
      </c>
      <c r="J65" s="287" t="str">
        <f>IF(Table1[[#This Row],[Column5]]="","",INDEX(Table2[e],IF(Table1[[#This Row],[Column5]]="","",MATCH(Table1[[#This Row],[Column5]],Table2[a],0)),))</f>
        <v/>
      </c>
      <c r="K65" s="280">
        <v>12</v>
      </c>
      <c r="L65" s="280" t="s">
        <v>150</v>
      </c>
      <c r="N65" s="280" t="s">
        <v>239</v>
      </c>
      <c r="O65" s="287" t="str">
        <f>IF(Table1[[#This Row],[h_Item Description]]="","",INDEX([1]!db[NB PAJAK],MATCH(Table1[[#This Row],[h_Item Description]],[1]!db[kode],0)))</f>
        <v>PUNCH JOYKO 85B</v>
      </c>
      <c r="P65" s="280" t="s">
        <v>241</v>
      </c>
      <c r="Q65" s="283">
        <v>45500</v>
      </c>
      <c r="R65" s="284">
        <v>0.1</v>
      </c>
      <c r="T65" s="283">
        <f>Table1[[#This Row],[h_hargasetelahdiskon]]</f>
        <v>491400</v>
      </c>
      <c r="W65" s="287">
        <f ca="1">IF(Table1[[#This Row],[Item Description]]="","",IF(Table1[[#This Row],[//]]="",INDIRECT(ADDRESS(ROW()-1,COLUMN())),Table1[[#This Row],[//]]))</f>
        <v>64</v>
      </c>
      <c r="X65" s="287">
        <f ca="1">IF(Table1[[#This Row],[h_id]]="","",COUNTIF(Table1[h_id],Table1[[#This Row],[h_id]]))</f>
        <v>3</v>
      </c>
      <c r="Y65" s="283">
        <f>IF(Table1[Item Description]="","",Table1[[#This Row],[Qty]]*Table1[[#This Row],[Unit Price]])</f>
        <v>546000</v>
      </c>
      <c r="Z65" s="283">
        <f>IF(Table1[[#This Row],[h_hargasebelumdiskon]]="","",IF(Table1[[#This Row],[Disc 1]]="",0,Table1[[#This Row],[h_hargasebelumdiskon]]*Table1[[#This Row],[Disc 1]]))</f>
        <v>54600</v>
      </c>
      <c r="AA65" s="283">
        <f>IF(Table1[[#This Row],[h_hargasebelumdiskon]]="","",IF(Table1[[#This Row],[Disc 2]]="",0,(Table1[[#This Row],[h_hargasebelumdiskon]]-Table1[[#This Row],[h_disc 1]])*Table1[[#This Row],[Disc 2]]))</f>
        <v>0</v>
      </c>
      <c r="AB65" s="283">
        <f>IF(Table1[Item Description]="","",Table1[[#This Row],[h_disc 1]]+Table1[[#This Row],[h_disc 2]])</f>
        <v>54600</v>
      </c>
      <c r="AC65" s="283">
        <f>IF(Table1[Item Description]="","",Table1[[#This Row],[h_hargasebelumdiskon]]-Table1[[#This Row],[h_diskon]])</f>
        <v>491400</v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>PUNCH JOYKO 85BPCS45500</v>
      </c>
    </row>
    <row r="66" spans="1:32" x14ac:dyDescent="0.25">
      <c r="A66" s="287" t="str">
        <f ca="1">IF(Table1[[#This Row],[No. Invoice :]]="","",ROW())</f>
        <v/>
      </c>
      <c r="B66" s="287" t="str">
        <f ca="1">IF(Table1[Column3]="","",B$1+COUNT(INDIRECT("B$2:B"&amp;ROW()-1)))</f>
        <v/>
      </c>
      <c r="C66" s="281" t="str">
        <f>IF(Table1[[#This Row],[Column2]]="","",Table1[[#This Row],[Column2]]+C$1-1)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Row],[Column3]])," ",Table1[[#This Row],[Column4]])</f>
        <v xml:space="preserve"> </v>
      </c>
      <c r="J66" s="287" t="str">
        <f>IF(Table1[[#This Row],[Column5]]="","",INDEX(Table2[e],IF(Table1[[#This Row],[Column5]]="","",MATCH(Table1[[#This Row],[Column5]],Table2[a],0)),))</f>
        <v/>
      </c>
      <c r="K66" s="280">
        <v>5</v>
      </c>
      <c r="L66" s="280" t="s">
        <v>132</v>
      </c>
      <c r="N66" s="280" t="s">
        <v>133</v>
      </c>
      <c r="O66" s="287" t="str">
        <f>IF(Table1[[#This Row],[h_Item Description]]="","",INDEX([1]!db[NB PAJAK],MATCH(Table1[[#This Row],[h_Item Description]],[1]!db[kode],0)))</f>
        <v>STAPLER KENKO HD-10</v>
      </c>
      <c r="P66" s="280" t="s">
        <v>134</v>
      </c>
      <c r="Q66" s="283">
        <v>93000</v>
      </c>
      <c r="R66" s="284">
        <v>0.1</v>
      </c>
      <c r="T66" s="283">
        <f>Table1[[#This Row],[h_hargasetelahdiskon]]</f>
        <v>418500</v>
      </c>
      <c r="W66" s="287">
        <f ca="1">IF(Table1[[#This Row],[Item Description]]="","",IF(Table1[[#This Row],[//]]="",INDIRECT(ADDRESS(ROW()-1,COLUMN())),Table1[[#This Row],[//]]))</f>
        <v>64</v>
      </c>
      <c r="X66" s="287">
        <f ca="1">IF(Table1[[#This Row],[h_id]]="","",COUNTIF(Table1[h_id],Table1[[#This Row],[h_id]]))</f>
        <v>3</v>
      </c>
      <c r="Y66" s="283">
        <f>IF(Table1[Item Description]="","",Table1[[#This Row],[Qty]]*Table1[[#This Row],[Unit Price]])</f>
        <v>465000</v>
      </c>
      <c r="Z66" s="283">
        <f>IF(Table1[[#This Row],[h_hargasebelumdiskon]]="","",IF(Table1[[#This Row],[Disc 1]]="",0,Table1[[#This Row],[h_hargasebelumdiskon]]*Table1[[#This Row],[Disc 1]]))</f>
        <v>46500</v>
      </c>
      <c r="AA66" s="283">
        <f>IF(Table1[[#This Row],[h_hargasebelumdiskon]]="","",IF(Table1[[#This Row],[Disc 2]]="",0,(Table1[[#This Row],[h_hargasebelumdiskon]]-Table1[[#This Row],[h_disc 1]])*Table1[[#This Row],[Disc 2]]))</f>
        <v>0</v>
      </c>
      <c r="AB66" s="283">
        <f>IF(Table1[Item Description]="","",Table1[[#This Row],[h_disc 1]]+Table1[[#This Row],[h_disc 2]])</f>
        <v>46500</v>
      </c>
      <c r="AC66" s="283">
        <f>IF(Table1[Item Description]="","",Table1[[#This Row],[h_hargasebelumdiskon]]-Table1[[#This Row],[h_diskon]])</f>
        <v>418500</v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>STAPLER KENKO HD-10LSN93000</v>
      </c>
    </row>
    <row r="67" spans="1:32" x14ac:dyDescent="0.25">
      <c r="A67" s="287" t="str">
        <f ca="1">IF(Table1[[#This Row],[No. Invoice :]]="","",ROW())</f>
        <v/>
      </c>
      <c r="B67" s="287" t="str">
        <f ca="1">IF(Table1[Column3]="","",B$1+COUNT(INDIRECT("B$2:B"&amp;ROW()-1)))</f>
        <v/>
      </c>
      <c r="C67" s="281" t="str">
        <f>IF(Table1[[#This Row],[Column2]]="","",Table1[[#This Row],[Column2]]+C$1-1)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Row],[Column3]])," ",Table1[[#This Row],[Column4]])</f>
        <v xml:space="preserve"> </v>
      </c>
      <c r="J67" s="287" t="str">
        <f>IF(Table1[[#This Row],[Column5]]="","",INDEX(Table2[e],IF(Table1[[#This Row],[Column5]]="","",MATCH(Table1[[#This Row],[Column5]],Table2[a],0)),))</f>
        <v/>
      </c>
      <c r="O67" s="287" t="str">
        <f>IF(Table1[[#This Row],[h_Item Description]]="","",INDEX([1]!db[NB PAJAK],MATCH(Table1[[#This Row],[h_Item Description]],[1]!db[kode],0)))</f>
        <v/>
      </c>
      <c r="Q67" s="283"/>
      <c r="R67" s="284"/>
      <c r="T67" s="283" t="str">
        <f>Table1[[#This Row],[h_hargasetelahdiskon]]</f>
        <v/>
      </c>
      <c r="W67" s="287" t="str">
        <f ca="1">IF(Table1[[#This Row],[Item Description]]="","",IF(Table1[[#This Row],[//]]="",INDIRECT(ADDRESS(ROW()-1,COLUMN())),Table1[[#This Row],[//]]))</f>
        <v/>
      </c>
      <c r="X67" s="287" t="str">
        <f ca="1">IF(Table1[[#This Row],[h_id]]="","",COUNTIF(Table1[h_id],Table1[[#This Row],[h_id]]))</f>
        <v/>
      </c>
      <c r="Y67" s="283" t="str">
        <f>IF(Table1[Item Description]="","",Table1[[#This Row],[Qty]]*Table1[[#This Row],[Unit Price]])</f>
        <v/>
      </c>
      <c r="Z67" s="283" t="str">
        <f>IF(Table1[[#This Row],[h_hargasebelumdiskon]]="","",IF(Table1[[#This Row],[Disc 1]]="",0,Table1[[#This Row],[h_hargasebelumdiskon]]*Table1[[#This Row],[Disc 1]]))</f>
        <v/>
      </c>
      <c r="AA67" s="283" t="str">
        <f>IF(Table1[[#This Row],[h_hargasebelumdiskon]]="","",IF(Table1[[#This Row],[Disc 2]]="",0,(Table1[[#This Row],[h_hargasebelumdiskon]]-Table1[[#This Row],[h_disc 1]])*Table1[[#This Row],[Disc 2]]))</f>
        <v/>
      </c>
      <c r="AB67" s="283" t="str">
        <f>IF(Table1[Item Description]="","",Table1[[#This Row],[h_disc 1]]+Table1[[#This Row],[h_disc 2]])</f>
        <v/>
      </c>
      <c r="AC67" s="283" t="str">
        <f>IF(Table1[Item Description]="","",Table1[[#This Row],[h_hargasebelumdiskon]]-Table1[[#This Row],[h_diskon]])</f>
        <v/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/>
      </c>
    </row>
    <row r="68" spans="1:32" x14ac:dyDescent="0.25">
      <c r="A68" s="287">
        <f ca="1">IF(Table1[[#This Row],[No. Invoice :]]="","",ROW())</f>
        <v>68</v>
      </c>
      <c r="B68" s="287">
        <f ca="1">IF(Table1[Column3]="","",B$1+COUNT(INDIRECT("B$2:B"&amp;ROW()-1)))</f>
        <v>23090018</v>
      </c>
      <c r="C68" s="281">
        <f>IF(Table1[[#This Row],[Column2]]="","",Table1[[#This Row],[Column2]]+C$1-1)</f>
        <v>45192</v>
      </c>
      <c r="D68" s="292">
        <v>23</v>
      </c>
      <c r="E68" s="280" t="s">
        <v>184</v>
      </c>
      <c r="F68" s="282" t="s">
        <v>242</v>
      </c>
      <c r="G68" s="280" t="s">
        <v>67</v>
      </c>
      <c r="H68" s="287" t="str">
        <f ca="1">IF(Table1[[#This Row],[h_No. Invoice :]]="","",CONCATENATE("AM"," ",Table1[[#This Row],[h_No. Invoice :]]))</f>
        <v>AM 23090018</v>
      </c>
      <c r="I68" s="288" t="str">
        <f>CONCATENATE(UPPER(Table1[[#This Row],[Column3]])," ",Table1[[#This Row],[Column4]])</f>
        <v>KO 3820</v>
      </c>
      <c r="J68" s="287" t="str">
        <f>IF(Table1[[#This Row],[Column5]]="","",INDEX(Table2[e],IF(Table1[[#This Row],[Column5]]="","",MATCH(Table1[[#This Row],[Column5]],Table2[a],0)),))</f>
        <v>HARNOYO (BENDAN) PEKALONGAN</v>
      </c>
      <c r="K68" s="280">
        <v>1</v>
      </c>
      <c r="L68" s="280" t="s">
        <v>132</v>
      </c>
      <c r="N68" s="280" t="s">
        <v>243</v>
      </c>
      <c r="O68" s="287" t="str">
        <f>IF(Table1[[#This Row],[h_Item Description]]="","",INDEX([1]!db[NB PAJAK],MATCH(Table1[[#This Row],[h_Item Description]],[1]!db[kode],0)))</f>
        <v>STAPLER YUAN CHANG 414</v>
      </c>
      <c r="P68" s="280" t="s">
        <v>244</v>
      </c>
      <c r="Q68" s="283">
        <v>340000</v>
      </c>
      <c r="R68" s="284"/>
      <c r="T68" s="283">
        <f>Table1[[#This Row],[h_hargasetelahdiskon]]</f>
        <v>340000</v>
      </c>
      <c r="U68" s="283" t="s">
        <v>234</v>
      </c>
      <c r="W68" s="287">
        <f ca="1">IF(Table1[[#This Row],[Item Description]]="","",IF(Table1[[#This Row],[//]]="",INDIRECT(ADDRESS(ROW()-1,COLUMN())),Table1[[#This Row],[//]]))</f>
        <v>68</v>
      </c>
      <c r="X68" s="287">
        <f ca="1">IF(Table1[[#This Row],[h_id]]="","",COUNTIF(Table1[h_id],Table1[[#This Row],[h_id]]))</f>
        <v>1</v>
      </c>
      <c r="Y68" s="283">
        <f>IF(Table1[Item Description]="","",Table1[[#This Row],[Qty]]*Table1[[#This Row],[Unit Price]])</f>
        <v>340000</v>
      </c>
      <c r="Z68" s="283">
        <f>IF(Table1[[#This Row],[h_hargasebelumdiskon]]="","",IF(Table1[[#This Row],[Disc 1]]="",0,Table1[[#This Row],[h_hargasebelumdiskon]]*Table1[[#This Row],[Disc 1]]))</f>
        <v>0</v>
      </c>
      <c r="AA68" s="283">
        <f>IF(Table1[[#This Row],[h_hargasebelumdiskon]]="","",IF(Table1[[#This Row],[Disc 2]]="",0,(Table1[[#This Row],[h_hargasebelumdiskon]]-Table1[[#This Row],[h_disc 1]])*Table1[[#This Row],[Disc 2]]))</f>
        <v>0</v>
      </c>
      <c r="AB68" s="283">
        <f>IF(Table1[Item Description]="","",Table1[[#This Row],[h_disc 1]]+Table1[[#This Row],[h_disc 2]])</f>
        <v>0</v>
      </c>
      <c r="AC68" s="283">
        <f>IF(Table1[Item Description]="","",Table1[[#This Row],[h_hargasebelumdiskon]]-Table1[[#This Row],[h_diskon]])</f>
        <v>340000</v>
      </c>
      <c r="AD68" s="283">
        <f ca="1">IF(Table1[//]="","",SUMIF(Table1[h_id],Table1[h_id],Table1[h_hargasetelahdiskon]))</f>
        <v>340000</v>
      </c>
      <c r="AE68" s="283"/>
      <c r="AF68" s="283" t="str">
        <f>Table1[[#This Row],[Item Description]]&amp;Table1[[#This Row],[Unit]]&amp;Table1[[#This Row],[Unit Price]]</f>
        <v>STAPLER YUAN CHANG 414LSN340000</v>
      </c>
    </row>
    <row r="69" spans="1:32" x14ac:dyDescent="0.25">
      <c r="A69" s="287" t="str">
        <f ca="1">IF(Table1[[#This Row],[No. Invoice :]]="","",ROW())</f>
        <v/>
      </c>
      <c r="B69" s="287" t="str">
        <f ca="1">IF(Table1[Column3]="","",B$1+COUNT(INDIRECT("B$2:B"&amp;ROW()-1)))</f>
        <v/>
      </c>
      <c r="C69" s="281" t="str">
        <f>IF(Table1[[#This Row],[Column2]]="","",Table1[[#This Row],[Column2]]+C$1-1)</f>
        <v/>
      </c>
      <c r="H69" s="287" t="str">
        <f ca="1">IF(Table1[[#This Row],[h_No. Invoice :]]="","",CONCATENATE("AM"," ",Table1[[#This Row],[h_No. Invoice :]]))</f>
        <v/>
      </c>
      <c r="I69" s="288" t="str">
        <f>CONCATENATE(UPPER(Table1[[#This Row],[Column3]])," ",Table1[[#This Row],[Column4]])</f>
        <v xml:space="preserve"> </v>
      </c>
      <c r="J69" s="287" t="str">
        <f>IF(Table1[[#This Row],[Column5]]="","",INDEX(Table2[e],IF(Table1[[#This Row],[Column5]]="","",MATCH(Table1[[#This Row],[Column5]],Table2[a],0)),))</f>
        <v/>
      </c>
      <c r="O69" s="287" t="str">
        <f>IF(Table1[[#This Row],[h_Item Description]]="","",INDEX([1]!db[NB PAJAK],MATCH(Table1[[#This Row],[h_Item Description]],[1]!db[kode],0)))</f>
        <v/>
      </c>
      <c r="Q69" s="283"/>
      <c r="R69" s="284"/>
      <c r="T69" s="283" t="str">
        <f>Table1[[#This Row],[h_hargasetelahdiskon]]</f>
        <v/>
      </c>
      <c r="W69" s="287" t="str">
        <f ca="1">IF(Table1[[#This Row],[Item Description]]="","",IF(Table1[[#This Row],[//]]="",INDIRECT(ADDRESS(ROW()-1,COLUMN())),Table1[[#This Row],[//]]))</f>
        <v/>
      </c>
      <c r="X69" s="287" t="str">
        <f ca="1">IF(Table1[[#This Row],[h_id]]="","",COUNTIF(Table1[h_id],Table1[[#This Row],[h_id]]))</f>
        <v/>
      </c>
      <c r="Y69" s="283" t="str">
        <f>IF(Table1[Item Description]="","",Table1[[#This Row],[Qty]]*Table1[[#This Row],[Unit Price]])</f>
        <v/>
      </c>
      <c r="Z69" s="283" t="str">
        <f>IF(Table1[[#This Row],[h_hargasebelumdiskon]]="","",IF(Table1[[#This Row],[Disc 1]]="",0,Table1[[#This Row],[h_hargasebelumdiskon]]*Table1[[#This Row],[Disc 1]]))</f>
        <v/>
      </c>
      <c r="AA69" s="283" t="str">
        <f>IF(Table1[[#This Row],[h_hargasebelumdiskon]]="","",IF(Table1[[#This Row],[Disc 2]]="",0,(Table1[[#This Row],[h_hargasebelumdiskon]]-Table1[[#This Row],[h_disc 1]])*Table1[[#This Row],[Disc 2]]))</f>
        <v/>
      </c>
      <c r="AB69" s="283" t="str">
        <f>IF(Table1[Item Description]="","",Table1[[#This Row],[h_disc 1]]+Table1[[#This Row],[h_disc 2]])</f>
        <v/>
      </c>
      <c r="AC69" s="283" t="str">
        <f>IF(Table1[Item Description]="","",Table1[[#This Row],[h_hargasebelumdiskon]]-Table1[[#This Row],[h_diskon]])</f>
        <v/>
      </c>
      <c r="AD69" s="283" t="str">
        <f ca="1">IF(Table1[//]="","",SUMIF(Table1[h_id],Table1[h_id],Table1[h_hargasetelahdiskon]))</f>
        <v/>
      </c>
      <c r="AE69" s="283"/>
      <c r="AF69" s="283" t="str">
        <f>Table1[[#This Row],[Item Description]]&amp;Table1[[#This Row],[Unit]]&amp;Table1[[#This Row],[Unit Price]]</f>
        <v/>
      </c>
    </row>
    <row r="70" spans="1:32" x14ac:dyDescent="0.25">
      <c r="A70" s="287">
        <f ca="1">IF(Table1[[#This Row],[No. Invoice :]]="","",ROW())</f>
        <v>70</v>
      </c>
      <c r="B70" s="287">
        <f ca="1">IF(Table1[Column3]="","",B$1+COUNT(INDIRECT("B$2:B"&amp;ROW()-1)))</f>
        <v>23090019</v>
      </c>
      <c r="C70" s="281">
        <f>IF(Table1[[#This Row],[Column2]]="","",Table1[[#This Row],[Column2]]+C$1-1)</f>
        <v>45192</v>
      </c>
      <c r="D70" s="292">
        <v>23</v>
      </c>
      <c r="E70" s="280" t="s">
        <v>245</v>
      </c>
      <c r="F70" s="282" t="s">
        <v>246</v>
      </c>
      <c r="G70" s="280" t="s">
        <v>90</v>
      </c>
      <c r="H70" s="287" t="str">
        <f ca="1">IF(Table1[[#This Row],[h_No. Invoice :]]="","",CONCATENATE("AM"," ",Table1[[#This Row],[h_No. Invoice :]]))</f>
        <v>AM 23090019</v>
      </c>
      <c r="I70" s="288" t="str">
        <f>CONCATENATE(UPPER(Table1[[#This Row],[Column3]])," ",Table1[[#This Row],[Column4]])</f>
        <v>G 3734</v>
      </c>
      <c r="J70" s="287" t="str">
        <f>IF(Table1[[#This Row],[Column5]]="","",INDEX(Table2[e],IF(Table1[[#This Row],[Column5]]="","",MATCH(Table1[[#This Row],[Column5]],Table2[a],0)),))</f>
        <v>LILY JULIAWATI (REJO AGUNG) JOMBANG</v>
      </c>
      <c r="K70" s="280">
        <v>160</v>
      </c>
      <c r="L70" s="280" t="s">
        <v>150</v>
      </c>
      <c r="M70" s="280">
        <v>1</v>
      </c>
      <c r="N70" s="280" t="s">
        <v>247</v>
      </c>
      <c r="O70" s="287" t="str">
        <f>IF(Table1[[#This Row],[h_Item Description]]="","",INDEX([1]!db[NB PAJAK],MATCH(Table1[[#This Row],[h_Item Description]],[1]!db[kode],0)))</f>
        <v>CALCULATOR JOYKO CC-37</v>
      </c>
      <c r="P70" s="280" t="s">
        <v>255</v>
      </c>
      <c r="Q70" s="283">
        <v>32000</v>
      </c>
      <c r="R70" s="284">
        <v>0.125</v>
      </c>
      <c r="T70" s="283">
        <f>Table1[[#This Row],[h_hargasetelahdiskon]]</f>
        <v>4480000</v>
      </c>
      <c r="U70" s="283" t="s">
        <v>234</v>
      </c>
      <c r="W70" s="287">
        <f ca="1">IF(Table1[[#This Row],[Item Description]]="","",IF(Table1[[#This Row],[//]]="",INDIRECT(ADDRESS(ROW()-1,COLUMN())),Table1[[#This Row],[//]]))</f>
        <v>70</v>
      </c>
      <c r="X70" s="287">
        <f ca="1">IF(Table1[[#This Row],[h_id]]="","",COUNTIF(Table1[h_id],Table1[[#This Row],[h_id]]))</f>
        <v>8</v>
      </c>
      <c r="Y70" s="283">
        <f>IF(Table1[Item Description]="","",Table1[[#This Row],[Qty]]*Table1[[#This Row],[Unit Price]])</f>
        <v>5120000</v>
      </c>
      <c r="Z70" s="283">
        <f>IF(Table1[[#This Row],[h_hargasebelumdiskon]]="","",IF(Table1[[#This Row],[Disc 1]]="",0,Table1[[#This Row],[h_hargasebelumdiskon]]*Table1[[#This Row],[Disc 1]]))</f>
        <v>640000</v>
      </c>
      <c r="AA70" s="283">
        <f>IF(Table1[[#This Row],[h_hargasebelumdiskon]]="","",IF(Table1[[#This Row],[Disc 2]]="",0,(Table1[[#This Row],[h_hargasebelumdiskon]]-Table1[[#This Row],[h_disc 1]])*Table1[[#This Row],[Disc 2]]))</f>
        <v>0</v>
      </c>
      <c r="AB70" s="283">
        <f>IF(Table1[Item Description]="","",Table1[[#This Row],[h_disc 1]]+Table1[[#This Row],[h_disc 2]])</f>
        <v>640000</v>
      </c>
      <c r="AC70" s="283">
        <f>IF(Table1[Item Description]="","",Table1[[#This Row],[h_hargasebelumdiskon]]-Table1[[#This Row],[h_diskon]])</f>
        <v>4480000</v>
      </c>
      <c r="AD70" s="283">
        <f ca="1">IF(Table1[//]="","",SUMIF(Table1[h_id],Table1[h_id],Table1[h_hargasetelahdiskon]))</f>
        <v>35472500</v>
      </c>
      <c r="AE70" s="283"/>
      <c r="AF70" s="283" t="str">
        <f>Table1[[#This Row],[Item Description]]&amp;Table1[[#This Row],[Unit]]&amp;Table1[[#This Row],[Unit Price]]</f>
        <v>CALCULATOR JOYKO CC-37PCS32000</v>
      </c>
    </row>
    <row r="71" spans="1:32" x14ac:dyDescent="0.25">
      <c r="A71" s="287" t="str">
        <f>IF(Table1[[#This Row],[No. Invoice :]]="","",ROW())</f>
        <v/>
      </c>
      <c r="B71" s="287" t="str">
        <f ca="1">IF(Table1[Column3]="","",B$1+COUNT(INDIRECT("B$2:B"&amp;ROW()-1)))</f>
        <v/>
      </c>
      <c r="C71" s="281" t="str">
        <f>IF(Table1[[#This Row],[Column2]]="","",Table1[[#This Row],[Column2]]+C$1-1)</f>
        <v/>
      </c>
      <c r="H71" s="287"/>
      <c r="I71" s="288"/>
      <c r="J71" s="287" t="str">
        <f>IF(Table1[[#This Row],[Column5]]="","",INDEX(Table2[e],IF(Table1[[#This Row],[Column5]]="","",MATCH(Table1[[#This Row],[Column5]],Table2[a],0)),))</f>
        <v/>
      </c>
      <c r="K71" s="280">
        <v>160</v>
      </c>
      <c r="L71" s="280" t="s">
        <v>150</v>
      </c>
      <c r="M71" s="280">
        <v>1</v>
      </c>
      <c r="N71" s="280" t="s">
        <v>248</v>
      </c>
      <c r="O71" s="287" t="str">
        <f>IF(Table1[[#This Row],[h_Item Description]]="","",INDEX([1]!db[NB PAJAK],MATCH(Table1[[#This Row],[h_Item Description]],[1]!db[kode],0)))</f>
        <v>CALCULATOR JOYKO CC-38</v>
      </c>
      <c r="P71" s="280" t="s">
        <v>256</v>
      </c>
      <c r="Q71" s="283">
        <v>27500</v>
      </c>
      <c r="R71" s="284">
        <v>0.125</v>
      </c>
      <c r="T71" s="283">
        <f>Table1[[#This Row],[h_hargasetelahdiskon]]</f>
        <v>3850000</v>
      </c>
      <c r="W71" s="287">
        <f ca="1">IF(Table1[[#This Row],[Item Description]]="","",IF(Table1[[#This Row],[//]]="",INDIRECT(ADDRESS(ROW()-1,COLUMN())),Table1[[#This Row],[//]]))</f>
        <v>70</v>
      </c>
      <c r="X71" s="287">
        <f ca="1">IF(Table1[[#This Row],[h_id]]="","",COUNTIF(Table1[h_id],Table1[[#This Row],[h_id]]))</f>
        <v>8</v>
      </c>
      <c r="Y71" s="283">
        <f>IF(Table1[Item Description]="","",Table1[[#This Row],[Qty]]*Table1[[#This Row],[Unit Price]])</f>
        <v>4400000</v>
      </c>
      <c r="Z71" s="283">
        <f>IF(Table1[[#This Row],[h_hargasebelumdiskon]]="","",IF(Table1[[#This Row],[Disc 1]]="",0,Table1[[#This Row],[h_hargasebelumdiskon]]*Table1[[#This Row],[Disc 1]]))</f>
        <v>550000</v>
      </c>
      <c r="AA71" s="283">
        <f>IF(Table1[[#This Row],[h_hargasebelumdiskon]]="","",IF(Table1[[#This Row],[Disc 2]]="",0,(Table1[[#This Row],[h_hargasebelumdiskon]]-Table1[[#This Row],[h_disc 1]])*Table1[[#This Row],[Disc 2]]))</f>
        <v>0</v>
      </c>
      <c r="AB71" s="283">
        <f>IF(Table1[Item Description]="","",Table1[[#This Row],[h_disc 1]]+Table1[[#This Row],[h_disc 2]])</f>
        <v>550000</v>
      </c>
      <c r="AC71" s="283">
        <f>IF(Table1[Item Description]="","",Table1[[#This Row],[h_hargasebelumdiskon]]-Table1[[#This Row],[h_diskon]])</f>
        <v>3850000</v>
      </c>
      <c r="AD71" s="283" t="str">
        <f>IF(Table1[//]="","",SUMIF(Table1[h_id],Table1[h_id],Table1[h_hargasetelahdiskon]))</f>
        <v/>
      </c>
      <c r="AE71" s="283"/>
      <c r="AF71" s="283" t="str">
        <f>Table1[[#This Row],[Item Description]]&amp;Table1[[#This Row],[Unit]]&amp;Table1[[#This Row],[Unit Price]]</f>
        <v>CALCULATOR JOYKO CC-38PCS27500</v>
      </c>
    </row>
    <row r="72" spans="1:32" x14ac:dyDescent="0.25">
      <c r="A72" s="287" t="str">
        <f ca="1">IF(Table1[[#This Row],[No. Invoice :]]="","",ROW())</f>
        <v/>
      </c>
      <c r="B72" s="287" t="str">
        <f ca="1">IF(Table1[Column3]="","",B$1+COUNT(INDIRECT("B$2:B"&amp;ROW()-1)))</f>
        <v/>
      </c>
      <c r="C72" s="281" t="str">
        <f>IF(Table1[[#This Row],[Column2]]="","",Table1[[#This Row],[Column2]]+C$1-1)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Row],[Column3]])," ",Table1[[#This Row],[Column4]])</f>
        <v xml:space="preserve"> </v>
      </c>
      <c r="J72" s="287" t="str">
        <f>IF(Table1[[#This Row],[Column5]]="","",INDEX(Table2[e],IF(Table1[[#This Row],[Column5]]="","",MATCH(Table1[[#This Row],[Column5]],Table2[a],0)),))</f>
        <v/>
      </c>
      <c r="K72" s="280">
        <v>60</v>
      </c>
      <c r="L72" s="280" t="s">
        <v>150</v>
      </c>
      <c r="M72" s="280">
        <v>1</v>
      </c>
      <c r="N72" s="280" t="s">
        <v>249</v>
      </c>
      <c r="O72" s="287" t="str">
        <f>IF(Table1[[#This Row],[h_Item Description]]="","",INDEX([1]!db[NB PAJAK],MATCH(Table1[[#This Row],[h_Item Description]],[1]!db[kode],0)))</f>
        <v>CALCULATOR JOYKO CC-800CH</v>
      </c>
      <c r="P72" s="280" t="s">
        <v>257</v>
      </c>
      <c r="Q72" s="283">
        <v>79000</v>
      </c>
      <c r="R72" s="284">
        <v>0.125</v>
      </c>
      <c r="T72" s="283">
        <f>Table1[[#This Row],[h_hargasetelahdiskon]]</f>
        <v>4147500</v>
      </c>
      <c r="W72" s="287">
        <f ca="1">IF(Table1[[#This Row],[Item Description]]="","",IF(Table1[[#This Row],[//]]="",INDIRECT(ADDRESS(ROW()-1,COLUMN())),Table1[[#This Row],[//]]))</f>
        <v>70</v>
      </c>
      <c r="X72" s="287">
        <f ca="1">IF(Table1[[#This Row],[h_id]]="","",COUNTIF(Table1[h_id],Table1[[#This Row],[h_id]]))</f>
        <v>8</v>
      </c>
      <c r="Y72" s="283">
        <f>IF(Table1[Item Description]="","",Table1[[#This Row],[Qty]]*Table1[[#This Row],[Unit Price]])</f>
        <v>4740000</v>
      </c>
      <c r="Z72" s="283">
        <f>IF(Table1[[#This Row],[h_hargasebelumdiskon]]="","",IF(Table1[[#This Row],[Disc 1]]="",0,Table1[[#This Row],[h_hargasebelumdiskon]]*Table1[[#This Row],[Disc 1]]))</f>
        <v>592500</v>
      </c>
      <c r="AA72" s="283">
        <f>IF(Table1[[#This Row],[h_hargasebelumdiskon]]="","",IF(Table1[[#This Row],[Disc 2]]="",0,(Table1[[#This Row],[h_hargasebelumdiskon]]-Table1[[#This Row],[h_disc 1]])*Table1[[#This Row],[Disc 2]]))</f>
        <v>0</v>
      </c>
      <c r="AB72" s="283">
        <f>IF(Table1[Item Description]="","",Table1[[#This Row],[h_disc 1]]+Table1[[#This Row],[h_disc 2]])</f>
        <v>592500</v>
      </c>
      <c r="AC72" s="283">
        <f>IF(Table1[Item Description]="","",Table1[[#This Row],[h_hargasebelumdiskon]]-Table1[[#This Row],[h_diskon]])</f>
        <v>4147500</v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>CALCULATOR JOYKO CC-800CHPCS79000</v>
      </c>
    </row>
    <row r="73" spans="1:32" x14ac:dyDescent="0.25">
      <c r="A73" s="287" t="str">
        <f ca="1">IF(Table1[[#This Row],[No. Invoice :]]="","",ROW())</f>
        <v/>
      </c>
      <c r="B73" s="287" t="str">
        <f ca="1">IF(Table1[Column3]="","",B$1+COUNT(INDIRECT("B$2:B"&amp;ROW()-1)))</f>
        <v/>
      </c>
      <c r="C73" s="281" t="str">
        <f>IF(Table1[[#This Row],[Column2]]="","",Table1[[#This Row],[Column2]]+C$1-1)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Row],[Column3]])," ",Table1[[#This Row],[Column4]])</f>
        <v xml:space="preserve"> </v>
      </c>
      <c r="J73" s="287" t="str">
        <f>IF(Table1[[#This Row],[Column5]]="","",INDEX(Table2[e],IF(Table1[[#This Row],[Column5]]="","",MATCH(Table1[[#This Row],[Column5]],Table2[a],0)),))</f>
        <v/>
      </c>
      <c r="K73" s="280">
        <v>60</v>
      </c>
      <c r="L73" s="280" t="s">
        <v>150</v>
      </c>
      <c r="M73" s="280">
        <v>1</v>
      </c>
      <c r="N73" s="280" t="s">
        <v>250</v>
      </c>
      <c r="O73" s="287" t="str">
        <f>IF(Table1[[#This Row],[h_Item Description]]="","",INDEX([1]!db[NB PAJAK],MATCH(Table1[[#This Row],[h_Item Description]],[1]!db[kode],0)))</f>
        <v>CALCULATOR JOYKO CC-810CH</v>
      </c>
      <c r="P73" s="280" t="s">
        <v>258</v>
      </c>
      <c r="Q73" s="283">
        <v>82000</v>
      </c>
      <c r="R73" s="284">
        <v>0.125</v>
      </c>
      <c r="T73" s="283">
        <f>Table1[[#This Row],[h_hargasetelahdiskon]]</f>
        <v>4305000</v>
      </c>
      <c r="W73" s="287">
        <f ca="1">IF(Table1[[#This Row],[Item Description]]="","",IF(Table1[[#This Row],[//]]="",INDIRECT(ADDRESS(ROW()-1,COLUMN())),Table1[[#This Row],[//]]))</f>
        <v>70</v>
      </c>
      <c r="X73" s="287">
        <f ca="1">IF(Table1[[#This Row],[h_id]]="","",COUNTIF(Table1[h_id],Table1[[#This Row],[h_id]]))</f>
        <v>8</v>
      </c>
      <c r="Y73" s="283">
        <f>IF(Table1[Item Description]="","",Table1[[#This Row],[Qty]]*Table1[[#This Row],[Unit Price]])</f>
        <v>4920000</v>
      </c>
      <c r="Z73" s="283">
        <f>IF(Table1[[#This Row],[h_hargasebelumdiskon]]="","",IF(Table1[[#This Row],[Disc 1]]="",0,Table1[[#This Row],[h_hargasebelumdiskon]]*Table1[[#This Row],[Disc 1]]))</f>
        <v>615000</v>
      </c>
      <c r="AA73" s="283">
        <f>IF(Table1[[#This Row],[h_hargasebelumdiskon]]="","",IF(Table1[[#This Row],[Disc 2]]="",0,(Table1[[#This Row],[h_hargasebelumdiskon]]-Table1[[#This Row],[h_disc 1]])*Table1[[#This Row],[Disc 2]]))</f>
        <v>0</v>
      </c>
      <c r="AB73" s="283">
        <f>IF(Table1[Item Description]="","",Table1[[#This Row],[h_disc 1]]+Table1[[#This Row],[h_disc 2]])</f>
        <v>615000</v>
      </c>
      <c r="AC73" s="283">
        <f>IF(Table1[Item Description]="","",Table1[[#This Row],[h_hargasebelumdiskon]]-Table1[[#This Row],[h_diskon]])</f>
        <v>4305000</v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>CALCULATOR JOYKO CC-810CHPCS82000</v>
      </c>
    </row>
    <row r="74" spans="1:32" x14ac:dyDescent="0.25">
      <c r="A74" s="287" t="str">
        <f ca="1">IF(Table1[[#This Row],[No. Invoice :]]="","",ROW())</f>
        <v/>
      </c>
      <c r="B74" s="287" t="str">
        <f ca="1">IF(Table1[Column3]="","",B$1+COUNT(INDIRECT("B$2:B"&amp;ROW()-1)))</f>
        <v/>
      </c>
      <c r="C74" s="281" t="str">
        <f>IF(Table1[[#This Row],[Column2]]="","",Table1[[#This Row],[Column2]]+C$1-1)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Row],[Column3]])," ",Table1[[#This Row],[Column4]])</f>
        <v xml:space="preserve"> </v>
      </c>
      <c r="J74" s="287" t="str">
        <f>IF(Table1[[#This Row],[Column5]]="","",INDEX(Table2[e],IF(Table1[[#This Row],[Column5]]="","",MATCH(Table1[[#This Row],[Column5]],Table2[a],0)),))</f>
        <v/>
      </c>
      <c r="K74" s="280">
        <v>120</v>
      </c>
      <c r="L74" s="280" t="s">
        <v>150</v>
      </c>
      <c r="M74" s="280">
        <v>1</v>
      </c>
      <c r="N74" s="280" t="s">
        <v>251</v>
      </c>
      <c r="O74" s="287" t="str">
        <f>IF(Table1[[#This Row],[h_Item Description]]="","",INDEX([1]!db[NB PAJAK],MATCH(Table1[[#This Row],[h_Item Description]],[1]!db[kode],0)))</f>
        <v>CALCULATOR JOYKO CC-8A</v>
      </c>
      <c r="P74" s="280" t="s">
        <v>259</v>
      </c>
      <c r="Q74" s="283">
        <v>47000</v>
      </c>
      <c r="R74" s="284">
        <v>0.125</v>
      </c>
      <c r="T74" s="283">
        <f>Table1[[#This Row],[h_hargasetelahdiskon]]</f>
        <v>4935000</v>
      </c>
      <c r="W74" s="287">
        <f ca="1">IF(Table1[[#This Row],[Item Description]]="","",IF(Table1[[#This Row],[//]]="",INDIRECT(ADDRESS(ROW()-1,COLUMN())),Table1[[#This Row],[//]]))</f>
        <v>70</v>
      </c>
      <c r="X74" s="287">
        <f ca="1">IF(Table1[[#This Row],[h_id]]="","",COUNTIF(Table1[h_id],Table1[[#This Row],[h_id]]))</f>
        <v>8</v>
      </c>
      <c r="Y74" s="283">
        <f>IF(Table1[Item Description]="","",Table1[[#This Row],[Qty]]*Table1[[#This Row],[Unit Price]])</f>
        <v>5640000</v>
      </c>
      <c r="Z74" s="283">
        <f>IF(Table1[[#This Row],[h_hargasebelumdiskon]]="","",IF(Table1[[#This Row],[Disc 1]]="",0,Table1[[#This Row],[h_hargasebelumdiskon]]*Table1[[#This Row],[Disc 1]]))</f>
        <v>705000</v>
      </c>
      <c r="AA74" s="283">
        <f>IF(Table1[[#This Row],[h_hargasebelumdiskon]]="","",IF(Table1[[#This Row],[Disc 2]]="",0,(Table1[[#This Row],[h_hargasebelumdiskon]]-Table1[[#This Row],[h_disc 1]])*Table1[[#This Row],[Disc 2]]))</f>
        <v>0</v>
      </c>
      <c r="AB74" s="283">
        <f>IF(Table1[Item Description]="","",Table1[[#This Row],[h_disc 1]]+Table1[[#This Row],[h_disc 2]])</f>
        <v>705000</v>
      </c>
      <c r="AC74" s="283">
        <f>IF(Table1[Item Description]="","",Table1[[#This Row],[h_hargasebelumdiskon]]-Table1[[#This Row],[h_diskon]])</f>
        <v>4935000</v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>CALCULATOR JOYKO CC-8APCS47000</v>
      </c>
    </row>
    <row r="75" spans="1:32" x14ac:dyDescent="0.25">
      <c r="A75" s="287" t="str">
        <f ca="1">IF(Table1[[#This Row],[No. Invoice :]]="","",ROW())</f>
        <v/>
      </c>
      <c r="B75" s="287" t="str">
        <f ca="1">IF(Table1[Column3]="","",B$1+COUNT(INDIRECT("B$2:B"&amp;ROW()-1)))</f>
        <v/>
      </c>
      <c r="C75" s="281" t="str">
        <f>IF(Table1[[#This Row],[Column2]]="","",Table1[[#This Row],[Column2]]+C$1-1)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Row],[Column3]])," ",Table1[[#This Row],[Column4]])</f>
        <v xml:space="preserve"> </v>
      </c>
      <c r="J75" s="287" t="str">
        <f>IF(Table1[[#This Row],[Column5]]="","",INDEX(Table2[e],IF(Table1[[#This Row],[Column5]]="","",MATCH(Table1[[#This Row],[Column5]],Table2[a],0)),))</f>
        <v/>
      </c>
      <c r="K75" s="280">
        <v>120</v>
      </c>
      <c r="L75" s="280" t="s">
        <v>150</v>
      </c>
      <c r="M75" s="280">
        <v>1</v>
      </c>
      <c r="N75" s="280" t="s">
        <v>252</v>
      </c>
      <c r="O75" s="287" t="str">
        <f>IF(Table1[[#This Row],[h_Item Description]]="","",INDEX([1]!db[NB PAJAK],MATCH(Table1[[#This Row],[h_Item Description]],[1]!db[kode],0)))</f>
        <v>CALCULATOR JOYKO CC-15A</v>
      </c>
      <c r="P75" s="280" t="s">
        <v>260</v>
      </c>
      <c r="Q75" s="283">
        <v>47000</v>
      </c>
      <c r="R75" s="284">
        <v>0.125</v>
      </c>
      <c r="T75" s="283">
        <f>Table1[[#This Row],[h_hargasetelahdiskon]]</f>
        <v>4935000</v>
      </c>
      <c r="W75" s="287">
        <f ca="1">IF(Table1[[#This Row],[Item Description]]="","",IF(Table1[[#This Row],[//]]="",INDIRECT(ADDRESS(ROW()-1,COLUMN())),Table1[[#This Row],[//]]))</f>
        <v>70</v>
      </c>
      <c r="X75" s="287">
        <f ca="1">IF(Table1[[#This Row],[h_id]]="","",COUNTIF(Table1[h_id],Table1[[#This Row],[h_id]]))</f>
        <v>8</v>
      </c>
      <c r="Y75" s="283">
        <f>IF(Table1[Item Description]="","",Table1[[#This Row],[Qty]]*Table1[[#This Row],[Unit Price]])</f>
        <v>5640000</v>
      </c>
      <c r="Z75" s="283">
        <f>IF(Table1[[#This Row],[h_hargasebelumdiskon]]="","",IF(Table1[[#This Row],[Disc 1]]="",0,Table1[[#This Row],[h_hargasebelumdiskon]]*Table1[[#This Row],[Disc 1]]))</f>
        <v>705000</v>
      </c>
      <c r="AA75" s="283">
        <f>IF(Table1[[#This Row],[h_hargasebelumdiskon]]="","",IF(Table1[[#This Row],[Disc 2]]="",0,(Table1[[#This Row],[h_hargasebelumdiskon]]-Table1[[#This Row],[h_disc 1]])*Table1[[#This Row],[Disc 2]]))</f>
        <v>0</v>
      </c>
      <c r="AB75" s="283">
        <f>IF(Table1[Item Description]="","",Table1[[#This Row],[h_disc 1]]+Table1[[#This Row],[h_disc 2]])</f>
        <v>705000</v>
      </c>
      <c r="AC75" s="283">
        <f>IF(Table1[Item Description]="","",Table1[[#This Row],[h_hargasebelumdiskon]]-Table1[[#This Row],[h_diskon]])</f>
        <v>4935000</v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>CALCULATOR JOYKO CC-15APCS47000</v>
      </c>
    </row>
    <row r="76" spans="1:32" x14ac:dyDescent="0.25">
      <c r="A76" s="287" t="str">
        <f ca="1">IF(Table1[[#This Row],[No. Invoice :]]="","",ROW())</f>
        <v/>
      </c>
      <c r="B76" s="287" t="str">
        <f ca="1">IF(Table1[Column3]="","",B$1+COUNT(INDIRECT("B$2:B"&amp;ROW()-1)))</f>
        <v/>
      </c>
      <c r="C76" s="281" t="str">
        <f>IF(Table1[[#This Row],[Column2]]="","",Table1[[#This Row],[Column2]]+C$1-1)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Row],[Column3]])," ",Table1[[#This Row],[Column4]])</f>
        <v xml:space="preserve"> </v>
      </c>
      <c r="J76" s="287" t="str">
        <f>IF(Table1[[#This Row],[Column5]]="","",INDEX(Table2[e],IF(Table1[[#This Row],[Column5]]="","",MATCH(Table1[[#This Row],[Column5]],Table2[a],0)),))</f>
        <v/>
      </c>
      <c r="K76" s="280">
        <v>60</v>
      </c>
      <c r="L76" s="280" t="s">
        <v>150</v>
      </c>
      <c r="M76" s="280">
        <v>1</v>
      </c>
      <c r="N76" s="280" t="s">
        <v>253</v>
      </c>
      <c r="O76" s="287" t="str">
        <f>IF(Table1[[#This Row],[h_Item Description]]="","",INDEX([1]!db[NB PAJAK],MATCH(Table1[[#This Row],[h_Item Description]],[1]!db[kode],0)))</f>
        <v>CALCULATOR JOYKO CC-41</v>
      </c>
      <c r="P76" s="280" t="s">
        <v>261</v>
      </c>
      <c r="Q76" s="283">
        <v>74000</v>
      </c>
      <c r="R76" s="284">
        <v>0.125</v>
      </c>
      <c r="T76" s="283">
        <f>Table1[[#This Row],[h_hargasetelahdiskon]]</f>
        <v>3885000</v>
      </c>
      <c r="W76" s="287">
        <f ca="1">IF(Table1[[#This Row],[Item Description]]="","",IF(Table1[[#This Row],[//]]="",INDIRECT(ADDRESS(ROW()-1,COLUMN())),Table1[[#This Row],[//]]))</f>
        <v>70</v>
      </c>
      <c r="X76" s="287">
        <f ca="1">IF(Table1[[#This Row],[h_id]]="","",COUNTIF(Table1[h_id],Table1[[#This Row],[h_id]]))</f>
        <v>8</v>
      </c>
      <c r="Y76" s="283">
        <f>IF(Table1[Item Description]="","",Table1[[#This Row],[Qty]]*Table1[[#This Row],[Unit Price]])</f>
        <v>4440000</v>
      </c>
      <c r="Z76" s="283">
        <f>IF(Table1[[#This Row],[h_hargasebelumdiskon]]="","",IF(Table1[[#This Row],[Disc 1]]="",0,Table1[[#This Row],[h_hargasebelumdiskon]]*Table1[[#This Row],[Disc 1]]))</f>
        <v>555000</v>
      </c>
      <c r="AA76" s="283">
        <f>IF(Table1[[#This Row],[h_hargasebelumdiskon]]="","",IF(Table1[[#This Row],[Disc 2]]="",0,(Table1[[#This Row],[h_hargasebelumdiskon]]-Table1[[#This Row],[h_disc 1]])*Table1[[#This Row],[Disc 2]]))</f>
        <v>0</v>
      </c>
      <c r="AB76" s="283">
        <f>IF(Table1[Item Description]="","",Table1[[#This Row],[h_disc 1]]+Table1[[#This Row],[h_disc 2]])</f>
        <v>555000</v>
      </c>
      <c r="AC76" s="283">
        <f>IF(Table1[Item Description]="","",Table1[[#This Row],[h_hargasebelumdiskon]]-Table1[[#This Row],[h_diskon]])</f>
        <v>3885000</v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>CALCULATOR JOYKO CC-41PCS74000</v>
      </c>
    </row>
    <row r="77" spans="1:32" x14ac:dyDescent="0.25">
      <c r="A77" s="287" t="str">
        <f ca="1">IF(Table1[[#This Row],[No. Invoice :]]="","",ROW())</f>
        <v/>
      </c>
      <c r="B77" s="287" t="str">
        <f ca="1">IF(Table1[Column3]="","",B$1+COUNT(INDIRECT("B$2:B"&amp;ROW()-1)))</f>
        <v/>
      </c>
      <c r="C77" s="281" t="str">
        <f>IF(Table1[[#This Row],[Column2]]="","",Table1[[#This Row],[Column2]]+C$1-1)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Row],[Column3]])," ",Table1[[#This Row],[Column4]])</f>
        <v xml:space="preserve"> </v>
      </c>
      <c r="J77" s="287" t="str">
        <f>IF(Table1[[#This Row],[Column5]]="","",INDEX(Table2[e],IF(Table1[[#This Row],[Column5]]="","",MATCH(Table1[[#This Row],[Column5]],Table2[a],0)),))</f>
        <v/>
      </c>
      <c r="K77" s="280">
        <v>120</v>
      </c>
      <c r="L77" s="280" t="s">
        <v>150</v>
      </c>
      <c r="M77" s="280">
        <v>1</v>
      </c>
      <c r="N77" s="280" t="s">
        <v>254</v>
      </c>
      <c r="O77" s="287" t="str">
        <f>IF(Table1[[#This Row],[h_Item Description]]="","",INDEX([1]!db[NB PAJAK],MATCH(Table1[[#This Row],[h_Item Description]],[1]!db[kode],0)))</f>
        <v>CALCULATOR JOYKO CC-8CO WARNA</v>
      </c>
      <c r="P77" s="280" t="s">
        <v>262</v>
      </c>
      <c r="Q77" s="283">
        <v>47000</v>
      </c>
      <c r="R77" s="284">
        <v>0.125</v>
      </c>
      <c r="T77" s="283">
        <f>Table1[[#This Row],[h_hargasetelahdiskon]]</f>
        <v>4935000</v>
      </c>
      <c r="W77" s="287">
        <f ca="1">IF(Table1[[#This Row],[Item Description]]="","",IF(Table1[[#This Row],[//]]="",INDIRECT(ADDRESS(ROW()-1,COLUMN())),Table1[[#This Row],[//]]))</f>
        <v>70</v>
      </c>
      <c r="X77" s="287">
        <f ca="1">IF(Table1[[#This Row],[h_id]]="","",COUNTIF(Table1[h_id],Table1[[#This Row],[h_id]]))</f>
        <v>8</v>
      </c>
      <c r="Y77" s="283">
        <f>IF(Table1[Item Description]="","",Table1[[#This Row],[Qty]]*Table1[[#This Row],[Unit Price]])</f>
        <v>5640000</v>
      </c>
      <c r="Z77" s="283">
        <f>IF(Table1[[#This Row],[h_hargasebelumdiskon]]="","",IF(Table1[[#This Row],[Disc 1]]="",0,Table1[[#This Row],[h_hargasebelumdiskon]]*Table1[[#This Row],[Disc 1]]))</f>
        <v>705000</v>
      </c>
      <c r="AA77" s="283">
        <f>IF(Table1[[#This Row],[h_hargasebelumdiskon]]="","",IF(Table1[[#This Row],[Disc 2]]="",0,(Table1[[#This Row],[h_hargasebelumdiskon]]-Table1[[#This Row],[h_disc 1]])*Table1[[#This Row],[Disc 2]]))</f>
        <v>0</v>
      </c>
      <c r="AB77" s="283">
        <f>IF(Table1[Item Description]="","",Table1[[#This Row],[h_disc 1]]+Table1[[#This Row],[h_disc 2]])</f>
        <v>705000</v>
      </c>
      <c r="AC77" s="283">
        <f>IF(Table1[Item Description]="","",Table1[[#This Row],[h_hargasebelumdiskon]]-Table1[[#This Row],[h_diskon]])</f>
        <v>4935000</v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>CALCULATOR JOYKO CC-8CO WARNAPCS47000</v>
      </c>
    </row>
    <row r="78" spans="1:32" x14ac:dyDescent="0.25">
      <c r="A78" s="287" t="str">
        <f ca="1">IF(Table1[[#This Row],[No. Invoice :]]="","",ROW())</f>
        <v/>
      </c>
      <c r="B78" s="287" t="str">
        <f ca="1">IF(Table1[Column3]="","",B$1+COUNT(INDIRECT("B$2:B"&amp;ROW()-1)))</f>
        <v/>
      </c>
      <c r="C78" s="281" t="str">
        <f>IF(Table1[[#This Row],[Column2]]="","",Table1[[#This Row],[Column2]]+C$1-1)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Row],[Column3]])," ",Table1[[#This Row],[Column4]])</f>
        <v xml:space="preserve"> </v>
      </c>
      <c r="J78" s="287" t="str">
        <f>IF(Table1[[#This Row],[Column5]]="","",INDEX(Table2[e],IF(Table1[[#This Row],[Column5]]="","",MATCH(Table1[[#This Row],[Column5]],Table2[a],0)),))</f>
        <v/>
      </c>
      <c r="O78" s="287" t="str">
        <f>IF(Table1[[#This Row],[h_Item Description]]="","",INDEX([1]!db[NB PAJAK],MATCH(Table1[[#This Row],[h_Item Description]],[1]!db[kode],0)))</f>
        <v/>
      </c>
      <c r="Q78" s="283"/>
      <c r="R78" s="284"/>
      <c r="T78" s="283" t="str">
        <f>Table1[[#This Row],[h_hargasetelahdiskon]]</f>
        <v/>
      </c>
      <c r="W78" s="287" t="str">
        <f ca="1">IF(Table1[[#This Row],[Item Description]]="","",IF(Table1[[#This Row],[//]]="",INDIRECT(ADDRESS(ROW()-1,COLUMN())),Table1[[#This Row],[//]]))</f>
        <v/>
      </c>
      <c r="X78" s="287" t="str">
        <f ca="1">IF(Table1[[#This Row],[h_id]]="","",COUNTIF(Table1[h_id],Table1[[#This Row],[h_id]]))</f>
        <v/>
      </c>
      <c r="Y78" s="283" t="str">
        <f>IF(Table1[Item Description]="","",Table1[[#This Row],[Qty]]*Table1[[#This Row],[Unit Price]])</f>
        <v/>
      </c>
      <c r="Z78" s="283" t="str">
        <f>IF(Table1[[#This Row],[h_hargasebelumdiskon]]="","",IF(Table1[[#This Row],[Disc 1]]="",0,Table1[[#This Row],[h_hargasebelumdiskon]]*Table1[[#This Row],[Disc 1]]))</f>
        <v/>
      </c>
      <c r="AA78" s="283" t="str">
        <f>IF(Table1[[#This Row],[h_hargasebelumdiskon]]="","",IF(Table1[[#This Row],[Disc 2]]="",0,(Table1[[#This Row],[h_hargasebelumdiskon]]-Table1[[#This Row],[h_disc 1]])*Table1[[#This Row],[Disc 2]]))</f>
        <v/>
      </c>
      <c r="AB78" s="283" t="str">
        <f>IF(Table1[Item Description]="","",Table1[[#This Row],[h_disc 1]]+Table1[[#This Row],[h_disc 2]])</f>
        <v/>
      </c>
      <c r="AC78" s="283" t="str">
        <f>IF(Table1[Item Description]="","",Table1[[#This Row],[h_hargasebelumdiskon]]-Table1[[#This Row],[h_diskon]])</f>
        <v/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/>
      </c>
    </row>
    <row r="79" spans="1:32" x14ac:dyDescent="0.25">
      <c r="A79" s="287">
        <f ca="1">IF(Table1[[#This Row],[No. Invoice :]]="","",ROW())</f>
        <v>79</v>
      </c>
      <c r="B79" s="287">
        <f ca="1">IF(Table1[Column3]="","",B$1+COUNT(INDIRECT("B$2:B"&amp;ROW()-1)))</f>
        <v>23090020</v>
      </c>
      <c r="C79" s="281">
        <f>IF(Table1[[#This Row],[Column2]]="","",Table1[[#This Row],[Column2]]+C$1-1)</f>
        <v>45192</v>
      </c>
      <c r="D79" s="292">
        <v>23</v>
      </c>
      <c r="E79" s="280" t="s">
        <v>130</v>
      </c>
      <c r="F79" s="282" t="s">
        <v>263</v>
      </c>
      <c r="G79" s="280" t="s">
        <v>81</v>
      </c>
      <c r="H79" s="287" t="str">
        <f ca="1">IF(Table1[[#This Row],[h_No. Invoice :]]="","",CONCATENATE("AM"," ",Table1[[#This Row],[h_No. Invoice :]]))</f>
        <v>AM 23090020</v>
      </c>
      <c r="I79" s="288" t="str">
        <f>CONCATENATE(UPPER(Table1[[#This Row],[Column3]])," ",Table1[[#This Row],[Column4]])</f>
        <v>KO 3742</v>
      </c>
      <c r="J79" s="287" t="str">
        <f>IF(Table1[[#This Row],[Column5]]="","",INDEX(Table2[e],IF(Table1[[#This Row],[Column5]]="","",MATCH(Table1[[#This Row],[Column5]],Table2[a],0)),))</f>
        <v>CV PELITA JAYA (ANUGERAH SEJAHTERA) PURWOKERTO</v>
      </c>
      <c r="K79" s="280">
        <v>40</v>
      </c>
      <c r="L79" s="280" t="s">
        <v>237</v>
      </c>
      <c r="M79" s="280">
        <v>2</v>
      </c>
      <c r="N79" s="280" t="s">
        <v>264</v>
      </c>
      <c r="O79" s="287" t="str">
        <f>IF(Table1[[#This Row],[h_Item Description]]="","",INDEX([1]!db[NB PAJAK],MATCH(Table1[[#This Row],[h_Item Description]],[1]!db[kode],0)))</f>
        <v>PENSIL KENKO 2B-6191 HIJAU CAP HITAM</v>
      </c>
      <c r="P79" s="280" t="s">
        <v>266</v>
      </c>
      <c r="Q79" s="283">
        <v>110400</v>
      </c>
      <c r="R79" s="284">
        <v>0.13500000000000001</v>
      </c>
      <c r="T79" s="283">
        <f>Table1[[#This Row],[h_hargasetelahdiskon]]</f>
        <v>3819840</v>
      </c>
      <c r="U79" s="283" t="s">
        <v>234</v>
      </c>
      <c r="W79" s="287">
        <f ca="1">IF(Table1[[#This Row],[Item Description]]="","",IF(Table1[[#This Row],[//]]="",INDIRECT(ADDRESS(ROW()-1,COLUMN())),Table1[[#This Row],[//]]))</f>
        <v>79</v>
      </c>
      <c r="X79" s="287">
        <f ca="1">IF(Table1[[#This Row],[h_id]]="","",COUNTIF(Table1[h_id],Table1[[#This Row],[h_id]]))</f>
        <v>2</v>
      </c>
      <c r="Y79" s="283">
        <f>IF(Table1[Item Description]="","",Table1[[#This Row],[Qty]]*Table1[[#This Row],[Unit Price]])</f>
        <v>4416000</v>
      </c>
      <c r="Z79" s="283">
        <f>IF(Table1[[#This Row],[h_hargasebelumdiskon]]="","",IF(Table1[[#This Row],[Disc 1]]="",0,Table1[[#This Row],[h_hargasebelumdiskon]]*Table1[[#This Row],[Disc 1]]))</f>
        <v>596160</v>
      </c>
      <c r="AA79" s="283">
        <f>IF(Table1[[#This Row],[h_hargasebelumdiskon]]="","",IF(Table1[[#This Row],[Disc 2]]="",0,(Table1[[#This Row],[h_hargasebelumdiskon]]-Table1[[#This Row],[h_disc 1]])*Table1[[#This Row],[Disc 2]]))</f>
        <v>0</v>
      </c>
      <c r="AB79" s="283">
        <f>IF(Table1[Item Description]="","",Table1[[#This Row],[h_disc 1]]+Table1[[#This Row],[h_disc 2]])</f>
        <v>596160</v>
      </c>
      <c r="AC79" s="283">
        <f>IF(Table1[Item Description]="","",Table1[[#This Row],[h_hargasebelumdiskon]]-Table1[[#This Row],[h_diskon]])</f>
        <v>3819840</v>
      </c>
      <c r="AD79" s="283">
        <f ca="1">IF(Table1[//]="","",SUMIF(Table1[h_id],Table1[h_id],Table1[h_hargasetelahdiskon]))</f>
        <v>6373320</v>
      </c>
      <c r="AE79" s="283"/>
      <c r="AF79" s="283" t="str">
        <f>Table1[[#This Row],[Item Description]]&amp;Table1[[#This Row],[Unit]]&amp;Table1[[#This Row],[Unit Price]]</f>
        <v>PENSIL KENKO 2B-6191 HIJAU CAP HITAMGRS110400</v>
      </c>
    </row>
    <row r="80" spans="1:32" x14ac:dyDescent="0.25">
      <c r="A80" s="287" t="str">
        <f ca="1">IF(Table1[[#This Row],[No. Invoice :]]="","",ROW())</f>
        <v/>
      </c>
      <c r="B80" s="287" t="str">
        <f ca="1">IF(Table1[Column3]="","",B$1+COUNT(INDIRECT("B$2:B"&amp;ROW()-1)))</f>
        <v/>
      </c>
      <c r="C80" s="281" t="str">
        <f>IF(Table1[[#This Row],[Column2]]="","",Table1[[#This Row],[Column2]]+C$1-1)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Row],[Column3]])," ",Table1[[#This Row],[Column4]])</f>
        <v xml:space="preserve"> </v>
      </c>
      <c r="J80" s="287" t="str">
        <f>IF(Table1[[#This Row],[Column5]]="","",INDEX(Table2[e],IF(Table1[[#This Row],[Column5]]="","",MATCH(Table1[[#This Row],[Column5]],Table2[a],0)),))</f>
        <v/>
      </c>
      <c r="K80" s="280">
        <v>20</v>
      </c>
      <c r="L80" s="280" t="s">
        <v>132</v>
      </c>
      <c r="M80" s="280">
        <v>1</v>
      </c>
      <c r="N80" s="280" t="s">
        <v>265</v>
      </c>
      <c r="O80" s="287" t="str">
        <f>IF(Table1[[#This Row],[h_Item Description]]="","",INDEX([1]!db[NB PAJAK],MATCH(Table1[[#This Row],[h_Item Description]],[1]!db[kode],0)))</f>
        <v>CUTTER 18 MM KENKO L-500 (BESAR)</v>
      </c>
      <c r="P80" s="280" t="s">
        <v>267</v>
      </c>
      <c r="Q80" s="283">
        <v>147600</v>
      </c>
      <c r="R80" s="284">
        <v>0.13500000000000001</v>
      </c>
      <c r="T80" s="283">
        <f>Table1[[#This Row],[h_hargasetelahdiskon]]</f>
        <v>2553480</v>
      </c>
      <c r="W80" s="287">
        <f ca="1">IF(Table1[[#This Row],[Item Description]]="","",IF(Table1[[#This Row],[//]]="",INDIRECT(ADDRESS(ROW()-1,COLUMN())),Table1[[#This Row],[//]]))</f>
        <v>79</v>
      </c>
      <c r="X80" s="287">
        <f ca="1">IF(Table1[[#This Row],[h_id]]="","",COUNTIF(Table1[h_id],Table1[[#This Row],[h_id]]))</f>
        <v>2</v>
      </c>
      <c r="Y80" s="283">
        <f>IF(Table1[Item Description]="","",Table1[[#This Row],[Qty]]*Table1[[#This Row],[Unit Price]])</f>
        <v>2952000</v>
      </c>
      <c r="Z80" s="283">
        <f>IF(Table1[[#This Row],[h_hargasebelumdiskon]]="","",IF(Table1[[#This Row],[Disc 1]]="",0,Table1[[#This Row],[h_hargasebelumdiskon]]*Table1[[#This Row],[Disc 1]]))</f>
        <v>398520</v>
      </c>
      <c r="AA80" s="283">
        <f>IF(Table1[[#This Row],[h_hargasebelumdiskon]]="","",IF(Table1[[#This Row],[Disc 2]]="",0,(Table1[[#This Row],[h_hargasebelumdiskon]]-Table1[[#This Row],[h_disc 1]])*Table1[[#This Row],[Disc 2]]))</f>
        <v>0</v>
      </c>
      <c r="AB80" s="283">
        <f>IF(Table1[Item Description]="","",Table1[[#This Row],[h_disc 1]]+Table1[[#This Row],[h_disc 2]])</f>
        <v>398520</v>
      </c>
      <c r="AC80" s="283">
        <f>IF(Table1[Item Description]="","",Table1[[#This Row],[h_hargasebelumdiskon]]-Table1[[#This Row],[h_diskon]])</f>
        <v>2553480</v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>CUTTER 18 MM KENKO L-500 (BESAR)LSN147600</v>
      </c>
    </row>
    <row r="81" spans="1:32" x14ac:dyDescent="0.25">
      <c r="A81" s="287" t="str">
        <f ca="1">IF(Table1[[#This Row],[No. Invoice :]]="","",ROW())</f>
        <v/>
      </c>
      <c r="B81" s="287" t="str">
        <f ca="1">IF(Table1[Column3]="","",B$1+COUNT(INDIRECT("B$2:B"&amp;ROW()-1)))</f>
        <v/>
      </c>
      <c r="C81" s="281" t="str">
        <f>IF(Table1[[#This Row],[Column2]]="","",Table1[[#This Row],[Column2]]+C$1-1)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Row],[Column3]])," ",Table1[[#This Row],[Column4]])</f>
        <v xml:space="preserve"> </v>
      </c>
      <c r="J81" s="287" t="str">
        <f>IF(Table1[[#This Row],[Column5]]="","",INDEX(Table2[e],IF(Table1[[#This Row],[Column5]]="","",MATCH(Table1[[#This Row],[Column5]],Table2[a],0)),))</f>
        <v/>
      </c>
      <c r="O81" s="287" t="str">
        <f>IF(Table1[[#This Row],[h_Item Description]]="","",INDEX([1]!db[NB PAJAK],MATCH(Table1[[#This Row],[h_Item Description]],[1]!db[kode],0)))</f>
        <v/>
      </c>
      <c r="Q81" s="283"/>
      <c r="R81" s="284"/>
      <c r="T81" s="283" t="str">
        <f>Table1[[#This Row],[h_hargasetelahdiskon]]</f>
        <v/>
      </c>
      <c r="W81" s="287" t="str">
        <f ca="1">IF(Table1[[#This Row],[Item Description]]="","",IF(Table1[[#This Row],[//]]="",INDIRECT(ADDRESS(ROW()-1,COLUMN())),Table1[[#This Row],[//]]))</f>
        <v/>
      </c>
      <c r="X81" s="287" t="str">
        <f ca="1">IF(Table1[[#This Row],[h_id]]="","",COUNTIF(Table1[h_id],Table1[[#This Row],[h_id]]))</f>
        <v/>
      </c>
      <c r="Y81" s="283" t="str">
        <f>IF(Table1[Item Description]="","",Table1[[#This Row],[Qty]]*Table1[[#This Row],[Unit Price]])</f>
        <v/>
      </c>
      <c r="Z81" s="283" t="str">
        <f>IF(Table1[[#This Row],[h_hargasebelumdiskon]]="","",IF(Table1[[#This Row],[Disc 1]]="",0,Table1[[#This Row],[h_hargasebelumdiskon]]*Table1[[#This Row],[Disc 1]]))</f>
        <v/>
      </c>
      <c r="AA81" s="283" t="str">
        <f>IF(Table1[[#This Row],[h_hargasebelumdiskon]]="","",IF(Table1[[#This Row],[Disc 2]]="",0,(Table1[[#This Row],[h_hargasebelumdiskon]]-Table1[[#This Row],[h_disc 1]])*Table1[[#This Row],[Disc 2]]))</f>
        <v/>
      </c>
      <c r="AB81" s="283" t="str">
        <f>IF(Table1[Item Description]="","",Table1[[#This Row],[h_disc 1]]+Table1[[#This Row],[h_disc 2]])</f>
        <v/>
      </c>
      <c r="AC81" s="283" t="str">
        <f>IF(Table1[Item Description]="","",Table1[[#This Row],[h_hargasebelumdiskon]]-Table1[[#This Row],[h_diskon]])</f>
        <v/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/>
      </c>
    </row>
    <row r="82" spans="1:32" x14ac:dyDescent="0.25">
      <c r="A82" s="287">
        <f ca="1">IF(Table1[[#This Row],[No. Invoice :]]="","",ROW())</f>
        <v>82</v>
      </c>
      <c r="B82" s="287">
        <f ca="1">IF(Table1[Column3]="","",B$1+COUNT(INDIRECT("B$2:B"&amp;ROW()-1)))</f>
        <v>23090021</v>
      </c>
      <c r="C82" s="281">
        <f>IF(Table1[[#This Row],[Column2]]="","",Table1[[#This Row],[Column2]]+C$1-1)</f>
        <v>45195</v>
      </c>
      <c r="D82" s="292">
        <v>26</v>
      </c>
      <c r="E82" s="280" t="s">
        <v>143</v>
      </c>
      <c r="F82" s="282" t="s">
        <v>268</v>
      </c>
      <c r="G82" s="280" t="s">
        <v>90</v>
      </c>
      <c r="H82" s="287" t="str">
        <f ca="1">IF(Table1[[#This Row],[h_No. Invoice :]]="","",CONCATENATE("AM"," ",Table1[[#This Row],[h_No. Invoice :]]))</f>
        <v>AM 23090021</v>
      </c>
      <c r="I82" s="288" t="str">
        <f>CONCATENATE(UPPER(Table1[[#This Row],[Column3]])," ",Table1[[#This Row],[Column4]])</f>
        <v>G 3787</v>
      </c>
      <c r="J82" s="287" t="str">
        <f>IF(Table1[[#This Row],[Column5]]="","",INDEX(Table2[e],IF(Table1[[#This Row],[Column5]]="","",MATCH(Table1[[#This Row],[Column5]],Table2[a],0)),))</f>
        <v>LILY JULIAWATI (REJO AGUNG) JOMBANG</v>
      </c>
      <c r="K82" s="280">
        <v>432</v>
      </c>
      <c r="L82" s="280" t="s">
        <v>150</v>
      </c>
      <c r="M82" s="280">
        <v>3</v>
      </c>
      <c r="N82" s="280" t="s">
        <v>269</v>
      </c>
      <c r="O82" s="287" t="str">
        <f>IF(Table1[[#This Row],[h_Item Description]]="","",INDEX([1]!db[NB PAJAK],MATCH(Table1[[#This Row],[h_Item Description]],[1]!db[kode],0)))</f>
        <v>PENSIL WARNA JOYKO CP-12PB (PANJANG)</v>
      </c>
      <c r="P82" s="280" t="s">
        <v>270</v>
      </c>
      <c r="Q82" s="283">
        <v>10600</v>
      </c>
      <c r="R82" s="284">
        <v>0.125</v>
      </c>
      <c r="T82" s="283">
        <f>Table1[[#This Row],[h_hargasetelahdiskon]]</f>
        <v>4006800</v>
      </c>
      <c r="U82" s="283" t="s">
        <v>234</v>
      </c>
      <c r="W82" s="287">
        <f ca="1">IF(Table1[[#This Row],[Item Description]]="","",IF(Table1[[#This Row],[//]]="",INDIRECT(ADDRESS(ROW()-1,COLUMN())),Table1[[#This Row],[//]]))</f>
        <v>82</v>
      </c>
      <c r="X82" s="287">
        <f ca="1">IF(Table1[[#This Row],[h_id]]="","",COUNTIF(Table1[h_id],Table1[[#This Row],[h_id]]))</f>
        <v>1</v>
      </c>
      <c r="Y82" s="283">
        <f>IF(Table1[Item Description]="","",Table1[[#This Row],[Qty]]*Table1[[#This Row],[Unit Price]])</f>
        <v>4579200</v>
      </c>
      <c r="Z82" s="283">
        <f>IF(Table1[[#This Row],[h_hargasebelumdiskon]]="","",IF(Table1[[#This Row],[Disc 1]]="",0,Table1[[#This Row],[h_hargasebelumdiskon]]*Table1[[#This Row],[Disc 1]]))</f>
        <v>572400</v>
      </c>
      <c r="AA82" s="283">
        <f>IF(Table1[[#This Row],[h_hargasebelumdiskon]]="","",IF(Table1[[#This Row],[Disc 2]]="",0,(Table1[[#This Row],[h_hargasebelumdiskon]]-Table1[[#This Row],[h_disc 1]])*Table1[[#This Row],[Disc 2]]))</f>
        <v>0</v>
      </c>
      <c r="AB82" s="283">
        <f>IF(Table1[Item Description]="","",Table1[[#This Row],[h_disc 1]]+Table1[[#This Row],[h_disc 2]])</f>
        <v>572400</v>
      </c>
      <c r="AC82" s="283">
        <f>IF(Table1[Item Description]="","",Table1[[#This Row],[h_hargasebelumdiskon]]-Table1[[#This Row],[h_diskon]])</f>
        <v>4006800</v>
      </c>
      <c r="AD82" s="283">
        <f ca="1">IF(Table1[//]="","",SUMIF(Table1[h_id],Table1[h_id],Table1[h_hargasetelahdiskon]))</f>
        <v>4006800</v>
      </c>
      <c r="AE82" s="283"/>
      <c r="AF82" s="283" t="str">
        <f>Table1[[#This Row],[Item Description]]&amp;Table1[[#This Row],[Unit]]&amp;Table1[[#This Row],[Unit Price]]</f>
        <v>PENSIL WARNA JOYKO CP-12PB (PANJANG)PCS10600</v>
      </c>
    </row>
    <row r="83" spans="1:32" x14ac:dyDescent="0.25">
      <c r="A83" s="287" t="str">
        <f ca="1">IF(Table1[[#This Row],[No. Invoice :]]="","",ROW())</f>
        <v/>
      </c>
      <c r="B83" s="287" t="str">
        <f ca="1">IF(Table1[Column3]="","",B$1+COUNT(INDIRECT("B$2:B"&amp;ROW()-1)))</f>
        <v/>
      </c>
      <c r="C83" s="281" t="str">
        <f>IF(Table1[[#This Row],[Column2]]="","",Table1[[#This Row],[Column2]]+C$1-1)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Row],[Column3]])," ",Table1[[#This Row],[Column4]])</f>
        <v xml:space="preserve"> </v>
      </c>
      <c r="J83" s="287" t="str">
        <f>IF(Table1[[#This Row],[Column5]]="","",INDEX(Table2[e],IF(Table1[[#This Row],[Column5]]="","",MATCH(Table1[[#This Row],[Column5]],Table2[a],0)),))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>
        <f ca="1">IF(Table1[[#This Row],[No. Invoice :]]="","",ROW())</f>
        <v>84</v>
      </c>
      <c r="B84" s="287">
        <f ca="1">IF(Table1[Column3]="","",B$1+COUNT(INDIRECT("B$2:B"&amp;ROW()-1)))</f>
        <v>23090022</v>
      </c>
      <c r="C84" s="281">
        <f>IF(Table1[[#This Row],[Column2]]="","",Table1[[#This Row],[Column2]]+C$1-1)</f>
        <v>45195</v>
      </c>
      <c r="D84" s="292">
        <v>26</v>
      </c>
      <c r="E84" s="280" t="s">
        <v>130</v>
      </c>
      <c r="F84" s="282" t="s">
        <v>271</v>
      </c>
      <c r="G84" s="280" t="s">
        <v>72</v>
      </c>
      <c r="H84" s="287" t="str">
        <f ca="1">IF(Table1[[#This Row],[h_No. Invoice :]]="","",CONCATENATE("AM"," ",Table1[[#This Row],[h_No. Invoice :]]))</f>
        <v>AM 23090022</v>
      </c>
      <c r="I84" s="288" t="str">
        <f>CONCATENATE(UPPER(Table1[[#This Row],[Column3]])," ",Table1[[#This Row],[Column4]])</f>
        <v>KO 3828</v>
      </c>
      <c r="J84" s="287" t="str">
        <f>IF(Table1[[#This Row],[Column5]]="","",INDEX(Table2[e],IF(Table1[[#This Row],[Column5]]="","",MATCH(Table1[[#This Row],[Column5]],Table2[a],0)),))</f>
        <v>CV SINAR CAHAYA NIRMALA BREBES</v>
      </c>
      <c r="K84" s="280">
        <v>3</v>
      </c>
      <c r="L84" s="280" t="s">
        <v>132</v>
      </c>
      <c r="N84" s="280" t="s">
        <v>280</v>
      </c>
      <c r="O84" s="287" t="str">
        <f>IF(Table1[[#This Row],[h_Item Description]]="","",INDEX([1]!db[NB PAJAK],MATCH(Table1[[#This Row],[h_Item Description]],[1]!db[kode],0)))</f>
        <v>GEL PEN JOYKO GP-243 WHIZ GEL HITAM</v>
      </c>
      <c r="P84" s="280" t="s">
        <v>292</v>
      </c>
      <c r="Q84" s="283">
        <v>24600</v>
      </c>
      <c r="R84" s="284">
        <v>0.1</v>
      </c>
      <c r="T84" s="283">
        <f>Table1[[#This Row],[h_hargasetelahdiskon]]</f>
        <v>66420</v>
      </c>
      <c r="U84" s="283" t="s">
        <v>234</v>
      </c>
      <c r="W84" s="287">
        <f ca="1">IF(Table1[[#This Row],[Item Description]]="","",IF(Table1[[#This Row],[//]]="",INDIRECT(ADDRESS(ROW()-1,COLUMN())),Table1[[#This Row],[//]]))</f>
        <v>84</v>
      </c>
      <c r="X84" s="287">
        <f ca="1">IF(Table1[[#This Row],[h_id]]="","",COUNTIF(Table1[h_id],Table1[[#This Row],[h_id]]))</f>
        <v>13</v>
      </c>
      <c r="Y84" s="283">
        <f>IF(Table1[Item Description]="","",Table1[[#This Row],[Qty]]*Table1[[#This Row],[Unit Price]])</f>
        <v>73800</v>
      </c>
      <c r="Z84" s="283">
        <f>IF(Table1[[#This Row],[h_hargasebelumdiskon]]="","",IF(Table1[[#This Row],[Disc 1]]="",0,Table1[[#This Row],[h_hargasebelumdiskon]]*Table1[[#This Row],[Disc 1]]))</f>
        <v>7380</v>
      </c>
      <c r="AA84" s="283">
        <f>IF(Table1[[#This Row],[h_hargasebelumdiskon]]="","",IF(Table1[[#This Row],[Disc 2]]="",0,(Table1[[#This Row],[h_hargasebelumdiskon]]-Table1[[#This Row],[h_disc 1]])*Table1[[#This Row],[Disc 2]]))</f>
        <v>0</v>
      </c>
      <c r="AB84" s="283">
        <f>IF(Table1[Item Description]="","",Table1[[#This Row],[h_disc 1]]+Table1[[#This Row],[h_disc 2]])</f>
        <v>7380</v>
      </c>
      <c r="AC84" s="283">
        <f>IF(Table1[Item Description]="","",Table1[[#This Row],[h_hargasebelumdiskon]]-Table1[[#This Row],[h_diskon]])</f>
        <v>66420</v>
      </c>
      <c r="AD84" s="283">
        <f ca="1">IF(Table1[//]="","",SUMIF(Table1[h_id],Table1[h_id],Table1[h_hargasetelahdiskon]))</f>
        <v>1725035</v>
      </c>
      <c r="AE84" s="283"/>
      <c r="AF84" s="283" t="str">
        <f>Table1[[#This Row],[Item Description]]&amp;Table1[[#This Row],[Unit]]&amp;Table1[[#This Row],[Unit Price]]</f>
        <v>GEL PEN JOYKO GP-243 WHIZ GELLSN24600</v>
      </c>
    </row>
    <row r="85" spans="1:32" x14ac:dyDescent="0.25">
      <c r="A85" s="287" t="str">
        <f ca="1">IF(Table1[[#This Row],[No. Invoice :]]="","",ROW())</f>
        <v/>
      </c>
      <c r="B85" s="287" t="str">
        <f ca="1">IF(Table1[Column3]="","",B$1+COUNT(INDIRECT("B$2:B"&amp;ROW()-1)))</f>
        <v/>
      </c>
      <c r="C85" s="281" t="str">
        <f>IF(Table1[[#This Row],[Column2]]="","",Table1[[#This Row],[Column2]]+C$1-1)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Row],[Column3]])," ",Table1[[#This Row],[Column4]])</f>
        <v xml:space="preserve"> </v>
      </c>
      <c r="J85" s="287" t="str">
        <f>IF(Table1[[#This Row],[Column5]]="","",INDEX(Table2[e],IF(Table1[[#This Row],[Column5]]="","",MATCH(Table1[[#This Row],[Column5]],Table2[a],0)),))</f>
        <v/>
      </c>
      <c r="K85" s="280">
        <v>6</v>
      </c>
      <c r="L85" s="280" t="s">
        <v>132</v>
      </c>
      <c r="N85" s="280" t="s">
        <v>281</v>
      </c>
      <c r="O85" s="287" t="str">
        <f>IF(Table1[[#This Row],[h_Item Description]]="","",INDEX([1]!db[NB PAJAK],MATCH(Table1[[#This Row],[h_Item Description]],[1]!db[kode],0)))</f>
        <v>BALLPEN JOYKO BP-349-12 VOKUS TRANS HITAM (BONUS)</v>
      </c>
      <c r="P85" s="280" t="s">
        <v>293</v>
      </c>
      <c r="Q85" s="283">
        <v>13200</v>
      </c>
      <c r="R85" s="284">
        <v>0.1</v>
      </c>
      <c r="T85" s="283">
        <f>Table1[[#This Row],[h_hargasetelahdiskon]]</f>
        <v>71280</v>
      </c>
      <c r="W85" s="287">
        <f ca="1">IF(Table1[[#This Row],[Item Description]]="","",IF(Table1[[#This Row],[//]]="",INDIRECT(ADDRESS(ROW()-1,COLUMN())),Table1[[#This Row],[//]]))</f>
        <v>84</v>
      </c>
      <c r="X85" s="287">
        <f ca="1">IF(Table1[[#This Row],[h_id]]="","",COUNTIF(Table1[h_id],Table1[[#This Row],[h_id]]))</f>
        <v>13</v>
      </c>
      <c r="Y85" s="283">
        <f>IF(Table1[Item Description]="","",Table1[[#This Row],[Qty]]*Table1[[#This Row],[Unit Price]])</f>
        <v>79200</v>
      </c>
      <c r="Z85" s="283">
        <f>IF(Table1[[#This Row],[h_hargasebelumdiskon]]="","",IF(Table1[[#This Row],[Disc 1]]="",0,Table1[[#This Row],[h_hargasebelumdiskon]]*Table1[[#This Row],[Disc 1]]))</f>
        <v>7920</v>
      </c>
      <c r="AA85" s="283">
        <f>IF(Table1[[#This Row],[h_hargasebelumdiskon]]="","",IF(Table1[[#This Row],[Disc 2]]="",0,(Table1[[#This Row],[h_hargasebelumdiskon]]-Table1[[#This Row],[h_disc 1]])*Table1[[#This Row],[Disc 2]]))</f>
        <v>0</v>
      </c>
      <c r="AB85" s="283">
        <f>IF(Table1[Item Description]="","",Table1[[#This Row],[h_disc 1]]+Table1[[#This Row],[h_disc 2]])</f>
        <v>7920</v>
      </c>
      <c r="AC85" s="283">
        <f>IF(Table1[Item Description]="","",Table1[[#This Row],[h_hargasebelumdiskon]]-Table1[[#This Row],[h_diskon]])</f>
        <v>71280</v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>BALLPEN JOYKO BP-349-12 VOKUS TRANSLSN13200</v>
      </c>
    </row>
    <row r="86" spans="1:32" x14ac:dyDescent="0.25">
      <c r="A86" s="287" t="str">
        <f ca="1">IF(Table1[[#This Row],[No. Invoice :]]="","",ROW())</f>
        <v/>
      </c>
      <c r="B86" s="287" t="str">
        <f ca="1">IF(Table1[Column3]="","",B$1+COUNT(INDIRECT("B$2:B"&amp;ROW()-1)))</f>
        <v/>
      </c>
      <c r="C86" s="281" t="str">
        <f>IF(Table1[[#This Row],[Column2]]="","",Table1[[#This Row],[Column2]]+C$1-1)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Row],[Column3]])," ",Table1[[#This Row],[Column4]])</f>
        <v xml:space="preserve"> </v>
      </c>
      <c r="J86" s="287" t="str">
        <f>IF(Table1[[#This Row],[Column5]]="","",INDEX(Table2[e],IF(Table1[[#This Row],[Column5]]="","",MATCH(Table1[[#This Row],[Column5]],Table2[a],0)),))</f>
        <v/>
      </c>
      <c r="K86" s="280">
        <v>2</v>
      </c>
      <c r="L86" s="280" t="s">
        <v>237</v>
      </c>
      <c r="N86" s="280" t="s">
        <v>272</v>
      </c>
      <c r="O86" s="287" t="str">
        <f>IF(Table1[[#This Row],[h_Item Description]]="","",INDEX([1]!db[NB PAJAK],MATCH(Table1[[#This Row],[h_Item Description]],[1]!db[kode],0)))</f>
        <v>BINDER CLIP KENKO NO. 107</v>
      </c>
      <c r="P86" s="280" t="s">
        <v>285</v>
      </c>
      <c r="Q86" s="283">
        <v>31800</v>
      </c>
      <c r="R86" s="284">
        <v>0.1</v>
      </c>
      <c r="T86" s="283">
        <f>Table1[[#This Row],[h_hargasetelahdiskon]]</f>
        <v>57240</v>
      </c>
      <c r="W86" s="287">
        <f ca="1">IF(Table1[[#This Row],[Item Description]]="","",IF(Table1[[#This Row],[//]]="",INDIRECT(ADDRESS(ROW()-1,COLUMN())),Table1[[#This Row],[//]]))</f>
        <v>84</v>
      </c>
      <c r="X86" s="287">
        <f ca="1">IF(Table1[[#This Row],[h_id]]="","",COUNTIF(Table1[h_id],Table1[[#This Row],[h_id]]))</f>
        <v>13</v>
      </c>
      <c r="Y86" s="283">
        <f>IF(Table1[Item Description]="","",Table1[[#This Row],[Qty]]*Table1[[#This Row],[Unit Price]])</f>
        <v>63600</v>
      </c>
      <c r="Z86" s="283">
        <f>IF(Table1[[#This Row],[h_hargasebelumdiskon]]="","",IF(Table1[[#This Row],[Disc 1]]="",0,Table1[[#This Row],[h_hargasebelumdiskon]]*Table1[[#This Row],[Disc 1]]))</f>
        <v>6360</v>
      </c>
      <c r="AA86" s="283">
        <f>IF(Table1[[#This Row],[h_hargasebelumdiskon]]="","",IF(Table1[[#This Row],[Disc 2]]="",0,(Table1[[#This Row],[h_hargasebelumdiskon]]-Table1[[#This Row],[h_disc 1]])*Table1[[#This Row],[Disc 2]]))</f>
        <v>0</v>
      </c>
      <c r="AB86" s="283">
        <f>IF(Table1[Item Description]="","",Table1[[#This Row],[h_disc 1]]+Table1[[#This Row],[h_disc 2]])</f>
        <v>6360</v>
      </c>
      <c r="AC86" s="283">
        <f>IF(Table1[Item Description]="","",Table1[[#This Row],[h_hargasebelumdiskon]]-Table1[[#This Row],[h_diskon]])</f>
        <v>57240</v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>BINDER CLIP KENKO NO. 107GRS31800</v>
      </c>
    </row>
    <row r="87" spans="1:32" x14ac:dyDescent="0.25">
      <c r="A87" s="287" t="str">
        <f ca="1">IF(Table1[[#This Row],[No. Invoice :]]="","",ROW())</f>
        <v/>
      </c>
      <c r="B87" s="287" t="str">
        <f ca="1">IF(Table1[Column3]="","",B$1+COUNT(INDIRECT("B$2:B"&amp;ROW()-1)))</f>
        <v/>
      </c>
      <c r="C87" s="281" t="str">
        <f>IF(Table1[[#This Row],[Column2]]="","",Table1[[#This Row],[Column2]]+C$1-1)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Row],[Column3]])," ",Table1[[#This Row],[Column4]])</f>
        <v xml:space="preserve"> </v>
      </c>
      <c r="J87" s="287" t="str">
        <f>IF(Table1[[#This Row],[Column5]]="","",INDEX(Table2[e],IF(Table1[[#This Row],[Column5]]="","",MATCH(Table1[[#This Row],[Column5]],Table2[a],0)),))</f>
        <v/>
      </c>
      <c r="K87" s="280">
        <v>2</v>
      </c>
      <c r="L87" s="280" t="s">
        <v>237</v>
      </c>
      <c r="M87" s="280" t="s">
        <v>273</v>
      </c>
      <c r="N87" s="280" t="s">
        <v>274</v>
      </c>
      <c r="O87" s="287" t="str">
        <f>IF(Table1[[#This Row],[h_Item Description]]="","",INDEX([1]!db[NB PAJAK],MATCH(Table1[[#This Row],[h_Item Description]],[1]!db[kode],0)))</f>
        <v>BINDER CLIP KENKO NO. 111</v>
      </c>
      <c r="P87" s="280" t="s">
        <v>286</v>
      </c>
      <c r="Q87" s="283">
        <v>49200</v>
      </c>
      <c r="R87" s="284">
        <v>0.1</v>
      </c>
      <c r="T87" s="283">
        <f>Table1[[#This Row],[h_hargasetelahdiskon]]</f>
        <v>88560</v>
      </c>
      <c r="W87" s="287">
        <f ca="1">IF(Table1[[#This Row],[Item Description]]="","",IF(Table1[[#This Row],[//]]="",INDIRECT(ADDRESS(ROW()-1,COLUMN())),Table1[[#This Row],[//]]))</f>
        <v>84</v>
      </c>
      <c r="X87" s="287">
        <f ca="1">IF(Table1[[#This Row],[h_id]]="","",COUNTIF(Table1[h_id],Table1[[#This Row],[h_id]]))</f>
        <v>13</v>
      </c>
      <c r="Y87" s="283">
        <f>IF(Table1[Item Description]="","",Table1[[#This Row],[Qty]]*Table1[[#This Row],[Unit Price]])</f>
        <v>98400</v>
      </c>
      <c r="Z87" s="283">
        <f>IF(Table1[[#This Row],[h_hargasebelumdiskon]]="","",IF(Table1[[#This Row],[Disc 1]]="",0,Table1[[#This Row],[h_hargasebelumdiskon]]*Table1[[#This Row],[Disc 1]]))</f>
        <v>9840</v>
      </c>
      <c r="AA87" s="283">
        <f>IF(Table1[[#This Row],[h_hargasebelumdiskon]]="","",IF(Table1[[#This Row],[Disc 2]]="",0,(Table1[[#This Row],[h_hargasebelumdiskon]]-Table1[[#This Row],[h_disc 1]])*Table1[[#This Row],[Disc 2]]))</f>
        <v>0</v>
      </c>
      <c r="AB87" s="283">
        <f>IF(Table1[Item Description]="","",Table1[[#This Row],[h_disc 1]]+Table1[[#This Row],[h_disc 2]])</f>
        <v>9840</v>
      </c>
      <c r="AC87" s="283">
        <f>IF(Table1[Item Description]="","",Table1[[#This Row],[h_hargasebelumdiskon]]-Table1[[#This Row],[h_diskon]])</f>
        <v>88560</v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>BINDER CLIP KENKO NO. 111GRS49200</v>
      </c>
    </row>
    <row r="88" spans="1:32" x14ac:dyDescent="0.25">
      <c r="A88" s="287" t="str">
        <f ca="1">IF(Table1[[#This Row],[No. Invoice :]]="","",ROW())</f>
        <v/>
      </c>
      <c r="B88" s="287" t="str">
        <f ca="1">IF(Table1[Column3]="","",B$1+COUNT(INDIRECT("B$2:B"&amp;ROW()-1)))</f>
        <v/>
      </c>
      <c r="C88" s="281" t="str">
        <f>IF(Table1[[#This Row],[Column2]]="","",Table1[[#This Row],[Column2]]+C$1-1)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Row],[Column3]])," ",Table1[[#This Row],[Column4]])</f>
        <v xml:space="preserve"> </v>
      </c>
      <c r="J88" s="287" t="str">
        <f>IF(Table1[[#This Row],[Column5]]="","",INDEX(Table2[e],IF(Table1[[#This Row],[Column5]]="","",MATCH(Table1[[#This Row],[Column5]],Table2[a],0)),))</f>
        <v/>
      </c>
      <c r="K88" s="280">
        <v>2</v>
      </c>
      <c r="L88" s="280" t="s">
        <v>237</v>
      </c>
      <c r="N88" s="280" t="s">
        <v>275</v>
      </c>
      <c r="O88" s="287" t="str">
        <f>IF(Table1[[#This Row],[h_Item Description]]="","",INDEX([1]!db[NB PAJAK],MATCH(Table1[[#This Row],[h_Item Description]],[1]!db[kode],0)))</f>
        <v>BINDER CLIP KENKO NO. 200</v>
      </c>
      <c r="P88" s="280" t="s">
        <v>287</v>
      </c>
      <c r="Q88" s="283">
        <v>120000</v>
      </c>
      <c r="R88" s="284">
        <v>0.1</v>
      </c>
      <c r="T88" s="283">
        <f>Table1[[#This Row],[h_hargasetelahdiskon]]</f>
        <v>216000</v>
      </c>
      <c r="W88" s="287">
        <f ca="1">IF(Table1[[#This Row],[Item Description]]="","",IF(Table1[[#This Row],[//]]="",INDIRECT(ADDRESS(ROW()-1,COLUMN())),Table1[[#This Row],[//]]))</f>
        <v>84</v>
      </c>
      <c r="X88" s="287">
        <f ca="1">IF(Table1[[#This Row],[h_id]]="","",COUNTIF(Table1[h_id],Table1[[#This Row],[h_id]]))</f>
        <v>13</v>
      </c>
      <c r="Y88" s="283">
        <f>IF(Table1[Item Description]="","",Table1[[#This Row],[Qty]]*Table1[[#This Row],[Unit Price]])</f>
        <v>240000</v>
      </c>
      <c r="Z88" s="283">
        <f>IF(Table1[[#This Row],[h_hargasebelumdiskon]]="","",IF(Table1[[#This Row],[Disc 1]]="",0,Table1[[#This Row],[h_hargasebelumdiskon]]*Table1[[#This Row],[Disc 1]]))</f>
        <v>24000</v>
      </c>
      <c r="AA88" s="283">
        <f>IF(Table1[[#This Row],[h_hargasebelumdiskon]]="","",IF(Table1[[#This Row],[Disc 2]]="",0,(Table1[[#This Row],[h_hargasebelumdiskon]]-Table1[[#This Row],[h_disc 1]])*Table1[[#This Row],[Disc 2]]))</f>
        <v>0</v>
      </c>
      <c r="AB88" s="283">
        <f>IF(Table1[Item Description]="","",Table1[[#This Row],[h_disc 1]]+Table1[[#This Row],[h_disc 2]])</f>
        <v>24000</v>
      </c>
      <c r="AC88" s="283">
        <f>IF(Table1[Item Description]="","",Table1[[#This Row],[h_hargasebelumdiskon]]-Table1[[#This Row],[h_diskon]])</f>
        <v>216000</v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>BINDER CLIP KENKO NO. 200GRS120000</v>
      </c>
    </row>
    <row r="89" spans="1:32" x14ac:dyDescent="0.25">
      <c r="A89" s="287" t="str">
        <f ca="1">IF(Table1[[#This Row],[No. Invoice :]]="","",ROW())</f>
        <v/>
      </c>
      <c r="B89" s="287" t="str">
        <f ca="1">IF(Table1[Column3]="","",B$1+COUNT(INDIRECT("B$2:B"&amp;ROW()-1)))</f>
        <v/>
      </c>
      <c r="C89" s="281" t="str">
        <f>IF(Table1[[#This Row],[Column2]]="","",Table1[[#This Row],[Column2]]+C$1-1)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Row],[Column3]])," ",Table1[[#This Row],[Column4]])</f>
        <v xml:space="preserve"> </v>
      </c>
      <c r="J89" s="287" t="str">
        <f>IF(Table1[[#This Row],[Column5]]="","",INDEX(Table2[e],IF(Table1[[#This Row],[Column5]]="","",MATCH(Table1[[#This Row],[Column5]],Table2[a],0)),))</f>
        <v/>
      </c>
      <c r="K89" s="280">
        <v>3</v>
      </c>
      <c r="L89" s="280" t="s">
        <v>132</v>
      </c>
      <c r="N89" s="280" t="s">
        <v>221</v>
      </c>
      <c r="O89" s="287" t="str">
        <f>IF(Table1[[#This Row],[h_Item Description]]="","",INDEX([1]!db[NB PAJAK],MATCH(Table1[[#This Row],[h_Item Description]],[1]!db[kode],0)))</f>
        <v>LEM CAIR 35 ML KENKO LG-35</v>
      </c>
      <c r="P89" s="280" t="s">
        <v>222</v>
      </c>
      <c r="Q89" s="283">
        <v>19800</v>
      </c>
      <c r="R89" s="284">
        <v>0.1</v>
      </c>
      <c r="T89" s="283">
        <f>Table1[[#This Row],[h_hargasetelahdiskon]]</f>
        <v>53460</v>
      </c>
      <c r="W89" s="287">
        <f ca="1">IF(Table1[[#This Row],[Item Description]]="","",IF(Table1[[#This Row],[//]]="",INDIRECT(ADDRESS(ROW()-1,COLUMN())),Table1[[#This Row],[//]]))</f>
        <v>84</v>
      </c>
      <c r="X89" s="287">
        <f ca="1">IF(Table1[[#This Row],[h_id]]="","",COUNTIF(Table1[h_id],Table1[[#This Row],[h_id]]))</f>
        <v>13</v>
      </c>
      <c r="Y89" s="283">
        <f>IF(Table1[Item Description]="","",Table1[[#This Row],[Qty]]*Table1[[#This Row],[Unit Price]])</f>
        <v>59400</v>
      </c>
      <c r="Z89" s="283">
        <f>IF(Table1[[#This Row],[h_hargasebelumdiskon]]="","",IF(Table1[[#This Row],[Disc 1]]="",0,Table1[[#This Row],[h_hargasebelumdiskon]]*Table1[[#This Row],[Disc 1]]))</f>
        <v>5940</v>
      </c>
      <c r="AA89" s="283">
        <f>IF(Table1[[#This Row],[h_hargasebelumdiskon]]="","",IF(Table1[[#This Row],[Disc 2]]="",0,(Table1[[#This Row],[h_hargasebelumdiskon]]-Table1[[#This Row],[h_disc 1]])*Table1[[#This Row],[Disc 2]]))</f>
        <v>0</v>
      </c>
      <c r="AB89" s="283">
        <f>IF(Table1[Item Description]="","",Table1[[#This Row],[h_disc 1]]+Table1[[#This Row],[h_disc 2]])</f>
        <v>5940</v>
      </c>
      <c r="AC89" s="283">
        <f>IF(Table1[Item Description]="","",Table1[[#This Row],[h_hargasebelumdiskon]]-Table1[[#This Row],[h_diskon]])</f>
        <v>53460</v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>LEM CAIR 35 ML KENKO LG-35LSN19800</v>
      </c>
    </row>
    <row r="90" spans="1:32" x14ac:dyDescent="0.25">
      <c r="A90" s="287" t="str">
        <f ca="1">IF(Table1[[#This Row],[No. Invoice :]]="","",ROW())</f>
        <v/>
      </c>
      <c r="B90" s="287" t="str">
        <f ca="1">IF(Table1[Column3]="","",B$1+COUNT(INDIRECT("B$2:B"&amp;ROW()-1)))</f>
        <v/>
      </c>
      <c r="C90" s="281" t="str">
        <f>IF(Table1[[#This Row],[Column2]]="","",Table1[[#This Row],[Column2]]+C$1-1)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Row],[Column3]])," ",Table1[[#This Row],[Column4]])</f>
        <v xml:space="preserve"> </v>
      </c>
      <c r="J90" s="287" t="str">
        <f>IF(Table1[[#This Row],[Column5]]="","",INDEX(Table2[e],IF(Table1[[#This Row],[Column5]]="","",MATCH(Table1[[#This Row],[Column5]],Table2[a],0)),))</f>
        <v/>
      </c>
      <c r="K90" s="280">
        <v>3</v>
      </c>
      <c r="L90" s="280" t="s">
        <v>132</v>
      </c>
      <c r="N90" s="280" t="s">
        <v>276</v>
      </c>
      <c r="O90" s="287" t="str">
        <f>IF(Table1[[#This Row],[h_Item Description]]="","",INDEX([1]!db[NB PAJAK],MATCH(Table1[[#This Row],[h_Item Description]],[1]!db[kode],0)))</f>
        <v>LEM CAIR 50 ML KENKO LG-50</v>
      </c>
      <c r="P90" s="280" t="s">
        <v>288</v>
      </c>
      <c r="Q90" s="283">
        <v>25200</v>
      </c>
      <c r="R90" s="284">
        <v>0.1</v>
      </c>
      <c r="T90" s="283">
        <f>Table1[[#This Row],[h_hargasetelahdiskon]]</f>
        <v>68040</v>
      </c>
      <c r="W90" s="287">
        <f ca="1">IF(Table1[[#This Row],[Item Description]]="","",IF(Table1[[#This Row],[//]]="",INDIRECT(ADDRESS(ROW()-1,COLUMN())),Table1[[#This Row],[//]]))</f>
        <v>84</v>
      </c>
      <c r="X90" s="287">
        <f ca="1">IF(Table1[[#This Row],[h_id]]="","",COUNTIF(Table1[h_id],Table1[[#This Row],[h_id]]))</f>
        <v>13</v>
      </c>
      <c r="Y90" s="283">
        <f>IF(Table1[Item Description]="","",Table1[[#This Row],[Qty]]*Table1[[#This Row],[Unit Price]])</f>
        <v>75600</v>
      </c>
      <c r="Z90" s="283">
        <f>IF(Table1[[#This Row],[h_hargasebelumdiskon]]="","",IF(Table1[[#This Row],[Disc 1]]="",0,Table1[[#This Row],[h_hargasebelumdiskon]]*Table1[[#This Row],[Disc 1]]))</f>
        <v>7560</v>
      </c>
      <c r="AA90" s="283">
        <f>IF(Table1[[#This Row],[h_hargasebelumdiskon]]="","",IF(Table1[[#This Row],[Disc 2]]="",0,(Table1[[#This Row],[h_hargasebelumdiskon]]-Table1[[#This Row],[h_disc 1]])*Table1[[#This Row],[Disc 2]]))</f>
        <v>0</v>
      </c>
      <c r="AB90" s="283">
        <f>IF(Table1[Item Description]="","",Table1[[#This Row],[h_disc 1]]+Table1[[#This Row],[h_disc 2]])</f>
        <v>7560</v>
      </c>
      <c r="AC90" s="283">
        <f>IF(Table1[Item Description]="","",Table1[[#This Row],[h_hargasebelumdiskon]]-Table1[[#This Row],[h_diskon]])</f>
        <v>68040</v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>LEM CAIR 50 ML KENKO LG-50LSN25200</v>
      </c>
    </row>
    <row r="91" spans="1:32" x14ac:dyDescent="0.25">
      <c r="A91" s="287" t="str">
        <f ca="1">IF(Table1[[#This Row],[No. Invoice :]]="","",ROW())</f>
        <v/>
      </c>
      <c r="B91" s="287" t="str">
        <f ca="1">IF(Table1[Column3]="","",B$1+COUNT(INDIRECT("B$2:B"&amp;ROW()-1)))</f>
        <v/>
      </c>
      <c r="C91" s="281" t="str">
        <f>IF(Table1[[#This Row],[Column2]]="","",Table1[[#This Row],[Column2]]+C$1-1)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Row],[Column3]])," ",Table1[[#This Row],[Column4]])</f>
        <v xml:space="preserve"> </v>
      </c>
      <c r="J91" s="287" t="str">
        <f>IF(Table1[[#This Row],[Column5]]="","",INDEX(Table2[e],IF(Table1[[#This Row],[Column5]]="","",MATCH(Table1[[#This Row],[Column5]],Table2[a],0)),))</f>
        <v/>
      </c>
      <c r="K91" s="280">
        <v>2</v>
      </c>
      <c r="L91" s="280" t="s">
        <v>186</v>
      </c>
      <c r="N91" s="280" t="s">
        <v>277</v>
      </c>
      <c r="O91" s="287" t="str">
        <f>IF(Table1[[#This Row],[h_Item Description]]="","",INDEX([1]!db[NB PAJAK],MATCH(Table1[[#This Row],[h_Item Description]],[1]!db[kode],0)))</f>
        <v>STIP / PENGHAPUS JOYKO 526-B40BL HITAM</v>
      </c>
      <c r="P91" s="280" t="s">
        <v>210</v>
      </c>
      <c r="Q91" s="283">
        <v>28300</v>
      </c>
      <c r="R91" s="284">
        <v>0.1</v>
      </c>
      <c r="T91" s="283">
        <f>Table1[[#This Row],[h_hargasetelahdiskon]]</f>
        <v>50940</v>
      </c>
      <c r="W91" s="287">
        <f ca="1">IF(Table1[[#This Row],[Item Description]]="","",IF(Table1[[#This Row],[//]]="",INDIRECT(ADDRESS(ROW()-1,COLUMN())),Table1[[#This Row],[//]]))</f>
        <v>84</v>
      </c>
      <c r="X91" s="287">
        <f ca="1">IF(Table1[[#This Row],[h_id]]="","",COUNTIF(Table1[h_id],Table1[[#This Row],[h_id]]))</f>
        <v>13</v>
      </c>
      <c r="Y91" s="283">
        <f>IF(Table1[Item Description]="","",Table1[[#This Row],[Qty]]*Table1[[#This Row],[Unit Price]])</f>
        <v>56600</v>
      </c>
      <c r="Z91" s="283">
        <f>IF(Table1[[#This Row],[h_hargasebelumdiskon]]="","",IF(Table1[[#This Row],[Disc 1]]="",0,Table1[[#This Row],[h_hargasebelumdiskon]]*Table1[[#This Row],[Disc 1]]))</f>
        <v>5660</v>
      </c>
      <c r="AA91" s="283">
        <f>IF(Table1[[#This Row],[h_hargasebelumdiskon]]="","",IF(Table1[[#This Row],[Disc 2]]="",0,(Table1[[#This Row],[h_hargasebelumdiskon]]-Table1[[#This Row],[h_disc 1]])*Table1[[#This Row],[Disc 2]]))</f>
        <v>0</v>
      </c>
      <c r="AB91" s="283">
        <f>IF(Table1[Item Description]="","",Table1[[#This Row],[h_disc 1]]+Table1[[#This Row],[h_disc 2]])</f>
        <v>5660</v>
      </c>
      <c r="AC91" s="283">
        <f>IF(Table1[Item Description]="","",Table1[[#This Row],[h_hargasebelumdiskon]]-Table1[[#This Row],[h_diskon]])</f>
        <v>50940</v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>STIP / PENGHAPUS JOYKO 526-B40BL HITAMBOX28300</v>
      </c>
    </row>
    <row r="92" spans="1:32" x14ac:dyDescent="0.25">
      <c r="A92" s="287" t="str">
        <f ca="1">IF(Table1[[#This Row],[No. Invoice :]]="","",ROW())</f>
        <v/>
      </c>
      <c r="B92" s="287" t="str">
        <f ca="1">IF(Table1[Column3]="","",B$1+COUNT(INDIRECT("B$2:B"&amp;ROW()-1)))</f>
        <v/>
      </c>
      <c r="C92" s="281" t="str">
        <f>IF(Table1[[#This Row],[Column2]]="","",Table1[[#This Row],[Column2]]+C$1-1)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Row],[Column3]])," ",Table1[[#This Row],[Column4]])</f>
        <v xml:space="preserve"> </v>
      </c>
      <c r="J92" s="287" t="str">
        <f>IF(Table1[[#This Row],[Column5]]="","",INDEX(Table2[e],IF(Table1[[#This Row],[Column5]]="","",MATCH(Table1[[#This Row],[Column5]],Table2[a],0)),))</f>
        <v/>
      </c>
      <c r="K92" s="280">
        <v>2</v>
      </c>
      <c r="L92" s="280" t="s">
        <v>186</v>
      </c>
      <c r="N92" s="280" t="s">
        <v>294</v>
      </c>
      <c r="O92" s="287" t="str">
        <f>IF(Table1[[#This Row],[h_Item Description]]="","",INDEX([1]!db[NB PAJAK],MATCH(Table1[[#This Row],[h_Item Description]],[1]!db[kode],0)))</f>
        <v>STIP / PENGHAPUS JOYKO 526-B40P PUTIH</v>
      </c>
      <c r="P92" s="280" t="s">
        <v>295</v>
      </c>
      <c r="Q92" s="283">
        <v>28300</v>
      </c>
      <c r="R92" s="284">
        <v>0.1</v>
      </c>
      <c r="T92" s="283">
        <f>Table1[[#This Row],[h_hargasetelahdiskon]]</f>
        <v>50940</v>
      </c>
      <c r="W92" s="287">
        <f ca="1">IF(Table1[[#This Row],[Item Description]]="","",IF(Table1[[#This Row],[//]]="",INDIRECT(ADDRESS(ROW()-1,COLUMN())),Table1[[#This Row],[//]]))</f>
        <v>84</v>
      </c>
      <c r="X92" s="287">
        <f ca="1">IF(Table1[[#This Row],[h_id]]="","",COUNTIF(Table1[h_id],Table1[[#This Row],[h_id]]))</f>
        <v>13</v>
      </c>
      <c r="Y92" s="283">
        <f>IF(Table1[Item Description]="","",Table1[[#This Row],[Qty]]*Table1[[#This Row],[Unit Price]])</f>
        <v>56600</v>
      </c>
      <c r="Z92" s="283">
        <f>IF(Table1[[#This Row],[h_hargasebelumdiskon]]="","",IF(Table1[[#This Row],[Disc 1]]="",0,Table1[[#This Row],[h_hargasebelumdiskon]]*Table1[[#This Row],[Disc 1]]))</f>
        <v>5660</v>
      </c>
      <c r="AA92" s="283">
        <f>IF(Table1[[#This Row],[h_hargasebelumdiskon]]="","",IF(Table1[[#This Row],[Disc 2]]="",0,(Table1[[#This Row],[h_hargasebelumdiskon]]-Table1[[#This Row],[h_disc 1]])*Table1[[#This Row],[Disc 2]]))</f>
        <v>0</v>
      </c>
      <c r="AB92" s="283">
        <f>IF(Table1[Item Description]="","",Table1[[#This Row],[h_disc 1]]+Table1[[#This Row],[h_disc 2]])</f>
        <v>5660</v>
      </c>
      <c r="AC92" s="283">
        <f>IF(Table1[Item Description]="","",Table1[[#This Row],[h_hargasebelumdiskon]]-Table1[[#This Row],[h_diskon]])</f>
        <v>50940</v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>STIP / PENGHAPUS JOYKO 526-B40P PUTIHBOX28300</v>
      </c>
    </row>
    <row r="93" spans="1:32" x14ac:dyDescent="0.25">
      <c r="A93" s="287" t="str">
        <f ca="1">IF(Table1[[#This Row],[No. Invoice :]]="","",ROW())</f>
        <v/>
      </c>
      <c r="B93" s="287" t="str">
        <f ca="1">IF(Table1[Column3]="","",B$1+COUNT(INDIRECT("B$2:B"&amp;ROW()-1)))</f>
        <v/>
      </c>
      <c r="C93" s="281" t="str">
        <f>IF(Table1[[#This Row],[Column2]]="","",Table1[[#This Row],[Column2]]+C$1-1)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Row],[Column3]])," ",Table1[[#This Row],[Column4]])</f>
        <v xml:space="preserve"> </v>
      </c>
      <c r="J93" s="287" t="str">
        <f>IF(Table1[[#This Row],[Column5]]="","",INDEX(Table2[e],IF(Table1[[#This Row],[Column5]]="","",MATCH(Table1[[#This Row],[Column5]],Table2[a],0)),))</f>
        <v/>
      </c>
      <c r="K93" s="280">
        <v>18</v>
      </c>
      <c r="L93" s="280" t="s">
        <v>137</v>
      </c>
      <c r="N93" s="280" t="s">
        <v>278</v>
      </c>
      <c r="O93" s="287" t="str">
        <f>IF(Table1[[#This Row],[h_Item Description]]="","",INDEX([1]!db[NB PAJAK],MATCH(Table1[[#This Row],[h_Item Description]],[1]!db[kode],0)))</f>
        <v>LOOSE LEAF KENKO A5-LL 50-2070</v>
      </c>
      <c r="P93" s="280" t="s">
        <v>289</v>
      </c>
      <c r="Q93" s="283">
        <v>4400</v>
      </c>
      <c r="R93" s="284">
        <v>0.1</v>
      </c>
      <c r="T93" s="283">
        <f>Table1[[#This Row],[h_hargasetelahdiskon]]</f>
        <v>71280</v>
      </c>
      <c r="W93" s="287">
        <f ca="1">IF(Table1[[#This Row],[Item Description]]="","",IF(Table1[[#This Row],[//]]="",INDIRECT(ADDRESS(ROW()-1,COLUMN())),Table1[[#This Row],[//]]))</f>
        <v>84</v>
      </c>
      <c r="X93" s="287">
        <f ca="1">IF(Table1[[#This Row],[h_id]]="","",COUNTIF(Table1[h_id],Table1[[#This Row],[h_id]]))</f>
        <v>13</v>
      </c>
      <c r="Y93" s="283">
        <f>IF(Table1[Item Description]="","",Table1[[#This Row],[Qty]]*Table1[[#This Row],[Unit Price]])</f>
        <v>79200</v>
      </c>
      <c r="Z93" s="283">
        <f>IF(Table1[[#This Row],[h_hargasebelumdiskon]]="","",IF(Table1[[#This Row],[Disc 1]]="",0,Table1[[#This Row],[h_hargasebelumdiskon]]*Table1[[#This Row],[Disc 1]]))</f>
        <v>7920</v>
      </c>
      <c r="AA93" s="283">
        <f>IF(Table1[[#This Row],[h_hargasebelumdiskon]]="","",IF(Table1[[#This Row],[Disc 2]]="",0,(Table1[[#This Row],[h_hargasebelumdiskon]]-Table1[[#This Row],[h_disc 1]])*Table1[[#This Row],[Disc 2]]))</f>
        <v>0</v>
      </c>
      <c r="AB93" s="283">
        <f>IF(Table1[Item Description]="","",Table1[[#This Row],[h_disc 1]]+Table1[[#This Row],[h_disc 2]])</f>
        <v>7920</v>
      </c>
      <c r="AC93" s="283">
        <f>IF(Table1[Item Description]="","",Table1[[#This Row],[h_hargasebelumdiskon]]-Table1[[#This Row],[h_diskon]])</f>
        <v>71280</v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>LOOSE LEAF KENKO A5-LL 50-2070PAK4400</v>
      </c>
    </row>
    <row r="94" spans="1:32" x14ac:dyDescent="0.25">
      <c r="A94" s="287" t="str">
        <f ca="1">IF(Table1[[#This Row],[No. Invoice :]]="","",ROW())</f>
        <v/>
      </c>
      <c r="B94" s="287" t="str">
        <f ca="1">IF(Table1[Column3]="","",B$1+COUNT(INDIRECT("B$2:B"&amp;ROW()-1)))</f>
        <v/>
      </c>
      <c r="C94" s="281" t="str">
        <f>IF(Table1[[#This Row],[Column2]]="","",Table1[[#This Row],[Column2]]+C$1-1)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Row],[Column3]])," ",Table1[[#This Row],[Column4]])</f>
        <v xml:space="preserve"> </v>
      </c>
      <c r="J94" s="287" t="str">
        <f>IF(Table1[[#This Row],[Column5]]="","",INDEX(Table2[e],IF(Table1[[#This Row],[Column5]]="","",MATCH(Table1[[#This Row],[Column5]],Table2[a],0)),))</f>
        <v/>
      </c>
      <c r="K94" s="280">
        <v>25</v>
      </c>
      <c r="L94" s="280" t="s">
        <v>137</v>
      </c>
      <c r="N94" s="280" t="s">
        <v>282</v>
      </c>
      <c r="O94" s="287" t="str">
        <f>IF(Table1[[#This Row],[h_Item Description]]="","",INDEX([1]!db[NB PAJAK],MATCH(Table1[[#This Row],[h_Item Description]],[1]!db[kode],0)))</f>
        <v>LOOSE LEAF KENKO A5-LL 100-2070</v>
      </c>
      <c r="P94" s="280" t="s">
        <v>290</v>
      </c>
      <c r="Q94" s="283">
        <v>8350</v>
      </c>
      <c r="R94" s="284">
        <v>0.1</v>
      </c>
      <c r="T94" s="283">
        <f>Table1[[#This Row],[h_hargasetelahdiskon]]</f>
        <v>187875</v>
      </c>
      <c r="W94" s="287">
        <f ca="1">IF(Table1[[#This Row],[Item Description]]="","",IF(Table1[[#This Row],[//]]="",INDIRECT(ADDRESS(ROW()-1,COLUMN())),Table1[[#This Row],[//]]))</f>
        <v>84</v>
      </c>
      <c r="X94" s="287">
        <f ca="1">IF(Table1[[#This Row],[h_id]]="","",COUNTIF(Table1[h_id],Table1[[#This Row],[h_id]]))</f>
        <v>13</v>
      </c>
      <c r="Y94" s="283">
        <f>IF(Table1[Item Description]="","",Table1[[#This Row],[Qty]]*Table1[[#This Row],[Unit Price]])</f>
        <v>208750</v>
      </c>
      <c r="Z94" s="283">
        <f>IF(Table1[[#This Row],[h_hargasebelumdiskon]]="","",IF(Table1[[#This Row],[Disc 1]]="",0,Table1[[#This Row],[h_hargasebelumdiskon]]*Table1[[#This Row],[Disc 1]]))</f>
        <v>20875</v>
      </c>
      <c r="AA94" s="283">
        <f>IF(Table1[[#This Row],[h_hargasebelumdiskon]]="","",IF(Table1[[#This Row],[Disc 2]]="",0,(Table1[[#This Row],[h_hargasebelumdiskon]]-Table1[[#This Row],[h_disc 1]])*Table1[[#This Row],[Disc 2]]))</f>
        <v>0</v>
      </c>
      <c r="AB94" s="283">
        <f>IF(Table1[Item Description]="","",Table1[[#This Row],[h_disc 1]]+Table1[[#This Row],[h_disc 2]])</f>
        <v>20875</v>
      </c>
      <c r="AC94" s="283">
        <f>IF(Table1[Item Description]="","",Table1[[#This Row],[h_hargasebelumdiskon]]-Table1[[#This Row],[h_diskon]])</f>
        <v>187875</v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>LOOSE LEAF KENKO A5-LL 100-2070PAK8350</v>
      </c>
    </row>
    <row r="95" spans="1:32" x14ac:dyDescent="0.25">
      <c r="A95" s="287" t="str">
        <f ca="1">IF(Table1[[#This Row],[No. Invoice :]]="","",ROW())</f>
        <v/>
      </c>
      <c r="B95" s="287" t="str">
        <f ca="1">IF(Table1[Column3]="","",B$1+COUNT(INDIRECT("B$2:B"&amp;ROW()-1)))</f>
        <v/>
      </c>
      <c r="C95" s="281" t="str">
        <f>IF(Table1[[#This Row],[Column2]]="","",Table1[[#This Row],[Column2]]+C$1-1)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Row],[Column3]])," ",Table1[[#This Row],[Column4]])</f>
        <v xml:space="preserve"> </v>
      </c>
      <c r="J95" s="287" t="str">
        <f>IF(Table1[[#This Row],[Column5]]="","",INDEX(Table2[e],IF(Table1[[#This Row],[Column5]]="","",MATCH(Table1[[#This Row],[Column5]],Table2[a],0)),))</f>
        <v/>
      </c>
      <c r="K95" s="280">
        <v>10</v>
      </c>
      <c r="L95" s="280" t="s">
        <v>150</v>
      </c>
      <c r="N95" s="280" t="s">
        <v>283</v>
      </c>
      <c r="O95" s="287" t="str">
        <f>IF(Table1[[#This Row],[h_Item Description]]="","",INDEX([1]!db[NB PAJAK],MATCH(Table1[[#This Row],[h_Item Description]],[1]!db[kode],0)))</f>
        <v>BUKU KAS KWARTO</v>
      </c>
      <c r="P95" s="280" t="s">
        <v>291</v>
      </c>
      <c r="Q95" s="283">
        <v>9500</v>
      </c>
      <c r="R95" s="284"/>
      <c r="T95" s="283">
        <f>Table1[[#This Row],[h_hargasetelahdiskon]]</f>
        <v>95000</v>
      </c>
      <c r="W95" s="287">
        <f ca="1">IF(Table1[[#This Row],[Item Description]]="","",IF(Table1[[#This Row],[//]]="",INDIRECT(ADDRESS(ROW()-1,COLUMN())),Table1[[#This Row],[//]]))</f>
        <v>84</v>
      </c>
      <c r="X95" s="287">
        <f ca="1">IF(Table1[[#This Row],[h_id]]="","",COUNTIF(Table1[h_id],Table1[[#This Row],[h_id]]))</f>
        <v>13</v>
      </c>
      <c r="Y95" s="283">
        <f>IF(Table1[Item Description]="","",Table1[[#This Row],[Qty]]*Table1[[#This Row],[Unit Price]])</f>
        <v>95000</v>
      </c>
      <c r="Z95" s="283">
        <f>IF(Table1[[#This Row],[h_hargasebelumdiskon]]="","",IF(Table1[[#This Row],[Disc 1]]="",0,Table1[[#This Row],[h_hargasebelumdiskon]]*Table1[[#This Row],[Disc 1]]))</f>
        <v>0</v>
      </c>
      <c r="AA95" s="283">
        <f>IF(Table1[[#This Row],[h_hargasebelumdiskon]]="","",IF(Table1[[#This Row],[Disc 2]]="",0,(Table1[[#This Row],[h_hargasebelumdiskon]]-Table1[[#This Row],[h_disc 1]])*Table1[[#This Row],[Disc 2]]))</f>
        <v>0</v>
      </c>
      <c r="AB95" s="283">
        <f>IF(Table1[Item Description]="","",Table1[[#This Row],[h_disc 1]]+Table1[[#This Row],[h_disc 2]])</f>
        <v>0</v>
      </c>
      <c r="AC95" s="283">
        <f>IF(Table1[Item Description]="","",Table1[[#This Row],[h_hargasebelumdiskon]]-Table1[[#This Row],[h_diskon]])</f>
        <v>95000</v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>BUKU KAS KWARTOPCS9500</v>
      </c>
    </row>
    <row r="96" spans="1:32" x14ac:dyDescent="0.25">
      <c r="A96" s="287" t="str">
        <f ca="1">IF(Table1[[#This Row],[No. Invoice :]]="","",ROW())</f>
        <v/>
      </c>
      <c r="B96" s="287" t="str">
        <f ca="1">IF(Table1[Column3]="","",B$1+COUNT(INDIRECT("B$2:B"&amp;ROW()-1)))</f>
        <v/>
      </c>
      <c r="C96" s="281" t="str">
        <f>IF(Table1[[#This Row],[Column2]]="","",Table1[[#This Row],[Column2]]+C$1-1)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Row],[Column3]])," ",Table1[[#This Row],[Column4]])</f>
        <v xml:space="preserve"> </v>
      </c>
      <c r="J96" s="287" t="str">
        <f>IF(Table1[[#This Row],[Column5]]="","",INDEX(Table2[e],IF(Table1[[#This Row],[Column5]]="","",MATCH(Table1[[#This Row],[Column5]],Table2[a],0)),))</f>
        <v/>
      </c>
      <c r="K96" s="280">
        <v>72</v>
      </c>
      <c r="L96" s="280" t="s">
        <v>209</v>
      </c>
      <c r="M96" s="280">
        <v>1</v>
      </c>
      <c r="N96" s="280" t="s">
        <v>279</v>
      </c>
      <c r="O96" s="287" t="e">
        <f>IF(Table1[[#This Row],[h_Item Description]]="","",INDEX([1]!db[NB PAJAK],MATCH(Table1[[#This Row],[h_Item Description]],[1]!db[kode],0)))</f>
        <v>#N/A</v>
      </c>
      <c r="P96" s="280" t="s">
        <v>284</v>
      </c>
      <c r="Q96" s="283">
        <v>10000</v>
      </c>
      <c r="R96" s="284">
        <v>0.1</v>
      </c>
      <c r="T96" s="283">
        <f>Table1[[#This Row],[h_hargasetelahdiskon]]</f>
        <v>648000</v>
      </c>
      <c r="W96" s="287">
        <f ca="1">IF(Table1[[#This Row],[Item Description]]="","",IF(Table1[[#This Row],[//]]="",INDIRECT(ADDRESS(ROW()-1,COLUMN())),Table1[[#This Row],[//]]))</f>
        <v>84</v>
      </c>
      <c r="X96" s="287">
        <f ca="1">IF(Table1[[#This Row],[h_id]]="","",COUNTIF(Table1[h_id],Table1[[#This Row],[h_id]]))</f>
        <v>13</v>
      </c>
      <c r="Y96" s="283">
        <f>IF(Table1[Item Description]="","",Table1[[#This Row],[Qty]]*Table1[[#This Row],[Unit Price]])</f>
        <v>720000</v>
      </c>
      <c r="Z96" s="283">
        <f>IF(Table1[[#This Row],[h_hargasebelumdiskon]]="","",IF(Table1[[#This Row],[Disc 1]]="",0,Table1[[#This Row],[h_hargasebelumdiskon]]*Table1[[#This Row],[Disc 1]]))</f>
        <v>72000</v>
      </c>
      <c r="AA96" s="283">
        <f>IF(Table1[[#This Row],[h_hargasebelumdiskon]]="","",IF(Table1[[#This Row],[Disc 2]]="",0,(Table1[[#This Row],[h_hargasebelumdiskon]]-Table1[[#This Row],[h_disc 1]])*Table1[[#This Row],[Disc 2]]))</f>
        <v>0</v>
      </c>
      <c r="AB96" s="283">
        <f>IF(Table1[Item Description]="","",Table1[[#This Row],[h_disc 1]]+Table1[[#This Row],[h_disc 2]])</f>
        <v>72000</v>
      </c>
      <c r="AC96" s="283">
        <f>IF(Table1[Item Description]="","",Table1[[#This Row],[h_hargasebelumdiskon]]-Table1[[#This Row],[h_diskon]])</f>
        <v>648000</v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>PLAKBAND BENING 80 M KENKO 48 MM RED COREROL10000</v>
      </c>
    </row>
    <row r="97" spans="1:32" x14ac:dyDescent="0.25">
      <c r="A97" s="287" t="str">
        <f ca="1">IF(Table1[[#This Row],[No. Invoice :]]="","",ROW())</f>
        <v/>
      </c>
      <c r="B97" s="287" t="str">
        <f ca="1">IF(Table1[Column3]="","",B$1+COUNT(INDIRECT("B$2:B"&amp;ROW()-1)))</f>
        <v/>
      </c>
      <c r="C97" s="281" t="str">
        <f>IF(Table1[[#This Row],[Column2]]="","",Table1[[#This Row],[Column2]]+C$1-1)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Row],[Column3]])," ",Table1[[#This Row],[Column4]])</f>
        <v xml:space="preserve"> </v>
      </c>
      <c r="J97" s="287" t="str">
        <f>IF(Table1[[#This Row],[Column5]]="","",INDEX(Table2[e],IF(Table1[[#This Row],[Column5]]="","",MATCH(Table1[[#This Row],[Column5]],Table2[a],0)),))</f>
        <v/>
      </c>
      <c r="O97" s="287" t="str">
        <f>IF(Table1[[#This Row],[h_Item Description]]="","",INDEX([1]!db[NB PAJAK],MATCH(Table1[[#This Row],[h_Item Description]],[1]!db[kode],0)))</f>
        <v/>
      </c>
      <c r="Q97" s="283"/>
      <c r="R97" s="284"/>
      <c r="T97" s="283" t="str">
        <f>Table1[[#This Row],[h_hargasetelahdiskon]]</f>
        <v/>
      </c>
      <c r="W97" s="287" t="str">
        <f ca="1">IF(Table1[[#This Row],[Item Description]]="","",IF(Table1[[#This Row],[//]]="",INDIRECT(ADDRESS(ROW()-1,COLUMN())),Table1[[#This Row],[//]]))</f>
        <v/>
      </c>
      <c r="X97" s="287" t="str">
        <f ca="1">IF(Table1[[#This Row],[h_id]]="","",COUNTIF(Table1[h_id],Table1[[#This Row],[h_id]]))</f>
        <v/>
      </c>
      <c r="Y97" s="283" t="str">
        <f>IF(Table1[Item Description]="","",Table1[[#This Row],[Qty]]*Table1[[#This Row],[Unit Price]])</f>
        <v/>
      </c>
      <c r="Z97" s="283" t="str">
        <f>IF(Table1[[#This Row],[h_hargasebelumdiskon]]="","",IF(Table1[[#This Row],[Disc 1]]="",0,Table1[[#This Row],[h_hargasebelumdiskon]]*Table1[[#This Row],[Disc 1]]))</f>
        <v/>
      </c>
      <c r="AA97" s="283" t="str">
        <f>IF(Table1[[#This Row],[h_hargasebelumdiskon]]="","",IF(Table1[[#This Row],[Disc 2]]="",0,(Table1[[#This Row],[h_hargasebelumdiskon]]-Table1[[#This Row],[h_disc 1]])*Table1[[#This Row],[Disc 2]]))</f>
        <v/>
      </c>
      <c r="AB97" s="283" t="str">
        <f>IF(Table1[Item Description]="","",Table1[[#This Row],[h_disc 1]]+Table1[[#This Row],[h_disc 2]])</f>
        <v/>
      </c>
      <c r="AC97" s="283" t="str">
        <f>IF(Table1[Item Description]="","",Table1[[#This Row],[h_hargasebelumdiskon]]-Table1[[#This Row],[h_diskon]])</f>
        <v/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/>
      </c>
    </row>
    <row r="98" spans="1:32" x14ac:dyDescent="0.25">
      <c r="A98" s="287">
        <f ca="1">IF(Table1[[#This Row],[No. Invoice :]]="","",ROW())</f>
        <v>98</v>
      </c>
      <c r="B98" s="287">
        <f ca="1">IF(Table1[Column3]="","",B$1+COUNT(INDIRECT("B$2:B"&amp;ROW()-1)))</f>
        <v>23090023</v>
      </c>
      <c r="C98" s="281">
        <f>IF(Table1[[#This Row],[Column2]]="","",Table1[[#This Row],[Column2]]+C$1-1)</f>
        <v>45196</v>
      </c>
      <c r="D98" s="292">
        <v>27</v>
      </c>
      <c r="E98" s="280" t="s">
        <v>184</v>
      </c>
      <c r="F98" s="282" t="s">
        <v>296</v>
      </c>
      <c r="G98" s="280" t="s">
        <v>67</v>
      </c>
      <c r="H98" s="287" t="str">
        <f ca="1">IF(Table1[[#This Row],[h_No. Invoice :]]="","",CONCATENATE("AM"," ",Table1[[#This Row],[h_No. Invoice :]]))</f>
        <v>AM 23090023</v>
      </c>
      <c r="I98" s="288" t="str">
        <f>CONCATENATE(UPPER(Table1[[#This Row],[Column3]])," ",Table1[[#This Row],[Column4]])</f>
        <v>KO 3791</v>
      </c>
      <c r="J98" s="287" t="str">
        <f>IF(Table1[[#This Row],[Column5]]="","",INDEX(Table2[e],IF(Table1[[#This Row],[Column5]]="","",MATCH(Table1[[#This Row],[Column5]],Table2[a],0)),))</f>
        <v>HARNOYO (BENDAN) PEKALONGAN</v>
      </c>
      <c r="K98" s="280">
        <v>50</v>
      </c>
      <c r="L98" s="280" t="s">
        <v>150</v>
      </c>
      <c r="O98" s="287" t="str">
        <f>IF(Table1[[#This Row],[h_Item Description]]="","",INDEX([1]!db[NB PAJAK],MATCH(Table1[[#This Row],[h_Item Description]],[1]!db[kode],0)))</f>
        <v/>
      </c>
      <c r="P98" s="280" t="s">
        <v>299</v>
      </c>
      <c r="Q98" s="283">
        <v>3050</v>
      </c>
      <c r="R98" s="284">
        <v>0.14000000000000001</v>
      </c>
      <c r="T98" s="283">
        <f>Table1[[#This Row],[h_hargasetelahdiskon]]</f>
        <v>131150</v>
      </c>
      <c r="U98" s="283" t="s">
        <v>135</v>
      </c>
      <c r="W98" s="287">
        <f ca="1">IF(Table1[[#This Row],[Item Description]]="","",IF(Table1[[#This Row],[//]]="",INDIRECT(ADDRESS(ROW()-1,COLUMN())),Table1[[#This Row],[//]]))</f>
        <v>98</v>
      </c>
      <c r="X98" s="287">
        <f ca="1">IF(Table1[[#This Row],[h_id]]="","",COUNTIF(Table1[h_id],Table1[[#This Row],[h_id]]))</f>
        <v>4</v>
      </c>
      <c r="Y98" s="283">
        <f>IF(Table1[Item Description]="","",Table1[[#This Row],[Qty]]*Table1[[#This Row],[Unit Price]])</f>
        <v>152500</v>
      </c>
      <c r="Z98" s="283">
        <f>IF(Table1[[#This Row],[h_hargasebelumdiskon]]="","",IF(Table1[[#This Row],[Disc 1]]="",0,Table1[[#This Row],[h_hargasebelumdiskon]]*Table1[[#This Row],[Disc 1]]))</f>
        <v>21350.000000000004</v>
      </c>
      <c r="AA98" s="283">
        <f>IF(Table1[[#This Row],[h_hargasebelumdiskon]]="","",IF(Table1[[#This Row],[Disc 2]]="",0,(Table1[[#This Row],[h_hargasebelumdiskon]]-Table1[[#This Row],[h_disc 1]])*Table1[[#This Row],[Disc 2]]))</f>
        <v>0</v>
      </c>
      <c r="AB98" s="283">
        <f>IF(Table1[Item Description]="","",Table1[[#This Row],[h_disc 1]]+Table1[[#This Row],[h_disc 2]])</f>
        <v>21350.000000000004</v>
      </c>
      <c r="AC98" s="283">
        <f>IF(Table1[Item Description]="","",Table1[[#This Row],[h_hargasebelumdiskon]]-Table1[[#This Row],[h_diskon]])</f>
        <v>131150</v>
      </c>
      <c r="AD98" s="283">
        <f ca="1">IF(Table1[//]="","",SUMIF(Table1[h_id],Table1[h_id],Table1[h_hargasetelahdiskon]))</f>
        <v>1075430</v>
      </c>
      <c r="AE98" s="283"/>
      <c r="AF98" s="283" t="str">
        <f>Table1[[#This Row],[Item Description]]&amp;Table1[[#This Row],[Unit]]&amp;Table1[[#This Row],[Unit Price]]</f>
        <v>HIGHLIGHTER / STABILO KENKO HL-100 UNGUPCS3050</v>
      </c>
    </row>
    <row r="99" spans="1:32" x14ac:dyDescent="0.25">
      <c r="A99" s="287" t="str">
        <f ca="1">IF(Table1[[#This Row],[No. Invoice :]]="","",ROW())</f>
        <v/>
      </c>
      <c r="B99" s="287" t="str">
        <f ca="1">IF(Table1[Column3]="","",B$1+COUNT(INDIRECT("B$2:B"&amp;ROW()-1)))</f>
        <v/>
      </c>
      <c r="C99" s="281" t="str">
        <f>IF(Table1[[#This Row],[Column2]]="","",Table1[[#This Row],[Column2]]+C$1-1)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Row],[Column3]])," ",Table1[[#This Row],[Column4]])</f>
        <v xml:space="preserve"> </v>
      </c>
      <c r="J99" s="287" t="str">
        <f>IF(Table1[[#This Row],[Column5]]="","",INDEX(Table2[e],IF(Table1[[#This Row],[Column5]]="","",MATCH(Table1[[#This Row],[Column5]],Table2[a],0)),))</f>
        <v/>
      </c>
      <c r="K99" s="280">
        <v>120</v>
      </c>
      <c r="L99" s="280" t="s">
        <v>150</v>
      </c>
      <c r="O99" s="287" t="str">
        <f>IF(Table1[[#This Row],[h_Item Description]]="","",INDEX([1]!db[NB PAJAK],MATCH(Table1[[#This Row],[h_Item Description]],[1]!db[kode],0)))</f>
        <v/>
      </c>
      <c r="P99" s="280" t="s">
        <v>297</v>
      </c>
      <c r="Q99" s="283">
        <v>3050</v>
      </c>
      <c r="R99" s="284">
        <v>0.14000000000000001</v>
      </c>
      <c r="T99" s="283">
        <f>Table1[[#This Row],[h_hargasetelahdiskon]]</f>
        <v>314760</v>
      </c>
      <c r="W99" s="287">
        <f ca="1">IF(Table1[[#This Row],[Item Description]]="","",IF(Table1[[#This Row],[//]]="",INDIRECT(ADDRESS(ROW()-1,COLUMN())),Table1[[#This Row],[//]]))</f>
        <v>98</v>
      </c>
      <c r="X99" s="287">
        <f ca="1">IF(Table1[[#This Row],[h_id]]="","",COUNTIF(Table1[h_id],Table1[[#This Row],[h_id]]))</f>
        <v>4</v>
      </c>
      <c r="Y99" s="283">
        <f>IF(Table1[Item Description]="","",Table1[[#This Row],[Qty]]*Table1[[#This Row],[Unit Price]])</f>
        <v>366000</v>
      </c>
      <c r="Z99" s="283">
        <f>IF(Table1[[#This Row],[h_hargasebelumdiskon]]="","",IF(Table1[[#This Row],[Disc 1]]="",0,Table1[[#This Row],[h_hargasebelumdiskon]]*Table1[[#This Row],[Disc 1]]))</f>
        <v>51240.000000000007</v>
      </c>
      <c r="AA99" s="283">
        <f>IF(Table1[[#This Row],[h_hargasebelumdiskon]]="","",IF(Table1[[#This Row],[Disc 2]]="",0,(Table1[[#This Row],[h_hargasebelumdiskon]]-Table1[[#This Row],[h_disc 1]])*Table1[[#This Row],[Disc 2]]))</f>
        <v>0</v>
      </c>
      <c r="AB99" s="283">
        <f>IF(Table1[Item Description]="","",Table1[[#This Row],[h_disc 1]]+Table1[[#This Row],[h_disc 2]])</f>
        <v>51240.000000000007</v>
      </c>
      <c r="AC99" s="283">
        <f>IF(Table1[Item Description]="","",Table1[[#This Row],[h_hargasebelumdiskon]]-Table1[[#This Row],[h_diskon]])</f>
        <v>314760</v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>HIGHLIGHTER / STABILO KENKO HL-100 HIJAUPCS3050</v>
      </c>
    </row>
    <row r="100" spans="1:32" x14ac:dyDescent="0.25">
      <c r="A100" s="287" t="str">
        <f ca="1">IF(Table1[[#This Row],[No. Invoice :]]="","",ROW())</f>
        <v/>
      </c>
      <c r="B100" s="287" t="str">
        <f ca="1">IF(Table1[Column3]="","",B$1+COUNT(INDIRECT("B$2:B"&amp;ROW()-1)))</f>
        <v/>
      </c>
      <c r="C100" s="281" t="str">
        <f>IF(Table1[[#This Row],[Column2]]="","",Table1[[#This Row],[Column2]]+C$1-1)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Row],[Column3]])," ",Table1[[#This Row],[Column4]])</f>
        <v xml:space="preserve"> </v>
      </c>
      <c r="J100" s="287" t="str">
        <f>IF(Table1[[#This Row],[Column5]]="","",INDEX(Table2[e],IF(Table1[[#This Row],[Column5]]="","",MATCH(Table1[[#This Row],[Column5]],Table2[a],0)),))</f>
        <v/>
      </c>
      <c r="K100" s="280">
        <v>120</v>
      </c>
      <c r="L100" s="280" t="s">
        <v>150</v>
      </c>
      <c r="O100" s="287" t="str">
        <f>IF(Table1[[#This Row],[h_Item Description]]="","",INDEX([1]!db[NB PAJAK],MATCH(Table1[[#This Row],[h_Item Description]],[1]!db[kode],0)))</f>
        <v/>
      </c>
      <c r="P100" s="280" t="s">
        <v>298</v>
      </c>
      <c r="Q100" s="283">
        <v>3050</v>
      </c>
      <c r="R100" s="284">
        <v>0.14000000000000001</v>
      </c>
      <c r="T100" s="283">
        <f>Table1[[#This Row],[h_hargasetelahdiskon]]</f>
        <v>314760</v>
      </c>
      <c r="W100" s="287">
        <f ca="1">IF(Table1[[#This Row],[Item Description]]="","",IF(Table1[[#This Row],[//]]="",INDIRECT(ADDRESS(ROW()-1,COLUMN())),Table1[[#This Row],[//]]))</f>
        <v>98</v>
      </c>
      <c r="X100" s="287">
        <f ca="1">IF(Table1[[#This Row],[h_id]]="","",COUNTIF(Table1[h_id],Table1[[#This Row],[h_id]]))</f>
        <v>4</v>
      </c>
      <c r="Y100" s="283">
        <f>IF(Table1[Item Description]="","",Table1[[#This Row],[Qty]]*Table1[[#This Row],[Unit Price]])</f>
        <v>366000</v>
      </c>
      <c r="Z100" s="283">
        <f>IF(Table1[[#This Row],[h_hargasebelumdiskon]]="","",IF(Table1[[#This Row],[Disc 1]]="",0,Table1[[#This Row],[h_hargasebelumdiskon]]*Table1[[#This Row],[Disc 1]]))</f>
        <v>51240.000000000007</v>
      </c>
      <c r="AA100" s="283">
        <f>IF(Table1[[#This Row],[h_hargasebelumdiskon]]="","",IF(Table1[[#This Row],[Disc 2]]="",0,(Table1[[#This Row],[h_hargasebelumdiskon]]-Table1[[#This Row],[h_disc 1]])*Table1[[#This Row],[Disc 2]]))</f>
        <v>0</v>
      </c>
      <c r="AB100" s="283">
        <f>IF(Table1[Item Description]="","",Table1[[#This Row],[h_disc 1]]+Table1[[#This Row],[h_disc 2]])</f>
        <v>51240.000000000007</v>
      </c>
      <c r="AC100" s="283">
        <f>IF(Table1[Item Description]="","",Table1[[#This Row],[h_hargasebelumdiskon]]-Table1[[#This Row],[h_diskon]])</f>
        <v>314760</v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>HIGHLIGHTER / STABILO KENKO HL-100 KUNINGPCS3050</v>
      </c>
    </row>
    <row r="101" spans="1:32" x14ac:dyDescent="0.25">
      <c r="A101" s="287" t="str">
        <f ca="1">IF(Table1[[#This Row],[No. Invoice :]]="","",ROW())</f>
        <v/>
      </c>
      <c r="B101" s="287" t="str">
        <f ca="1">IF(Table1[Column3]="","",B$1+COUNT(INDIRECT("B$2:B"&amp;ROW()-1)))</f>
        <v/>
      </c>
      <c r="C101" s="281" t="str">
        <f>IF(Table1[[#This Row],[Column2]]="","",Table1[[#This Row],[Column2]]+C$1-1)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Row],[Column3]])," ",Table1[[#This Row],[Column4]])</f>
        <v xml:space="preserve"> </v>
      </c>
      <c r="J101" s="287" t="str">
        <f>IF(Table1[[#This Row],[Column5]]="","",INDEX(Table2[e],IF(Table1[[#This Row],[Column5]]="","",MATCH(Table1[[#This Row],[Column5]],Table2[a],0)),))</f>
        <v/>
      </c>
      <c r="K101" s="280">
        <v>120</v>
      </c>
      <c r="L101" s="280" t="s">
        <v>150</v>
      </c>
      <c r="O101" s="287" t="str">
        <f>IF(Table1[[#This Row],[h_Item Description]]="","",INDEX([1]!db[NB PAJAK],MATCH(Table1[[#This Row],[h_Item Description]],[1]!db[kode],0)))</f>
        <v/>
      </c>
      <c r="P101" s="280" t="s">
        <v>300</v>
      </c>
      <c r="Q101" s="283">
        <v>3050</v>
      </c>
      <c r="R101" s="284">
        <v>0.14000000000000001</v>
      </c>
      <c r="T101" s="283">
        <f>Table1[[#This Row],[h_hargasetelahdiskon]]</f>
        <v>314760</v>
      </c>
      <c r="W101" s="287">
        <f ca="1">IF(Table1[[#This Row],[Item Description]]="","",IF(Table1[[#This Row],[//]]="",INDIRECT(ADDRESS(ROW()-1,COLUMN())),Table1[[#This Row],[//]]))</f>
        <v>98</v>
      </c>
      <c r="X101" s="287">
        <f ca="1">IF(Table1[[#This Row],[h_id]]="","",COUNTIF(Table1[h_id],Table1[[#This Row],[h_id]]))</f>
        <v>4</v>
      </c>
      <c r="Y101" s="283">
        <f>IF(Table1[Item Description]="","",Table1[[#This Row],[Qty]]*Table1[[#This Row],[Unit Price]])</f>
        <v>366000</v>
      </c>
      <c r="Z101" s="283">
        <f>IF(Table1[[#This Row],[h_hargasebelumdiskon]]="","",IF(Table1[[#This Row],[Disc 1]]="",0,Table1[[#This Row],[h_hargasebelumdiskon]]*Table1[[#This Row],[Disc 1]]))</f>
        <v>51240.000000000007</v>
      </c>
      <c r="AA101" s="283">
        <f>IF(Table1[[#This Row],[h_hargasebelumdiskon]]="","",IF(Table1[[#This Row],[Disc 2]]="",0,(Table1[[#This Row],[h_hargasebelumdiskon]]-Table1[[#This Row],[h_disc 1]])*Table1[[#This Row],[Disc 2]]))</f>
        <v>0</v>
      </c>
      <c r="AB101" s="283">
        <f>IF(Table1[Item Description]="","",Table1[[#This Row],[h_disc 1]]+Table1[[#This Row],[h_disc 2]])</f>
        <v>51240.000000000007</v>
      </c>
      <c r="AC101" s="283">
        <f>IF(Table1[Item Description]="","",Table1[[#This Row],[h_hargasebelumdiskon]]-Table1[[#This Row],[h_diskon]])</f>
        <v>314760</v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>HIGHLIGHTER / STABILO KENKO HL-100 PINKPCS3050</v>
      </c>
    </row>
    <row r="102" spans="1:32" x14ac:dyDescent="0.25">
      <c r="A102" s="287" t="str">
        <f ca="1">IF(Table1[[#This Row],[No. Invoice :]]="","",ROW())</f>
        <v/>
      </c>
      <c r="B102" s="287" t="str">
        <f ca="1">IF(Table1[Column3]="","",B$1+COUNT(INDIRECT("B$2:B"&amp;ROW()-1)))</f>
        <v/>
      </c>
      <c r="C102" s="281" t="str">
        <f>IF(Table1[[#This Row],[Column2]]="","",Table1[[#This Row],[Column2]]+C$1-1)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Row],[Column3]])," ",Table1[[#This Row],[Column4]])</f>
        <v xml:space="preserve"> </v>
      </c>
      <c r="J102" s="287" t="str">
        <f>IF(Table1[[#This Row],[Column5]]="","",INDEX(Table2[e],IF(Table1[[#This Row],[Column5]]="","",MATCH(Table1[[#This Row],[Column5]],Table2[a],0)),))</f>
        <v/>
      </c>
      <c r="O102" s="287" t="str">
        <f>IF(Table1[[#This Row],[h_Item Description]]="","",INDEX([1]!db[NB PAJAK],MATCH(Table1[[#This Row],[h_Item Description]],[1]!db[kode],0)))</f>
        <v/>
      </c>
      <c r="Q102" s="283"/>
      <c r="R102" s="284"/>
      <c r="T102" s="283" t="str">
        <f>Table1[[#This Row],[h_hargasetelahdiskon]]</f>
        <v/>
      </c>
      <c r="W102" s="287" t="str">
        <f ca="1">IF(Table1[[#This Row],[Item Description]]="","",IF(Table1[[#This Row],[//]]="",INDIRECT(ADDRESS(ROW()-1,COLUMN())),Table1[[#This Row],[//]]))</f>
        <v/>
      </c>
      <c r="X102" s="287" t="str">
        <f ca="1">IF(Table1[[#This Row],[h_id]]="","",COUNTIF(Table1[h_id],Table1[[#This Row],[h_id]]))</f>
        <v/>
      </c>
      <c r="Y102" s="283" t="str">
        <f>IF(Table1[Item Description]="","",Table1[[#This Row],[Qty]]*Table1[[#This Row],[Unit Price]])</f>
        <v/>
      </c>
      <c r="Z102" s="283" t="str">
        <f>IF(Table1[[#This Row],[h_hargasebelumdiskon]]="","",IF(Table1[[#This Row],[Disc 1]]="",0,Table1[[#This Row],[h_hargasebelumdiskon]]*Table1[[#This Row],[Disc 1]]))</f>
        <v/>
      </c>
      <c r="AA102" s="283" t="str">
        <f>IF(Table1[[#This Row],[h_hargasebelumdiskon]]="","",IF(Table1[[#This Row],[Disc 2]]="",0,(Table1[[#This Row],[h_hargasebelumdiskon]]-Table1[[#This Row],[h_disc 1]])*Table1[[#This Row],[Disc 2]]))</f>
        <v/>
      </c>
      <c r="AB102" s="283" t="str">
        <f>IF(Table1[Item Description]="","",Table1[[#This Row],[h_disc 1]]+Table1[[#This Row],[h_disc 2]])</f>
        <v/>
      </c>
      <c r="AC102" s="283" t="str">
        <f>IF(Table1[Item Description]="","",Table1[[#This Row],[h_hargasebelumdiskon]]-Table1[[#This Row],[h_diskon]])</f>
        <v/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/>
      </c>
    </row>
    <row r="103" spans="1:32" x14ac:dyDescent="0.25">
      <c r="A103" s="287">
        <f ca="1">IF(Table1[[#This Row],[No. Invoice :]]="","",ROW())</f>
        <v>103</v>
      </c>
      <c r="B103" s="287">
        <f ca="1">IF(Table1[Column3]="","",B$1+COUNT(INDIRECT("B$2:B"&amp;ROW()-1)))</f>
        <v>23090024</v>
      </c>
      <c r="C103" s="281">
        <f>IF(Table1[[#This Row],[Column2]]="","",Table1[[#This Row],[Column2]]+C$1-1)</f>
        <v>45196</v>
      </c>
      <c r="D103" s="292">
        <v>27</v>
      </c>
      <c r="E103" s="280" t="s">
        <v>130</v>
      </c>
      <c r="F103" s="282" t="s">
        <v>301</v>
      </c>
      <c r="G103" s="280" t="s">
        <v>38</v>
      </c>
      <c r="H103" s="287" t="str">
        <f ca="1">IF(Table1[[#This Row],[h_No. Invoice :]]="","",CONCATENATE("AM"," ",Table1[[#This Row],[h_No. Invoice :]]))</f>
        <v>AM 23090024</v>
      </c>
      <c r="I103" s="288" t="str">
        <f>CONCATENATE(UPPER(Table1[[#This Row],[Column3]])," ",Table1[[#This Row],[Column4]])</f>
        <v>KO 3780</v>
      </c>
      <c r="J103" s="287" t="str">
        <f>IF(Table1[[#This Row],[Column5]]="","",INDEX(Table2[e],IF(Table1[[#This Row],[Column5]]="","",MATCH(Table1[[#This Row],[Column5]],Table2[a],0)),))</f>
        <v>CV DWI JAYA YOGYAKARTA</v>
      </c>
      <c r="K103" s="280">
        <v>6</v>
      </c>
      <c r="L103" s="280" t="s">
        <v>132</v>
      </c>
      <c r="N103" s="280" t="s">
        <v>302</v>
      </c>
      <c r="O103" s="287" t="str">
        <f>IF(Table1[[#This Row],[h_Item Description]]="","",INDEX([1]!db[NB PAJAK],MATCH(Table1[[#This Row],[h_Item Description]],[1]!db[kode],0)))</f>
        <v>GUNTING KENKO SC-828</v>
      </c>
      <c r="P103" s="280" t="s">
        <v>304</v>
      </c>
      <c r="Q103" s="283">
        <v>56400</v>
      </c>
      <c r="R103" s="284">
        <v>0.1</v>
      </c>
      <c r="T103" s="283">
        <f>Table1[[#This Row],[h_hargasetelahdiskon]]</f>
        <v>304560</v>
      </c>
      <c r="U103" s="283" t="s">
        <v>135</v>
      </c>
      <c r="W103" s="287">
        <f ca="1">IF(Table1[[#This Row],[Item Description]]="","",IF(Table1[[#This Row],[//]]="",INDIRECT(ADDRESS(ROW()-1,COLUMN())),Table1[[#This Row],[//]]))</f>
        <v>103</v>
      </c>
      <c r="X103" s="287">
        <f ca="1">IF(Table1[[#This Row],[h_id]]="","",COUNTIF(Table1[h_id],Table1[[#This Row],[h_id]]))</f>
        <v>4</v>
      </c>
      <c r="Y103" s="283">
        <f>IF(Table1[Item Description]="","",Table1[[#This Row],[Qty]]*Table1[[#This Row],[Unit Price]])</f>
        <v>338400</v>
      </c>
      <c r="Z103" s="283">
        <f>IF(Table1[[#This Row],[h_hargasebelumdiskon]]="","",IF(Table1[[#This Row],[Disc 1]]="",0,Table1[[#This Row],[h_hargasebelumdiskon]]*Table1[[#This Row],[Disc 1]]))</f>
        <v>33840</v>
      </c>
      <c r="AA103" s="283">
        <f>IF(Table1[[#This Row],[h_hargasebelumdiskon]]="","",IF(Table1[[#This Row],[Disc 2]]="",0,(Table1[[#This Row],[h_hargasebelumdiskon]]-Table1[[#This Row],[h_disc 1]])*Table1[[#This Row],[Disc 2]]))</f>
        <v>0</v>
      </c>
      <c r="AB103" s="283">
        <f>IF(Table1[Item Description]="","",Table1[[#This Row],[h_disc 1]]+Table1[[#This Row],[h_disc 2]])</f>
        <v>33840</v>
      </c>
      <c r="AC103" s="283">
        <f>IF(Table1[Item Description]="","",Table1[[#This Row],[h_hargasebelumdiskon]]-Table1[[#This Row],[h_diskon]])</f>
        <v>304560</v>
      </c>
      <c r="AD103" s="283">
        <f ca="1">IF(Table1[//]="","",SUMIF(Table1[h_id],Table1[h_id],Table1[h_hargasetelahdiskon]))</f>
        <v>2300400</v>
      </c>
      <c r="AE103" s="283"/>
      <c r="AF103" s="283" t="str">
        <f>Table1[[#This Row],[Item Description]]&amp;Table1[[#This Row],[Unit]]&amp;Table1[[#This Row],[Unit Price]]</f>
        <v>GUNTING KENKO SC-828LSN56400</v>
      </c>
    </row>
    <row r="104" spans="1:32" x14ac:dyDescent="0.25">
      <c r="A104" s="287" t="str">
        <f ca="1">IF(Table1[[#This Row],[No. Invoice :]]="","",ROW())</f>
        <v/>
      </c>
      <c r="B104" s="287" t="str">
        <f ca="1">IF(Table1[Column3]="","",B$1+COUNT(INDIRECT("B$2:B"&amp;ROW()-1)))</f>
        <v/>
      </c>
      <c r="C104" s="281" t="str">
        <f>IF(Table1[[#This Row],[Column2]]="","",Table1[[#This Row],[Column2]]+C$1-1)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Row],[Column3]])," ",Table1[[#This Row],[Column4]])</f>
        <v xml:space="preserve"> </v>
      </c>
      <c r="J104" s="287" t="str">
        <f>IF(Table1[[#This Row],[Column5]]="","",INDEX(Table2[e],IF(Table1[[#This Row],[Column5]]="","",MATCH(Table1[[#This Row],[Column5]],Table2[a],0)),))</f>
        <v/>
      </c>
      <c r="K104" s="280">
        <v>24</v>
      </c>
      <c r="L104" s="280" t="s">
        <v>132</v>
      </c>
      <c r="N104" s="280" t="s">
        <v>303</v>
      </c>
      <c r="O104" s="287" t="str">
        <f>IF(Table1[[#This Row],[h_Item Description]]="","",INDEX([1]!db[NB PAJAK],MATCH(Table1[[#This Row],[h_Item Description]],[1]!db[kode],0)))</f>
        <v>GEL PEN JOYKO GP-265 Q-GEL</v>
      </c>
      <c r="P104" s="280" t="s">
        <v>305</v>
      </c>
      <c r="Q104" s="283">
        <v>28200</v>
      </c>
      <c r="R104" s="284">
        <v>0.1</v>
      </c>
      <c r="T104" s="283">
        <f>Table1[[#This Row],[h_hargasetelahdiskon]]</f>
        <v>609120</v>
      </c>
      <c r="W104" s="287">
        <f ca="1">IF(Table1[[#This Row],[Item Description]]="","",IF(Table1[[#This Row],[//]]="",INDIRECT(ADDRESS(ROW()-1,COLUMN())),Table1[[#This Row],[//]]))</f>
        <v>103</v>
      </c>
      <c r="X104" s="287">
        <f ca="1">IF(Table1[[#This Row],[h_id]]="","",COUNTIF(Table1[h_id],Table1[[#This Row],[h_id]]))</f>
        <v>4</v>
      </c>
      <c r="Y104" s="283">
        <f>IF(Table1[Item Description]="","",Table1[[#This Row],[Qty]]*Table1[[#This Row],[Unit Price]])</f>
        <v>676800</v>
      </c>
      <c r="Z104" s="283">
        <f>IF(Table1[[#This Row],[h_hargasebelumdiskon]]="","",IF(Table1[[#This Row],[Disc 1]]="",0,Table1[[#This Row],[h_hargasebelumdiskon]]*Table1[[#This Row],[Disc 1]]))</f>
        <v>67680</v>
      </c>
      <c r="AA104" s="283">
        <f>IF(Table1[[#This Row],[h_hargasebelumdiskon]]="","",IF(Table1[[#This Row],[Disc 2]]="",0,(Table1[[#This Row],[h_hargasebelumdiskon]]-Table1[[#This Row],[h_disc 1]])*Table1[[#This Row],[Disc 2]]))</f>
        <v>0</v>
      </c>
      <c r="AB104" s="283">
        <f>IF(Table1[Item Description]="","",Table1[[#This Row],[h_disc 1]]+Table1[[#This Row],[h_disc 2]])</f>
        <v>67680</v>
      </c>
      <c r="AC104" s="283">
        <f>IF(Table1[Item Description]="","",Table1[[#This Row],[h_hargasebelumdiskon]]-Table1[[#This Row],[h_diskon]])</f>
        <v>609120</v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>GEL PEN JOYKO GP-265 Q-GELLSN28200</v>
      </c>
    </row>
    <row r="105" spans="1:32" x14ac:dyDescent="0.25">
      <c r="A105" s="287" t="str">
        <f ca="1">IF(Table1[[#This Row],[No. Invoice :]]="","",ROW())</f>
        <v/>
      </c>
      <c r="B105" s="287" t="str">
        <f ca="1">IF(Table1[Column3]="","",B$1+COUNT(INDIRECT("B$2:B"&amp;ROW()-1)))</f>
        <v/>
      </c>
      <c r="C105" s="281" t="str">
        <f>IF(Table1[[#This Row],[Column2]]="","",Table1[[#This Row],[Column2]]+C$1-1)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Row],[Column3]])," ",Table1[[#This Row],[Column4]])</f>
        <v xml:space="preserve"> </v>
      </c>
      <c r="J105" s="287" t="str">
        <f>IF(Table1[[#This Row],[Column5]]="","",INDEX(Table2[e],IF(Table1[[#This Row],[Column5]]="","",MATCH(Table1[[#This Row],[Column5]],Table2[a],0)),))</f>
        <v/>
      </c>
      <c r="K105" s="280">
        <v>4</v>
      </c>
      <c r="L105" s="280" t="s">
        <v>132</v>
      </c>
      <c r="N105" s="280" t="s">
        <v>265</v>
      </c>
      <c r="O105" s="287" t="str">
        <f>IF(Table1[[#This Row],[h_Item Description]]="","",INDEX([1]!db[NB PAJAK],MATCH(Table1[[#This Row],[h_Item Description]],[1]!db[kode],0)))</f>
        <v>CUTTER 18 MM KENKO L-500 (BESAR)</v>
      </c>
      <c r="P105" s="280" t="s">
        <v>267</v>
      </c>
      <c r="Q105" s="283">
        <v>147600</v>
      </c>
      <c r="R105" s="284">
        <v>0.1</v>
      </c>
      <c r="T105" s="283">
        <f>Table1[[#This Row],[h_hargasetelahdiskon]]</f>
        <v>531360</v>
      </c>
      <c r="W105" s="287">
        <f ca="1">IF(Table1[[#This Row],[Item Description]]="","",IF(Table1[[#This Row],[//]]="",INDIRECT(ADDRESS(ROW()-1,COLUMN())),Table1[[#This Row],[//]]))</f>
        <v>103</v>
      </c>
      <c r="X105" s="287">
        <f ca="1">IF(Table1[[#This Row],[h_id]]="","",COUNTIF(Table1[h_id],Table1[[#This Row],[h_id]]))</f>
        <v>4</v>
      </c>
      <c r="Y105" s="283">
        <f>IF(Table1[Item Description]="","",Table1[[#This Row],[Qty]]*Table1[[#This Row],[Unit Price]])</f>
        <v>590400</v>
      </c>
      <c r="Z105" s="283">
        <f>IF(Table1[[#This Row],[h_hargasebelumdiskon]]="","",IF(Table1[[#This Row],[Disc 1]]="",0,Table1[[#This Row],[h_hargasebelumdiskon]]*Table1[[#This Row],[Disc 1]]))</f>
        <v>59040</v>
      </c>
      <c r="AA105" s="283">
        <f>IF(Table1[[#This Row],[h_hargasebelumdiskon]]="","",IF(Table1[[#This Row],[Disc 2]]="",0,(Table1[[#This Row],[h_hargasebelumdiskon]]-Table1[[#This Row],[h_disc 1]])*Table1[[#This Row],[Disc 2]]))</f>
        <v>0</v>
      </c>
      <c r="AB105" s="283">
        <f>IF(Table1[Item Description]="","",Table1[[#This Row],[h_disc 1]]+Table1[[#This Row],[h_disc 2]])</f>
        <v>59040</v>
      </c>
      <c r="AC105" s="283">
        <f>IF(Table1[Item Description]="","",Table1[[#This Row],[h_hargasebelumdiskon]]-Table1[[#This Row],[h_diskon]])</f>
        <v>531360</v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>CUTTER 18 MM KENKO L-500 (BESAR)LSN147600</v>
      </c>
    </row>
    <row r="106" spans="1:32" x14ac:dyDescent="0.25">
      <c r="A106" s="287" t="str">
        <f ca="1">IF(Table1[[#This Row],[No. Invoice :]]="","",ROW())</f>
        <v/>
      </c>
      <c r="B106" s="287" t="str">
        <f ca="1">IF(Table1[Column3]="","",B$1+COUNT(INDIRECT("B$2:B"&amp;ROW()-1)))</f>
        <v/>
      </c>
      <c r="C106" s="281" t="str">
        <f>IF(Table1[[#This Row],[Column2]]="","",Table1[[#This Row],[Column2]]+C$1-1)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Row],[Column3]])," ",Table1[[#This Row],[Column4]])</f>
        <v xml:space="preserve"> </v>
      </c>
      <c r="J106" s="287" t="str">
        <f>IF(Table1[[#This Row],[Column5]]="","",INDEX(Table2[e],IF(Table1[[#This Row],[Column5]]="","",MATCH(Table1[[#This Row],[Column5]],Table2[a],0)),))</f>
        <v/>
      </c>
      <c r="K106" s="280">
        <v>24</v>
      </c>
      <c r="L106" s="280" t="s">
        <v>132</v>
      </c>
      <c r="N106" s="280" t="s">
        <v>200</v>
      </c>
      <c r="O106" s="287" t="str">
        <f>IF(Table1[[#This Row],[h_Item Description]]="","",INDEX([1]!db[NB PAJAK],MATCH(Table1[[#This Row],[h_Item Description]],[1]!db[kode],0)))</f>
        <v>GEL PEN KENKO K-1 HITAM</v>
      </c>
      <c r="P106" s="280" t="s">
        <v>201</v>
      </c>
      <c r="Q106" s="283">
        <v>39600</v>
      </c>
      <c r="R106" s="284">
        <v>0.1</v>
      </c>
      <c r="T106" s="283">
        <f>Table1[[#This Row],[h_hargasetelahdiskon]]</f>
        <v>855360</v>
      </c>
      <c r="W106" s="287">
        <f ca="1">IF(Table1[[#This Row],[Item Description]]="","",IF(Table1[[#This Row],[//]]="",INDIRECT(ADDRESS(ROW()-1,COLUMN())),Table1[[#This Row],[//]]))</f>
        <v>103</v>
      </c>
      <c r="X106" s="287">
        <f ca="1">IF(Table1[[#This Row],[h_id]]="","",COUNTIF(Table1[h_id],Table1[[#This Row],[h_id]]))</f>
        <v>4</v>
      </c>
      <c r="Y106" s="283">
        <f>IF(Table1[Item Description]="","",Table1[[#This Row],[Qty]]*Table1[[#This Row],[Unit Price]])</f>
        <v>950400</v>
      </c>
      <c r="Z106" s="283">
        <f>IF(Table1[[#This Row],[h_hargasebelumdiskon]]="","",IF(Table1[[#This Row],[Disc 1]]="",0,Table1[[#This Row],[h_hargasebelumdiskon]]*Table1[[#This Row],[Disc 1]]))</f>
        <v>95040</v>
      </c>
      <c r="AA106" s="283">
        <f>IF(Table1[[#This Row],[h_hargasebelumdiskon]]="","",IF(Table1[[#This Row],[Disc 2]]="",0,(Table1[[#This Row],[h_hargasebelumdiskon]]-Table1[[#This Row],[h_disc 1]])*Table1[[#This Row],[Disc 2]]))</f>
        <v>0</v>
      </c>
      <c r="AB106" s="283">
        <f>IF(Table1[Item Description]="","",Table1[[#This Row],[h_disc 1]]+Table1[[#This Row],[h_disc 2]])</f>
        <v>95040</v>
      </c>
      <c r="AC106" s="283">
        <f>IF(Table1[Item Description]="","",Table1[[#This Row],[h_hargasebelumdiskon]]-Table1[[#This Row],[h_diskon]])</f>
        <v>855360</v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>GEL PEN KENKO K-1 HITAMLSN39600</v>
      </c>
    </row>
    <row r="107" spans="1:32" x14ac:dyDescent="0.25">
      <c r="A107" s="287" t="str">
        <f ca="1">IF(Table1[[#This Row],[No. Invoice :]]="","",ROW())</f>
        <v/>
      </c>
      <c r="B107" s="287" t="str">
        <f ca="1">IF(Table1[Column3]="","",B$1+COUNT(INDIRECT("B$2:B"&amp;ROW()-1)))</f>
        <v/>
      </c>
      <c r="C107" s="281" t="str">
        <f>IF(Table1[[#This Row],[Column2]]="","",Table1[[#This Row],[Column2]]+C$1-1)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Row],[Column3]])," ",Table1[[#This Row],[Column4]])</f>
        <v xml:space="preserve"> </v>
      </c>
      <c r="J107" s="287" t="str">
        <f>IF(Table1[[#This Row],[Column5]]="","",INDEX(Table2[e],IF(Table1[[#This Row],[Column5]]="","",MATCH(Table1[[#This Row],[Column5]],Table2[a],0)),))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IF(Table1[Column3]="","",B$1+COUNT(INDIRECT("B$2:B"&amp;ROW()-1)))</f>
        <v/>
      </c>
      <c r="C108" s="281" t="str">
        <f>IF(Table1[[#This Row],[Column2]]="","",Table1[[#This Row],[Column2]]+C$1-1)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Row],[Column3]])," ",Table1[[#This Row],[Column4]])</f>
        <v xml:space="preserve"> </v>
      </c>
      <c r="J108" s="287" t="str">
        <f>IF(Table1[[#This Row],[Column5]]="","",INDEX(Table2[e],IF(Table1[[#This Row],[Column5]]="","",MATCH(Table1[[#This Row],[Column5]],Table2[a],0)),))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>
        <f ca="1">IF(Table1[[#This Row],[No. Invoice :]]="","",ROW())</f>
        <v>109</v>
      </c>
      <c r="B109" s="287">
        <f ca="1">IF(Table1[Column3]="","",B$1+COUNT(INDIRECT("B$2:B"&amp;ROW()-1)))</f>
        <v>23090025</v>
      </c>
      <c r="C109" s="281">
        <f>IF(Table1[[#This Row],[Column2]]="","",Table1[[#This Row],[Column2]]+C$1-1)</f>
        <v>45199</v>
      </c>
      <c r="D109" s="292">
        <v>30</v>
      </c>
      <c r="E109" s="280" t="s">
        <v>245</v>
      </c>
      <c r="F109" s="282" t="s">
        <v>306</v>
      </c>
      <c r="G109" s="280" t="s">
        <v>90</v>
      </c>
      <c r="H109" s="287" t="str">
        <f ca="1">IF(Table1[[#This Row],[h_No. Invoice :]]="","",CONCATENATE("AM"," ",Table1[[#This Row],[h_No. Invoice :]]))</f>
        <v>AM 23090025</v>
      </c>
      <c r="I109" s="288" t="str">
        <f>CONCATENATE(UPPER(Table1[[#This Row],[Column3]])," ",Table1[[#This Row],[Column4]])</f>
        <v>G 3962</v>
      </c>
      <c r="J109" s="287" t="str">
        <f>IF(Table1[[#This Row],[Column5]]="","",INDEX(Table2[e],IF(Table1[[#This Row],[Column5]]="","",MATCH(Table1[[#This Row],[Column5]],Table2[a],0)),))</f>
        <v>LILY JULIAWATI (REJO AGUNG) JOMBANG</v>
      </c>
      <c r="K109" s="280">
        <v>576</v>
      </c>
      <c r="L109" s="280" t="s">
        <v>150</v>
      </c>
      <c r="M109" s="280">
        <v>2</v>
      </c>
      <c r="N109" s="280" t="s">
        <v>307</v>
      </c>
      <c r="O109" s="287" t="str">
        <f>IF(Table1[[#This Row],[h_Item Description]]="","",INDEX([1]!db[NB PAJAK],MATCH(Table1[[#This Row],[h_Item Description]],[1]!db[kode],0)))</f>
        <v>PENSIL WARNA JOYKO CP-S12 MINI (PENDEK)</v>
      </c>
      <c r="P109" s="280" t="s">
        <v>308</v>
      </c>
      <c r="Q109" s="283">
        <v>6700</v>
      </c>
      <c r="R109" s="284">
        <v>0.125</v>
      </c>
      <c r="T109" s="283">
        <f>Table1[[#This Row],[h_hargasetelahdiskon]]</f>
        <v>3376800</v>
      </c>
      <c r="U109" s="283" t="s">
        <v>135</v>
      </c>
      <c r="W109" s="287">
        <f ca="1">IF(Table1[[#This Row],[Item Description]]="","",IF(Table1[[#This Row],[//]]="",INDIRECT(ADDRESS(ROW()-1,COLUMN())),Table1[[#This Row],[//]]))</f>
        <v>109</v>
      </c>
      <c r="X109" s="287">
        <f ca="1">IF(Table1[[#This Row],[h_id]]="","",COUNTIF(Table1[h_id],Table1[[#This Row],[h_id]]))</f>
        <v>3</v>
      </c>
      <c r="Y109" s="283">
        <f>IF(Table1[Item Description]="","",Table1[[#This Row],[Qty]]*Table1[[#This Row],[Unit Price]])</f>
        <v>3859200</v>
      </c>
      <c r="Z109" s="283">
        <f>IF(Table1[[#This Row],[h_hargasebelumdiskon]]="","",IF(Table1[[#This Row],[Disc 1]]="",0,Table1[[#This Row],[h_hargasebelumdiskon]]*Table1[[#This Row],[Disc 1]]))</f>
        <v>482400</v>
      </c>
      <c r="AA109" s="283">
        <f>IF(Table1[[#This Row],[h_hargasebelumdiskon]]="","",IF(Table1[[#This Row],[Disc 2]]="",0,(Table1[[#This Row],[h_hargasebelumdiskon]]-Table1[[#This Row],[h_disc 1]])*Table1[[#This Row],[Disc 2]]))</f>
        <v>0</v>
      </c>
      <c r="AB109" s="283">
        <f>IF(Table1[Item Description]="","",Table1[[#This Row],[h_disc 1]]+Table1[[#This Row],[h_disc 2]])</f>
        <v>482400</v>
      </c>
      <c r="AC109" s="283">
        <f>IF(Table1[Item Description]="","",Table1[[#This Row],[h_hargasebelumdiskon]]-Table1[[#This Row],[h_diskon]])</f>
        <v>3376800</v>
      </c>
      <c r="AD109" s="283">
        <f ca="1">IF(Table1[//]="","",SUMIF(Table1[h_id],Table1[h_id],Table1[h_hargasetelahdiskon]))</f>
        <v>8719200</v>
      </c>
      <c r="AE109" s="283"/>
      <c r="AF109" s="283" t="str">
        <f>Table1[[#This Row],[Item Description]]&amp;Table1[[#This Row],[Unit]]&amp;Table1[[#This Row],[Unit Price]]</f>
        <v>PENSIL WARNA JOYKO CP-S12 MINI (PENDEK)PCS6700</v>
      </c>
    </row>
    <row r="110" spans="1:32" x14ac:dyDescent="0.25">
      <c r="A110" s="287" t="str">
        <f ca="1">IF(Table1[[#This Row],[No. Invoice :]]="","",ROW())</f>
        <v/>
      </c>
      <c r="B110" s="287" t="str">
        <f ca="1">IF(Table1[Column3]="","",B$1+COUNT(INDIRECT("B$2:B"&amp;ROW()-1)))</f>
        <v/>
      </c>
      <c r="C110" s="281" t="str">
        <f>IF(Table1[[#This Row],[Column2]]="","",Table1[[#This Row],[Column2]]+C$1-1)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Row],[Column3]])," ",Table1[[#This Row],[Column4]])</f>
        <v xml:space="preserve"> </v>
      </c>
      <c r="J110" s="287" t="str">
        <f>IF(Table1[[#This Row],[Column5]]="","",INDEX(Table2[e],IF(Table1[[#This Row],[Column5]]="","",MATCH(Table1[[#This Row],[Column5]],Table2[a],0)),))</f>
        <v/>
      </c>
      <c r="K110" s="280">
        <v>288</v>
      </c>
      <c r="L110" s="280" t="s">
        <v>150</v>
      </c>
      <c r="M110" s="280">
        <v>2</v>
      </c>
      <c r="N110" s="280" t="s">
        <v>269</v>
      </c>
      <c r="O110" s="287" t="str">
        <f>IF(Table1[[#This Row],[h_Item Description]]="","",INDEX([1]!db[NB PAJAK],MATCH(Table1[[#This Row],[h_Item Description]],[1]!db[kode],0)))</f>
        <v>PENSIL WARNA JOYKO CP-12PB (PANJANG)</v>
      </c>
      <c r="P110" s="280" t="s">
        <v>270</v>
      </c>
      <c r="Q110" s="283">
        <v>10600</v>
      </c>
      <c r="R110" s="284">
        <v>0.125</v>
      </c>
      <c r="T110" s="283">
        <f>Table1[[#This Row],[h_hargasetelahdiskon]]</f>
        <v>2671200</v>
      </c>
      <c r="W110" s="287">
        <f ca="1">IF(Table1[[#This Row],[Item Description]]="","",IF(Table1[[#This Row],[//]]="",INDIRECT(ADDRESS(ROW()-1,COLUMN())),Table1[[#This Row],[//]]))</f>
        <v>109</v>
      </c>
      <c r="X110" s="287">
        <f ca="1">IF(Table1[[#This Row],[h_id]]="","",COUNTIF(Table1[h_id],Table1[[#This Row],[h_id]]))</f>
        <v>3</v>
      </c>
      <c r="Y110" s="283">
        <f>IF(Table1[Item Description]="","",Table1[[#This Row],[Qty]]*Table1[[#This Row],[Unit Price]])</f>
        <v>3052800</v>
      </c>
      <c r="Z110" s="283">
        <f>IF(Table1[[#This Row],[h_hargasebelumdiskon]]="","",IF(Table1[[#This Row],[Disc 1]]="",0,Table1[[#This Row],[h_hargasebelumdiskon]]*Table1[[#This Row],[Disc 1]]))</f>
        <v>381600</v>
      </c>
      <c r="AA110" s="283">
        <f>IF(Table1[[#This Row],[h_hargasebelumdiskon]]="","",IF(Table1[[#This Row],[Disc 2]]="",0,(Table1[[#This Row],[h_hargasebelumdiskon]]-Table1[[#This Row],[h_disc 1]])*Table1[[#This Row],[Disc 2]]))</f>
        <v>0</v>
      </c>
      <c r="AB110" s="283">
        <f>IF(Table1[Item Description]="","",Table1[[#This Row],[h_disc 1]]+Table1[[#This Row],[h_disc 2]])</f>
        <v>381600</v>
      </c>
      <c r="AC110" s="283">
        <f>IF(Table1[Item Description]="","",Table1[[#This Row],[h_hargasebelumdiskon]]-Table1[[#This Row],[h_diskon]])</f>
        <v>2671200</v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>PENSIL WARNA JOYKO CP-12PB (PANJANG)PCS10600</v>
      </c>
    </row>
    <row r="111" spans="1:32" x14ac:dyDescent="0.25">
      <c r="A111" s="287" t="str">
        <f ca="1">IF(Table1[[#This Row],[No. Invoice :]]="","",ROW())</f>
        <v/>
      </c>
      <c r="B111" s="287" t="str">
        <f ca="1">IF(Table1[Column3]="","",B$1+COUNT(INDIRECT("B$2:B"&amp;ROW()-1)))</f>
        <v/>
      </c>
      <c r="C111" s="281" t="str">
        <f>IF(Table1[[#This Row],[Column2]]="","",Table1[[#This Row],[Column2]]+C$1-1)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Row],[Column3]])," ",Table1[[#This Row],[Column4]])</f>
        <v xml:space="preserve"> </v>
      </c>
      <c r="J111" s="287" t="str">
        <f>IF(Table1[[#This Row],[Column5]]="","",INDEX(Table2[e],IF(Table1[[#This Row],[Column5]]="","",MATCH(Table1[[#This Row],[Column5]],Table2[a],0)),))</f>
        <v/>
      </c>
      <c r="K111" s="280">
        <v>144</v>
      </c>
      <c r="L111" s="280" t="s">
        <v>150</v>
      </c>
      <c r="M111" s="280">
        <v>2</v>
      </c>
      <c r="N111" s="280" t="s">
        <v>228</v>
      </c>
      <c r="O111" s="287" t="str">
        <f>IF(Table1[[#This Row],[h_Item Description]]="","",INDEX([1]!db[NB PAJAK],MATCH(Table1[[#This Row],[h_Item Description]],[1]!db[kode],0)))</f>
        <v>PENSIL WARNA JOYKO CP-24PB (PANJANG)</v>
      </c>
      <c r="P111" s="280" t="s">
        <v>233</v>
      </c>
      <c r="Q111" s="283">
        <v>21200</v>
      </c>
      <c r="R111" s="284">
        <v>0.125</v>
      </c>
      <c r="T111" s="283">
        <f>Table1[[#This Row],[h_hargasetelahdiskon]]</f>
        <v>2671200</v>
      </c>
      <c r="W111" s="287">
        <f ca="1">IF(Table1[[#This Row],[Item Description]]="","",IF(Table1[[#This Row],[//]]="",INDIRECT(ADDRESS(ROW()-1,COLUMN())),Table1[[#This Row],[//]]))</f>
        <v>109</v>
      </c>
      <c r="X111" s="287">
        <f ca="1">IF(Table1[[#This Row],[h_id]]="","",COUNTIF(Table1[h_id],Table1[[#This Row],[h_id]]))</f>
        <v>3</v>
      </c>
      <c r="Y111" s="283">
        <f>IF(Table1[Item Description]="","",Table1[[#This Row],[Qty]]*Table1[[#This Row],[Unit Price]])</f>
        <v>3052800</v>
      </c>
      <c r="Z111" s="283">
        <f>IF(Table1[[#This Row],[h_hargasebelumdiskon]]="","",IF(Table1[[#This Row],[Disc 1]]="",0,Table1[[#This Row],[h_hargasebelumdiskon]]*Table1[[#This Row],[Disc 1]]))</f>
        <v>381600</v>
      </c>
      <c r="AA111" s="283">
        <f>IF(Table1[[#This Row],[h_hargasebelumdiskon]]="","",IF(Table1[[#This Row],[Disc 2]]="",0,(Table1[[#This Row],[h_hargasebelumdiskon]]-Table1[[#This Row],[h_disc 1]])*Table1[[#This Row],[Disc 2]]))</f>
        <v>0</v>
      </c>
      <c r="AB111" s="283">
        <f>IF(Table1[Item Description]="","",Table1[[#This Row],[h_disc 1]]+Table1[[#This Row],[h_disc 2]])</f>
        <v>381600</v>
      </c>
      <c r="AC111" s="283">
        <f>IF(Table1[Item Description]="","",Table1[[#This Row],[h_hargasebelumdiskon]]-Table1[[#This Row],[h_diskon]])</f>
        <v>2671200</v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>PENSIL WARNA JOYKO CP-24PB (PANJANG)PCS21200</v>
      </c>
    </row>
    <row r="112" spans="1:32" x14ac:dyDescent="0.25">
      <c r="A112" s="287" t="str">
        <f ca="1">IF(Table1[[#This Row],[No. Invoice :]]="","",ROW())</f>
        <v/>
      </c>
      <c r="B112" s="287" t="str">
        <f ca="1">IF(Table1[Column3]="","",B$1+COUNT(INDIRECT("B$2:B"&amp;ROW()-1)))</f>
        <v/>
      </c>
      <c r="C112" s="281" t="str">
        <f>IF(Table1[[#This Row],[Column2]]="","",Table1[[#This Row],[Column2]]+C$1-1)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Row],[Column3]])," ",Table1[[#This Row],[Column4]])</f>
        <v xml:space="preserve"> </v>
      </c>
      <c r="J112" s="287" t="str">
        <f>IF(Table1[[#This Row],[Column5]]="","",INDEX(Table2[e],IF(Table1[[#This Row],[Column5]]="","",MATCH(Table1[[#This Row],[Column5]],Table2[a],0)),))</f>
        <v/>
      </c>
      <c r="O112" s="287" t="str">
        <f>IF(Table1[[#This Row],[h_Item Description]]="","",INDEX([1]!db[NB PAJAK],MATCH(Table1[[#This Row],[h_Item Description]],[1]!db[kode],0)))</f>
        <v/>
      </c>
      <c r="P112" s="287"/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IF(Table1[Column3]="","",B$1+COUNT(INDIRECT("B$2:B"&amp;ROW()-1)))</f>
        <v/>
      </c>
      <c r="C113" s="281" t="str">
        <f>IF(Table1[[#This Row],[Column2]]="","",Table1[[#This Row],[Column2]]+C$1-1)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Row],[Column3]])," ",Table1[[#This Row],[Column4]])</f>
        <v xml:space="preserve"> </v>
      </c>
      <c r="J113" s="287" t="str">
        <f>IF(Table1[[#This Row],[Column5]]="","",INDEX(Table2[e],IF(Table1[[#This Row],[Column5]]="","",MATCH(Table1[[#This Row],[Column5]],Table2[a],0)),))</f>
        <v/>
      </c>
      <c r="O113" s="287" t="str">
        <f>IF(Table1[[#This Row],[h_Item Description]]="","",INDEX([1]!db[NB PAJAK],MATCH(Table1[[#This Row],[h_Item Description]],[1]!db[kode],0)))</f>
        <v/>
      </c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IF(Table1[Column3]="","",B$1+COUNT(INDIRECT("B$2:B"&amp;ROW()-1)))</f>
        <v/>
      </c>
      <c r="C114" s="281" t="str">
        <f>IF(Table1[[#This Row],[Column2]]="","",Table1[[#This Row],[Column2]]+C$1-1)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Row],[Column3]])," ",Table1[[#This Row],[Column4]])</f>
        <v xml:space="preserve"> </v>
      </c>
      <c r="J114" s="287" t="str">
        <f>IF(Table1[[#This Row],[Column5]]="","",INDEX(Table2[e],IF(Table1[[#This Row],[Column5]]="","",MATCH(Table1[[#This Row],[Column5]],Table2[a],0)),))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IF(Table1[Column3]="","",B$1+COUNT(INDIRECT("B$2:B"&amp;ROW()-1)))</f>
        <v/>
      </c>
      <c r="C115" s="281" t="str">
        <f>IF(Table1[[#This Row],[Column2]]="","",Table1[[#This Row],[Column2]]+C$1-1)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Row],[Column3]])," ",Table1[[#This Row],[Column4]])</f>
        <v xml:space="preserve"> </v>
      </c>
      <c r="J115" s="287" t="str">
        <f>IF(Table1[[#This Row],[Column5]]="","",INDEX(Table2[e],IF(Table1[[#This Row],[Column5]]="","",MATCH(Table1[[#This Row],[Column5]],Table2[a],0)),))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IF(Table1[Column3]="","",B$1+COUNT(INDIRECT("B$2:B"&amp;ROW()-1)))</f>
        <v/>
      </c>
      <c r="C116" s="281" t="str">
        <f>IF(Table1[[#This Row],[Column2]]="","",Table1[[#This Row],[Column2]]+C$1-1)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Row],[Column3]])," ",Table1[[#This Row],[Column4]])</f>
        <v xml:space="preserve"> </v>
      </c>
      <c r="J116" s="287" t="str">
        <f>IF(Table1[[#This Row],[Column5]]="","",INDEX(Table2[e],IF(Table1[[#This Row],[Column5]]="","",MATCH(Table1[[#This Row],[Column5]],Table2[a],0)),))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IF(Table1[Column3]="","",B$1+COUNT(INDIRECT("B$2:B"&amp;ROW()-1)))</f>
        <v/>
      </c>
      <c r="C117" s="281" t="str">
        <f>IF(Table1[[#This Row],[Column2]]="","",Table1[[#This Row],[Column2]]+C$1-1)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Row],[Column3]])," ",Table1[[#This Row],[Column4]])</f>
        <v xml:space="preserve"> </v>
      </c>
      <c r="J117" s="287" t="str">
        <f>IF(Table1[[#This Row],[Column5]]="","",INDEX(Table2[e],IF(Table1[[#This Row],[Column5]]="","",MATCH(Table1[[#This Row],[Column5]],Table2[a],0)),))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IF(Table1[Column3]="","",B$1+COUNT(INDIRECT("B$2:B"&amp;ROW()-1)))</f>
        <v/>
      </c>
      <c r="C118" s="281" t="str">
        <f>IF(Table1[[#This Row],[Column2]]="","",Table1[[#This Row],[Column2]]+C$1-1)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Row],[Column3]])," ",Table1[[#This Row],[Column4]])</f>
        <v xml:space="preserve"> </v>
      </c>
      <c r="J118" s="287" t="str">
        <f>IF(Table1[[#This Row],[Column5]]="","",INDEX(Table2[e],IF(Table1[[#This Row],[Column5]]="","",MATCH(Table1[[#This Row],[Column5]],Table2[a],0)),))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IF(Table1[Column3]="","",B$1+COUNT(INDIRECT("B$2:B"&amp;ROW()-1)))</f>
        <v/>
      </c>
      <c r="C119" s="281" t="str">
        <f>IF(Table1[[#This Row],[Column2]]="","",Table1[[#This Row],[Column2]]+C$1-1)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Row],[Column3]])," ",Table1[[#This Row],[Column4]])</f>
        <v xml:space="preserve"> </v>
      </c>
      <c r="J119" s="287" t="str">
        <f>IF(Table1[[#This Row],[Column5]]="","",INDEX(Table2[e],IF(Table1[[#This Row],[Column5]]="","",MATCH(Table1[[#This Row],[Column5]],Table2[a],0)),))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IF(Table1[Column3]="","",B$1+COUNT(INDIRECT("B$2:B"&amp;ROW()-1)))</f>
        <v/>
      </c>
      <c r="C120" s="281" t="str">
        <f>IF(Table1[[#This Row],[Column2]]="","",Table1[[#This Row],[Column2]]+C$1-1)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Row],[Column3]])," ",Table1[[#This Row],[Column4]])</f>
        <v xml:space="preserve"> </v>
      </c>
      <c r="J120" s="287" t="str">
        <f>IF(Table1[[#This Row],[Column5]]="","",INDEX(Table2[e],IF(Table1[[#This Row],[Column5]]="","",MATCH(Table1[[#This Row],[Column5]],Table2[a],0)),))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IF(Table1[Column3]="","",B$1+COUNT(INDIRECT("B$2:B"&amp;ROW()-1)))</f>
        <v/>
      </c>
      <c r="C121" s="281" t="str">
        <f>IF(Table1[[#This Row],[Column2]]="","",Table1[[#This Row],[Column2]]+C$1-1)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Row],[Column3]])," ",Table1[[#This Row],[Column4]])</f>
        <v xml:space="preserve"> </v>
      </c>
      <c r="J121" s="287" t="str">
        <f>IF(Table1[[#This Row],[Column5]]="","",INDEX(Table2[e],IF(Table1[[#This Row],[Column5]]="","",MATCH(Table1[[#This Row],[Column5]],Table2[a],0)),))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IF(Table1[Column3]="","",B$1+COUNT(INDIRECT("B$2:B"&amp;ROW()-1)))</f>
        <v/>
      </c>
      <c r="C122" s="281" t="str">
        <f>IF(Table1[[#This Row],[Column2]]="","",Table1[[#This Row],[Column2]]+C$1-1)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Row],[Column3]])," ",Table1[[#This Row],[Column4]])</f>
        <v xml:space="preserve"> </v>
      </c>
      <c r="J122" s="287" t="str">
        <f>IF(Table1[[#This Row],[Column5]]="","",INDEX(Table2[e],IF(Table1[[#This Row],[Column5]]="","",MATCH(Table1[[#This Row],[Column5]],Table2[a],0)),))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IF(Table1[Column3]="","",B$1+COUNT(INDIRECT("B$2:B"&amp;ROW()-1)))</f>
        <v/>
      </c>
      <c r="C123" s="281" t="str">
        <f>IF(Table1[[#This Row],[Column2]]="","",Table1[[#This Row],[Column2]]+C$1-1)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Row],[Column3]])," ",Table1[[#This Row],[Column4]])</f>
        <v xml:space="preserve"> </v>
      </c>
      <c r="J123" s="287" t="str">
        <f>IF(Table1[[#This Row],[Column5]]="","",INDEX(Table2[e],IF(Table1[[#This Row],[Column5]]="","",MATCH(Table1[[#This Row],[Column5]],Table2[a],0)),))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IF(Table1[Column3]="","",B$1+COUNT(INDIRECT("B$2:B"&amp;ROW()-1)))</f>
        <v/>
      </c>
      <c r="C124" s="281" t="str">
        <f>IF(Table1[[#This Row],[Column2]]="","",Table1[[#This Row],[Column2]]+C$1-1)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Row],[Column3]])," ",Table1[[#This Row],[Column4]])</f>
        <v xml:space="preserve"> </v>
      </c>
      <c r="J124" s="287" t="str">
        <f>IF(Table1[[#This Row],[Column5]]="","",INDEX(Table2[e],IF(Table1[[#This Row],[Column5]]="","",MATCH(Table1[[#This Row],[Column5]],Table2[a],0)),))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IF(Table1[Column3]="","",B$1+COUNT(INDIRECT("B$2:B"&amp;ROW()-1)))</f>
        <v/>
      </c>
      <c r="C125" s="281" t="str">
        <f>IF(Table1[[#This Row],[Column2]]="","",Table1[[#This Row],[Column2]]+C$1-1)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Row],[Column3]])," ",Table1[[#This Row],[Column4]])</f>
        <v xml:space="preserve"> </v>
      </c>
      <c r="J125" s="287" t="str">
        <f>IF(Table1[[#This Row],[Column5]]="","",INDEX(Table2[e],IF(Table1[[#This Row],[Column5]]="","",MATCH(Table1[[#This Row],[Column5]],Table2[a],0)),))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IF(Table1[Column3]="","",B$1+COUNT(INDIRECT("B$2:B"&amp;ROW()-1)))</f>
        <v/>
      </c>
      <c r="C126" s="281" t="str">
        <f>IF(Table1[[#This Row],[Column2]]="","",Table1[[#This Row],[Column2]]+C$1-1)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Row],[Column3]])," ",Table1[[#This Row],[Column4]])</f>
        <v xml:space="preserve"> </v>
      </c>
      <c r="J126" s="287" t="str">
        <f>IF(Table1[[#This Row],[Column5]]="","",INDEX(Table2[e],IF(Table1[[#This Row],[Column5]]="","",MATCH(Table1[[#This Row],[Column5]],Table2[a],0)),))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IF(Table1[Column3]="","",B$1+COUNT(INDIRECT("B$2:B"&amp;ROW()-1)))</f>
        <v/>
      </c>
      <c r="C127" s="281" t="str">
        <f>IF(Table1[[#This Row],[Column2]]="","",Table1[[#This Row],[Column2]]+C$1-1)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Row],[Column3]])," ",Table1[[#This Row],[Column4]])</f>
        <v xml:space="preserve"> </v>
      </c>
      <c r="J127" s="287" t="str">
        <f>IF(Table1[[#This Row],[Column5]]="","",INDEX(Table2[e],IF(Table1[[#This Row],[Column5]]="","",MATCH(Table1[[#This Row],[Column5]],Table2[a],0)),))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IF(Table1[Column3]="","",B$1+COUNT(INDIRECT("B$2:B"&amp;ROW()-1)))</f>
        <v/>
      </c>
      <c r="C128" s="281" t="str">
        <f>IF(Table1[[#This Row],[Column2]]="","",Table1[[#This Row],[Column2]]+C$1-1)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Row],[Column3]])," ",Table1[[#This Row],[Column4]])</f>
        <v xml:space="preserve"> </v>
      </c>
      <c r="J128" s="287" t="str">
        <f>IF(Table1[[#This Row],[Column5]]="","",INDEX(Table2[e],IF(Table1[[#This Row],[Column5]]="","",MATCH(Table1[[#This Row],[Column5]],Table2[a],0)),))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IF(Table1[Column3]="","",B$1+COUNT(INDIRECT("B$2:B"&amp;ROW()-1)))</f>
        <v/>
      </c>
      <c r="C129" s="281" t="str">
        <f>IF(Table1[[#This Row],[Column2]]="","",Table1[[#This Row],[Column2]]+C$1-1)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Row],[Column3]])," ",Table1[[#This Row],[Column4]])</f>
        <v xml:space="preserve"> </v>
      </c>
      <c r="J129" s="287" t="str">
        <f>IF(Table1[[#This Row],[Column5]]="","",INDEX(Table2[e],IF(Table1[[#This Row],[Column5]]="","",MATCH(Table1[[#This Row],[Column5]],Table2[a],0)),))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IF(Table1[Column3]="","",B$1+COUNT(INDIRECT("B$2:B"&amp;ROW()-1)))</f>
        <v/>
      </c>
      <c r="C130" s="281" t="str">
        <f>IF(Table1[[#This Row],[Column2]]="","",Table1[[#This Row],[Column2]]+C$1-1)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Row],[Column3]])," ",Table1[[#This Row],[Column4]])</f>
        <v xml:space="preserve"> </v>
      </c>
      <c r="J130" s="287" t="str">
        <f>IF(Table1[[#This Row],[Column5]]="","",INDEX(Table2[e],IF(Table1[[#This Row],[Column5]]="","",MATCH(Table1[[#This Row],[Column5]],Table2[a],0)),))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IF(Table1[Column3]="","",B$1+COUNT(INDIRECT("B$2:B"&amp;ROW()-1)))</f>
        <v/>
      </c>
      <c r="C131" s="281" t="str">
        <f>IF(Table1[[#This Row],[Column2]]="","",Table1[[#This Row],[Column2]]+C$1-1)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Row],[Column3]])," ",Table1[[#This Row],[Column4]])</f>
        <v xml:space="preserve"> </v>
      </c>
      <c r="J131" s="287" t="str">
        <f>IF(Table1[[#This Row],[Column5]]="","",INDEX(Table2[e],IF(Table1[[#This Row],[Column5]]="","",MATCH(Table1[[#This Row],[Column5]],Table2[a],0)),))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IF(Table1[Column3]="","",B$1+COUNT(INDIRECT("B$2:B"&amp;ROW()-1)))</f>
        <v/>
      </c>
      <c r="C132" s="281" t="str">
        <f>IF(Table1[[#This Row],[Column2]]="","",Table1[[#This Row],[Column2]]+C$1-1)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Row],[Column3]])," ",Table1[[#This Row],[Column4]])</f>
        <v xml:space="preserve"> </v>
      </c>
      <c r="J132" s="287" t="str">
        <f>IF(Table1[[#This Row],[Column5]]="","",INDEX(Table2[e],IF(Table1[[#This Row],[Column5]]="","",MATCH(Table1[[#This Row],[Column5]],Table2[a],0)),))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IF(Table1[Column3]="","",B$1+COUNT(INDIRECT("B$2:B"&amp;ROW()-1)))</f>
        <v/>
      </c>
      <c r="C133" s="281" t="str">
        <f>IF(Table1[[#This Row],[Column2]]="","",Table1[[#This Row],[Column2]]+C$1-1)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Row],[Column3]])," ",Table1[[#This Row],[Column4]])</f>
        <v xml:space="preserve"> </v>
      </c>
      <c r="J133" s="287" t="str">
        <f>IF(Table1[[#This Row],[Column5]]="","",INDEX(Table2[e],IF(Table1[[#This Row],[Column5]]="","",MATCH(Table1[[#This Row],[Column5]],Table2[a],0)),))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IF(Table1[Column3]="","",B$1+COUNT(INDIRECT("B$2:B"&amp;ROW()-1)))</f>
        <v/>
      </c>
      <c r="C134" s="281" t="str">
        <f>IF(Table1[[#This Row],[Column2]]="","",Table1[[#This Row],[Column2]]+C$1-1)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Row],[Column3]])," ",Table1[[#This Row],[Column4]])</f>
        <v xml:space="preserve"> </v>
      </c>
      <c r="J134" s="287" t="str">
        <f>IF(Table1[[#This Row],[Column5]]="","",INDEX(Table2[e],IF(Table1[[#This Row],[Column5]]="","",MATCH(Table1[[#This Row],[Column5]],Table2[a],0)),))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IF(Table1[Column3]="","",B$1+COUNT(INDIRECT("B$2:B"&amp;ROW()-1)))</f>
        <v/>
      </c>
      <c r="C135" s="281" t="str">
        <f>IF(Table1[[#This Row],[Column2]]="","",Table1[[#This Row],[Column2]]+C$1-1)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Row],[Column3]])," ",Table1[[#This Row],[Column4]])</f>
        <v xml:space="preserve"> </v>
      </c>
      <c r="J135" s="287" t="str">
        <f>IF(Table1[[#This Row],[Column5]]="","",INDEX(Table2[e],IF(Table1[[#This Row],[Column5]]="","",MATCH(Table1[[#This Row],[Column5]],Table2[a],0)),))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IF(Table1[Column3]="","",B$1+COUNT(INDIRECT("B$2:B"&amp;ROW()-1)))</f>
        <v/>
      </c>
      <c r="C136" s="281" t="str">
        <f>IF(Table1[[#This Row],[Column2]]="","",Table1[[#This Row],[Column2]]+C$1-1)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Row],[Column3]])," ",Table1[[#This Row],[Column4]])</f>
        <v xml:space="preserve"> </v>
      </c>
      <c r="J136" s="287" t="str">
        <f>IF(Table1[[#This Row],[Column5]]="","",INDEX(Table2[e],IF(Table1[[#This Row],[Column5]]="","",MATCH(Table1[[#This Row],[Column5]],Table2[a],0)),))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IF(Table1[Column3]="","",B$1+COUNT(INDIRECT("B$2:B"&amp;ROW()-1)))</f>
        <v/>
      </c>
      <c r="C137" s="281" t="str">
        <f>IF(Table1[[#This Row],[Column2]]="","",Table1[[#This Row],[Column2]]+C$1-1)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Row],[Column3]])," ",Table1[[#This Row],[Column4]])</f>
        <v xml:space="preserve"> </v>
      </c>
      <c r="J137" s="287" t="str">
        <f>IF(Table1[[#This Row],[Column5]]="","",INDEX(Table2[e],IF(Table1[[#This Row],[Column5]]="","",MATCH(Table1[[#This Row],[Column5]],Table2[a],0)),))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IF(Table1[Column3]="","",B$1+COUNT(INDIRECT("B$2:B"&amp;ROW()-1)))</f>
        <v/>
      </c>
      <c r="C138" s="281" t="str">
        <f>IF(Table1[[#This Row],[Column2]]="","",Table1[[#This Row],[Column2]]+C$1-1)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Row],[Column3]])," ",Table1[[#This Row],[Column4]])</f>
        <v xml:space="preserve"> </v>
      </c>
      <c r="J138" s="287" t="str">
        <f>IF(Table1[[#This Row],[Column5]]="","",INDEX(Table2[e],IF(Table1[[#This Row],[Column5]]="","",MATCH(Table1[[#This Row],[Column5]],Table2[a],0)),))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IF(Table1[Column3]="","",B$1+COUNT(INDIRECT("B$2:B"&amp;ROW()-1)))</f>
        <v/>
      </c>
      <c r="C139" s="281" t="str">
        <f>IF(Table1[[#This Row],[Column2]]="","",Table1[[#This Row],[Column2]]+C$1-1)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Row],[Column3]])," ",Table1[[#This Row],[Column4]])</f>
        <v xml:space="preserve"> </v>
      </c>
      <c r="J139" s="287" t="str">
        <f>IF(Table1[[#This Row],[Column5]]="","",INDEX(Table2[e],IF(Table1[[#This Row],[Column5]]="","",MATCH(Table1[[#This Row],[Column5]],Table2[a],0)),))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IF(Table1[Column3]="","",B$1+COUNT(INDIRECT("B$2:B"&amp;ROW()-1)))</f>
        <v/>
      </c>
      <c r="C140" s="281" t="str">
        <f>IF(Table1[[#This Row],[Column2]]="","",Table1[[#This Row],[Column2]]+C$1-1)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Row],[Column3]])," ",Table1[[#This Row],[Column4]])</f>
        <v xml:space="preserve"> </v>
      </c>
      <c r="J140" s="287" t="str">
        <f>IF(Table1[[#This Row],[Column5]]="","",INDEX(Table2[e],IF(Table1[[#This Row],[Column5]]="","",MATCH(Table1[[#This Row],[Column5]],Table2[a],0)),))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IF(Table1[Column3]="","",B$1+COUNT(INDIRECT("B$2:B"&amp;ROW()-1)))</f>
        <v/>
      </c>
      <c r="C141" s="281" t="str">
        <f>IF(Table1[[#This Row],[Column2]]="","",Table1[[#This Row],[Column2]]+C$1-1)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Row],[Column3]])," ",Table1[[#This Row],[Column4]])</f>
        <v xml:space="preserve"> </v>
      </c>
      <c r="J141" s="287" t="str">
        <f>IF(Table1[[#This Row],[Column5]]="","",INDEX(Table2[e],IF(Table1[[#This Row],[Column5]]="","",MATCH(Table1[[#This Row],[Column5]],Table2[a],0)),))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IF(Table1[Column3]="","",B$1+COUNT(INDIRECT("B$2:B"&amp;ROW()-1)))</f>
        <v/>
      </c>
      <c r="C142" s="281" t="str">
        <f>IF(Table1[[#This Row],[Column2]]="","",Table1[[#This Row],[Column2]]+C$1-1)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Row],[Column3]])," ",Table1[[#This Row],[Column4]])</f>
        <v xml:space="preserve"> </v>
      </c>
      <c r="J142" s="287" t="str">
        <f>IF(Table1[[#This Row],[Column5]]="","",INDEX(Table2[e],IF(Table1[[#This Row],[Column5]]="","",MATCH(Table1[[#This Row],[Column5]],Table2[a],0)),))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IF(Table1[Column3]="","",B$1+COUNT(INDIRECT("B$2:B"&amp;ROW()-1)))</f>
        <v/>
      </c>
      <c r="C143" s="281" t="str">
        <f>IF(Table1[[#This Row],[Column2]]="","",Table1[[#This Row],[Column2]]+C$1-1)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Row],[Column3]])," ",Table1[[#This Row],[Column4]])</f>
        <v xml:space="preserve"> </v>
      </c>
      <c r="J143" s="287" t="str">
        <f>IF(Table1[[#This Row],[Column5]]="","",INDEX(Table2[e],IF(Table1[[#This Row],[Column5]]="","",MATCH(Table1[[#This Row],[Column5]],Table2[a],0)),))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IF(Table1[Column3]="","",B$1+COUNT(INDIRECT("B$2:B"&amp;ROW()-1)))</f>
        <v/>
      </c>
      <c r="C144" s="281" t="str">
        <f>IF(Table1[[#This Row],[Column2]]="","",Table1[[#This Row],[Column2]]+C$1-1)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Row],[Column3]])," ",Table1[[#This Row],[Column4]])</f>
        <v xml:space="preserve"> </v>
      </c>
      <c r="J144" s="287" t="str">
        <f>IF(Table1[[#This Row],[Column5]]="","",INDEX(Table2[e],IF(Table1[[#This Row],[Column5]]="","",MATCH(Table1[[#This Row],[Column5]],Table2[a],0)),))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IF(Table1[Column3]="","",B$1+COUNT(INDIRECT("B$2:B"&amp;ROW()-1)))</f>
        <v/>
      </c>
      <c r="C145" s="281" t="str">
        <f>IF(Table1[[#This Row],[Column2]]="","",Table1[[#This Row],[Column2]]+C$1-1)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Row],[Column3]])," ",Table1[[#This Row],[Column4]])</f>
        <v xml:space="preserve"> </v>
      </c>
      <c r="J145" s="287" t="str">
        <f>IF(Table1[[#This Row],[Column5]]="","",INDEX(Table2[e],IF(Table1[[#This Row],[Column5]]="","",MATCH(Table1[[#This Row],[Column5]],Table2[a],0)),))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IF(Table1[Column3]="","",B$1+COUNT(INDIRECT("B$2:B"&amp;ROW()-1)))</f>
        <v/>
      </c>
      <c r="C146" s="281" t="str">
        <f>IF(Table1[[#This Row],[Column2]]="","",Table1[[#This Row],[Column2]]+C$1-1)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Row],[Column3]])," ",Table1[[#This Row],[Column4]])</f>
        <v xml:space="preserve"> </v>
      </c>
      <c r="J146" s="287" t="str">
        <f>IF(Table1[[#This Row],[Column5]]="","",INDEX(Table2[e],IF(Table1[[#This Row],[Column5]]="","",MATCH(Table1[[#This Row],[Column5]],Table2[a],0)),))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IF(Table1[Column3]="","",B$1+COUNT(INDIRECT("B$2:B"&amp;ROW()-1)))</f>
        <v/>
      </c>
      <c r="C147" s="281" t="str">
        <f>IF(Table1[[#This Row],[Column2]]="","",Table1[[#This Row],[Column2]]+C$1-1)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Row],[Column3]])," ",Table1[[#This Row],[Column4]])</f>
        <v xml:space="preserve"> </v>
      </c>
      <c r="J147" s="287" t="str">
        <f>IF(Table1[[#This Row],[Column5]]="","",INDEX(Table2[e],IF(Table1[[#This Row],[Column5]]="","",MATCH(Table1[[#This Row],[Column5]],Table2[a],0)),))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IF(Table1[Column3]="","",B$1+COUNT(INDIRECT("B$2:B"&amp;ROW()-1)))</f>
        <v/>
      </c>
      <c r="C148" s="281" t="str">
        <f>IF(Table1[[#This Row],[Column2]]="","",Table1[[#This Row],[Column2]]+C$1-1)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Row],[Column3]])," ",Table1[[#This Row],[Column4]])</f>
        <v xml:space="preserve"> </v>
      </c>
      <c r="J148" s="287" t="str">
        <f>IF(Table1[[#This Row],[Column5]]="","",INDEX(Table2[e],IF(Table1[[#This Row],[Column5]]="","",MATCH(Table1[[#This Row],[Column5]],Table2[a],0)),))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IF(Table1[Column3]="","",B$1+COUNT(INDIRECT("B$2:B"&amp;ROW()-1)))</f>
        <v/>
      </c>
      <c r="C149" s="281" t="str">
        <f>IF(Table1[[#This Row],[Column2]]="","",Table1[[#This Row],[Column2]]+C$1-1)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Row],[Column3]])," ",Table1[[#This Row],[Column4]])</f>
        <v xml:space="preserve"> </v>
      </c>
      <c r="J149" s="287" t="str">
        <f>IF(Table1[[#This Row],[Column5]]="","",INDEX(Table2[e],IF(Table1[[#This Row],[Column5]]="","",MATCH(Table1[[#This Row],[Column5]],Table2[a],0)),))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IF(Table1[Column3]="","",B$1+COUNT(INDIRECT("B$2:B"&amp;ROW()-1)))</f>
        <v/>
      </c>
      <c r="C150" s="281" t="str">
        <f>IF(Table1[[#This Row],[Column2]]="","",Table1[[#This Row],[Column2]]+C$1-1)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Row],[Column3]])," ",Table1[[#This Row],[Column4]])</f>
        <v xml:space="preserve"> </v>
      </c>
      <c r="J150" s="287" t="str">
        <f>IF(Table1[[#This Row],[Column5]]="","",INDEX(Table2[e],IF(Table1[[#This Row],[Column5]]="","",MATCH(Table1[[#This Row],[Column5]],Table2[a],0)),))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IF(Table1[Column3]="","",B$1+COUNT(INDIRECT("B$2:B"&amp;ROW()-1)))</f>
        <v/>
      </c>
      <c r="C151" s="281" t="str">
        <f>IF(Table1[[#This Row],[Column2]]="","",Table1[[#This Row],[Column2]]+C$1-1)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Row],[Column3]])," ",Table1[[#This Row],[Column4]])</f>
        <v xml:space="preserve"> </v>
      </c>
      <c r="J151" s="287" t="str">
        <f>IF(Table1[[#This Row],[Column5]]="","",INDEX(Table2[e],IF(Table1[[#This Row],[Column5]]="","",MATCH(Table1[[#This Row],[Column5]],Table2[a],0)),))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IF(Table1[Column3]="","",B$1+COUNT(INDIRECT("B$2:B"&amp;ROW()-1)))</f>
        <v/>
      </c>
      <c r="C152" s="281" t="str">
        <f>IF(Table1[[#This Row],[Column2]]="","",Table1[[#This Row],[Column2]]+C$1-1)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Row],[Column3]])," ",Table1[[#This Row],[Column4]])</f>
        <v xml:space="preserve"> </v>
      </c>
      <c r="J152" s="287" t="str">
        <f>IF(Table1[[#This Row],[Column5]]="","",INDEX(Table2[e],IF(Table1[[#This Row],[Column5]]="","",MATCH(Table1[[#This Row],[Column5]],Table2[a],0)),))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IF(Table1[Column3]="","",B$1+COUNT(INDIRECT("B$2:B"&amp;ROW()-1)))</f>
        <v/>
      </c>
      <c r="C153" s="281" t="str">
        <f>IF(Table1[[#This Row],[Column2]]="","",Table1[[#This Row],[Column2]]+C$1-1)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Row],[Column3]])," ",Table1[[#This Row],[Column4]])</f>
        <v xml:space="preserve"> </v>
      </c>
      <c r="J153" s="287" t="str">
        <f>IF(Table1[[#This Row],[Column5]]="","",INDEX(Table2[e],IF(Table1[[#This Row],[Column5]]="","",MATCH(Table1[[#This Row],[Column5]],Table2[a],0)),))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IF(Table1[Column3]="","",B$1+COUNT(INDIRECT("B$2:B"&amp;ROW()-1)))</f>
        <v/>
      </c>
      <c r="C154" s="281" t="str">
        <f>IF(Table1[[#This Row],[Column2]]="","",Table1[[#This Row],[Column2]]+C$1-1)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Row],[Column3]])," ",Table1[[#This Row],[Column4]])</f>
        <v xml:space="preserve"> </v>
      </c>
      <c r="J154" s="287" t="str">
        <f>IF(Table1[[#This Row],[Column5]]="","",INDEX(Table2[e],IF(Table1[[#This Row],[Column5]]="","",MATCH(Table1[[#This Row],[Column5]],Table2[a],0)),))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IF(Table1[Column3]="","",B$1+COUNT(INDIRECT("B$2:B"&amp;ROW()-1)))</f>
        <v/>
      </c>
      <c r="C155" s="281" t="str">
        <f>IF(Table1[[#This Row],[Column2]]="","",Table1[[#This Row],[Column2]]+C$1-1)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Row],[Column3]])," ",Table1[[#This Row],[Column4]])</f>
        <v xml:space="preserve"> </v>
      </c>
      <c r="J155" s="287" t="str">
        <f>IF(Table1[[#This Row],[Column5]]="","",INDEX(Table2[e],IF(Table1[[#This Row],[Column5]]="","",MATCH(Table1[[#This Row],[Column5]],Table2[a],0)),))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IF(Table1[Column3]="","",B$1+COUNT(INDIRECT("B$2:B"&amp;ROW()-1)))</f>
        <v/>
      </c>
      <c r="C156" s="281" t="str">
        <f>IF(Table1[[#This Row],[Column2]]="","",Table1[[#This Row],[Column2]]+C$1-1)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Row],[Column3]])," ",Table1[[#This Row],[Column4]])</f>
        <v xml:space="preserve"> </v>
      </c>
      <c r="J156" s="287" t="str">
        <f>IF(Table1[[#This Row],[Column5]]="","",INDEX(Table2[e],IF(Table1[[#This Row],[Column5]]="","",MATCH(Table1[[#This Row],[Column5]],Table2[a],0)),))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IF(Table1[Column3]="","",B$1+COUNT(INDIRECT("B$2:B"&amp;ROW()-1)))</f>
        <v/>
      </c>
      <c r="C157" s="281" t="str">
        <f>IF(Table1[[#This Row],[Column2]]="","",Table1[[#This Row],[Column2]]+C$1-1)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Row],[Column3]])," ",Table1[[#This Row],[Column4]])</f>
        <v xml:space="preserve"> </v>
      </c>
      <c r="J157" s="287" t="str">
        <f>IF(Table1[[#This Row],[Column5]]="","",INDEX(Table2[e],IF(Table1[[#This Row],[Column5]]="","",MATCH(Table1[[#This Row],[Column5]],Table2[a],0)),))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IF(Table1[Column3]="","",B$1+COUNT(INDIRECT("B$2:B"&amp;ROW()-1)))</f>
        <v/>
      </c>
      <c r="C158" s="281" t="str">
        <f>IF(Table1[[#This Row],[Column2]]="","",Table1[[#This Row],[Column2]]+C$1-1)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Row],[Column3]])," ",Table1[[#This Row],[Column4]])</f>
        <v xml:space="preserve"> </v>
      </c>
      <c r="J158" s="287" t="str">
        <f>IF(Table1[[#This Row],[Column5]]="","",INDEX(Table2[e],IF(Table1[[#This Row],[Column5]]="","",MATCH(Table1[[#This Row],[Column5]],Table2[a],0)),))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IF(Table1[Column3]="","",B$1+COUNT(INDIRECT("B$2:B"&amp;ROW()-1)))</f>
        <v/>
      </c>
      <c r="C159" s="281" t="str">
        <f>IF(Table1[[#This Row],[Column2]]="","",Table1[[#This Row],[Column2]]+C$1-1)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Row],[Column3]])," ",Table1[[#This Row],[Column4]])</f>
        <v xml:space="preserve"> </v>
      </c>
      <c r="J159" s="287" t="str">
        <f>IF(Table1[[#This Row],[Column5]]="","",INDEX(Table2[e],IF(Table1[[#This Row],[Column5]]="","",MATCH(Table1[[#This Row],[Column5]],Table2[a],0)),))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IF(Table1[Column3]="","",B$1+COUNT(INDIRECT("B$2:B"&amp;ROW()-1)))</f>
        <v/>
      </c>
      <c r="C160" s="281" t="str">
        <f>IF(Table1[[#This Row],[Column2]]="","",Table1[[#This Row],[Column2]]+C$1-1)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Row],[Column3]])," ",Table1[[#This Row],[Column4]])</f>
        <v xml:space="preserve"> </v>
      </c>
      <c r="J160" s="287" t="str">
        <f>IF(Table1[[#This Row],[Column5]]="","",INDEX(Table2[e],IF(Table1[[#This Row],[Column5]]="","",MATCH(Table1[[#This Row],[Column5]],Table2[a],0)),))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IF(Table1[Column3]="","",B$1+COUNT(INDIRECT("B$2:B"&amp;ROW()-1)))</f>
        <v/>
      </c>
      <c r="C161" s="281" t="str">
        <f>IF(Table1[[#This Row],[Column2]]="","",Table1[[#This Row],[Column2]]+C$1-1)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Row],[Column3]])," ",Table1[[#This Row],[Column4]])</f>
        <v xml:space="preserve"> </v>
      </c>
      <c r="J161" s="287" t="str">
        <f>IF(Table1[[#This Row],[Column5]]="","",INDEX(Table2[e],IF(Table1[[#This Row],[Column5]]="","",MATCH(Table1[[#This Row],[Column5]],Table2[a],0)),))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IF(Table1[Column3]="","",B$1+COUNT(INDIRECT("B$2:B"&amp;ROW()-1)))</f>
        <v/>
      </c>
      <c r="C162" s="281" t="str">
        <f>IF(Table1[[#This Row],[Column2]]="","",Table1[[#This Row],[Column2]]+C$1-1)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Row],[Column3]])," ",Table1[[#This Row],[Column4]])</f>
        <v xml:space="preserve"> </v>
      </c>
      <c r="J162" s="287" t="str">
        <f>IF(Table1[[#This Row],[Column5]]="","",INDEX(Table2[e],IF(Table1[[#This Row],[Column5]]="","",MATCH(Table1[[#This Row],[Column5]],Table2[a],0)),))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IF(Table1[Column3]="","",B$1+COUNT(INDIRECT("B$2:B"&amp;ROW()-1)))</f>
        <v/>
      </c>
      <c r="C163" s="281" t="str">
        <f>IF(Table1[[#This Row],[Column2]]="","",Table1[[#This Row],[Column2]]+C$1-1)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Row],[Column3]])," ",Table1[[#This Row],[Column4]])</f>
        <v xml:space="preserve"> </v>
      </c>
      <c r="J163" s="287" t="str">
        <f>IF(Table1[[#This Row],[Column5]]="","",INDEX(Table2[e],IF(Table1[[#This Row],[Column5]]="","",MATCH(Table1[[#This Row],[Column5]],Table2[a],0)),))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IF(Table1[Column3]="","",B$1+COUNT(INDIRECT("B$2:B"&amp;ROW()-1)))</f>
        <v/>
      </c>
      <c r="C164" s="281" t="str">
        <f>IF(Table1[[#This Row],[Column2]]="","",Table1[[#This Row],[Column2]]+C$1-1)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Row],[Column3]])," ",Table1[[#This Row],[Column4]])</f>
        <v xml:space="preserve"> </v>
      </c>
      <c r="J164" s="287" t="str">
        <f>IF(Table1[[#This Row],[Column5]]="","",INDEX(Table2[e],IF(Table1[[#This Row],[Column5]]="","",MATCH(Table1[[#This Row],[Column5]],Table2[a],0)),))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IF(Table1[Column3]="","",B$1+COUNT(INDIRECT("B$2:B"&amp;ROW()-1)))</f>
        <v/>
      </c>
      <c r="C165" s="281" t="str">
        <f>IF(Table1[[#This Row],[Column2]]="","",Table1[[#This Row],[Column2]]+C$1-1)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Row],[Column3]])," ",Table1[[#This Row],[Column4]])</f>
        <v xml:space="preserve"> </v>
      </c>
      <c r="J165" s="287" t="str">
        <f>IF(Table1[[#This Row],[Column5]]="","",INDEX(Table2[e],IF(Table1[[#This Row],[Column5]]="","",MATCH(Table1[[#This Row],[Column5]],Table2[a],0)),))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IF(Table1[Column3]="","",B$1+COUNT(INDIRECT("B$2:B"&amp;ROW()-1)))</f>
        <v/>
      </c>
      <c r="C166" s="281" t="str">
        <f>IF(Table1[[#This Row],[Column2]]="","",Table1[[#This Row],[Column2]]+C$1-1)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Row],[Column3]])," ",Table1[[#This Row],[Column4]])</f>
        <v xml:space="preserve"> </v>
      </c>
      <c r="J166" s="287" t="str">
        <f>IF(Table1[[#This Row],[Column5]]="","",INDEX(Table2[e],IF(Table1[[#This Row],[Column5]]="","",MATCH(Table1[[#This Row],[Column5]],Table2[a],0)),))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IF(Table1[Column3]="","",B$1+COUNT(INDIRECT("B$2:B"&amp;ROW()-1)))</f>
        <v/>
      </c>
      <c r="C167" s="281" t="str">
        <f>IF(Table1[[#This Row],[Column2]]="","",Table1[[#This Row],[Column2]]+C$1-1)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Row],[Column3]])," ",Table1[[#This Row],[Column4]])</f>
        <v xml:space="preserve"> </v>
      </c>
      <c r="J167" s="287" t="str">
        <f>IF(Table1[[#This Row],[Column5]]="","",INDEX(Table2[e],IF(Table1[[#This Row],[Column5]]="","",MATCH(Table1[[#This Row],[Column5]],Table2[a],0)),))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IF(Table1[Column3]="","",B$1+COUNT(INDIRECT("B$2:B"&amp;ROW()-1)))</f>
        <v/>
      </c>
      <c r="C168" s="281" t="str">
        <f>IF(Table1[[#This Row],[Column2]]="","",Table1[[#This Row],[Column2]]+C$1-1)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Row],[Column3]])," ",Table1[[#This Row],[Column4]])</f>
        <v xml:space="preserve"> </v>
      </c>
      <c r="J168" s="287" t="str">
        <f>IF(Table1[[#This Row],[Column5]]="","",INDEX(Table2[e],IF(Table1[[#This Row],[Column5]]="","",MATCH(Table1[[#This Row],[Column5]],Table2[a],0)),))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IF(Table1[Column3]="","",B$1+COUNT(INDIRECT("B$2:B"&amp;ROW()-1)))</f>
        <v/>
      </c>
      <c r="C169" s="281" t="str">
        <f>IF(Table1[[#This Row],[Column2]]="","",Table1[[#This Row],[Column2]]+C$1-1)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Row],[Column3]])," ",Table1[[#This Row],[Column4]])</f>
        <v xml:space="preserve"> </v>
      </c>
      <c r="J169" s="287" t="str">
        <f>IF(Table1[[#This Row],[Column5]]="","",INDEX(Table2[e],IF(Table1[[#This Row],[Column5]]="","",MATCH(Table1[[#This Row],[Column5]],Table2[a],0)),))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IF(Table1[Column3]="","",B$1+COUNT(INDIRECT("B$2:B"&amp;ROW()-1)))</f>
        <v/>
      </c>
      <c r="C170" s="281" t="str">
        <f>IF(Table1[[#This Row],[Column2]]="","",Table1[[#This Row],[Column2]]+C$1-1)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Row],[Column3]])," ",Table1[[#This Row],[Column4]])</f>
        <v xml:space="preserve"> </v>
      </c>
      <c r="J170" s="287" t="str">
        <f>IF(Table1[[#This Row],[Column5]]="","",INDEX(Table2[e],IF(Table1[[#This Row],[Column5]]="","",MATCH(Table1[[#This Row],[Column5]],Table2[a],0)),))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IF(Table1[Column3]="","",B$1+COUNT(INDIRECT("B$2:B"&amp;ROW()-1)))</f>
        <v/>
      </c>
      <c r="C171" s="281" t="str">
        <f>IF(Table1[[#This Row],[Column2]]="","",Table1[[#This Row],[Column2]]+C$1-1)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Row],[Column3]])," ",Table1[[#This Row],[Column4]])</f>
        <v xml:space="preserve"> </v>
      </c>
      <c r="J171" s="287" t="str">
        <f>IF(Table1[[#This Row],[Column5]]="","",INDEX(Table2[e],IF(Table1[[#This Row],[Column5]]="","",MATCH(Table1[[#This Row],[Column5]],Table2[a],0)),))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IF(Table1[Column3]="","",B$1+COUNT(INDIRECT("B$2:B"&amp;ROW()-1)))</f>
        <v/>
      </c>
      <c r="C172" s="281" t="str">
        <f>IF(Table1[[#This Row],[Column2]]="","",Table1[[#This Row],[Column2]]+C$1-1)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Row],[Column3]])," ",Table1[[#This Row],[Column4]])</f>
        <v xml:space="preserve"> </v>
      </c>
      <c r="J172" s="287" t="str">
        <f>IF(Table1[[#This Row],[Column5]]="","",INDEX(Table2[e],IF(Table1[[#This Row],[Column5]]="","",MATCH(Table1[[#This Row],[Column5]],Table2[a],0)),))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IF(Table1[Column3]="","",B$1+COUNT(INDIRECT("B$2:B"&amp;ROW()-1)))</f>
        <v/>
      </c>
      <c r="C173" s="281" t="str">
        <f>IF(Table1[[#This Row],[Column2]]="","",Table1[[#This Row],[Column2]]+C$1-1)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Row],[Column3]])," ",Table1[[#This Row],[Column4]])</f>
        <v xml:space="preserve"> </v>
      </c>
      <c r="J173" s="287" t="str">
        <f>IF(Table1[[#This Row],[Column5]]="","",INDEX(Table2[e],IF(Table1[[#This Row],[Column5]]="","",MATCH(Table1[[#This Row],[Column5]],Table2[a],0)),))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IF(Table1[Column3]="","",B$1+COUNT(INDIRECT("B$2:B"&amp;ROW()-1)))</f>
        <v/>
      </c>
      <c r="C174" s="281" t="str">
        <f>IF(Table1[[#This Row],[Column2]]="","",Table1[[#This Row],[Column2]]+C$1-1)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Row],[Column3]])," ",Table1[[#This Row],[Column4]])</f>
        <v xml:space="preserve"> </v>
      </c>
      <c r="J174" s="287" t="str">
        <f>IF(Table1[[#This Row],[Column5]]="","",INDEX(Table2[e],IF(Table1[[#This Row],[Column5]]="","",MATCH(Table1[[#This Row],[Column5]],Table2[a],0)),))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ht="16.5" x14ac:dyDescent="0.25">
      <c r="A175" s="287" t="str">
        <f ca="1">IF(Table1[[#This Row],[No. Invoice :]]="","",ROW())</f>
        <v/>
      </c>
      <c r="B175" s="287" t="str">
        <f ca="1">IF(Table1[Column3]="","",B$1+COUNT(INDIRECT("B$2:B"&amp;ROW()-1)))</f>
        <v/>
      </c>
      <c r="C175" s="281" t="str">
        <f>IF(Table1[[#This Row],[Column2]]="","",Table1[[#This Row],[Column2]]+C$1-1)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Row],[Column3]])," ",Table1[[#This Row],[Column4]])</f>
        <v xml:space="preserve"> </v>
      </c>
      <c r="J175" s="287" t="str">
        <f>IF(Table1[[#This Row],[Column5]]="","",INDEX(Table2[e],IF(Table1[[#This Row],[Column5]]="","",MATCH(Table1[[#This Row],[Column5]],Table2[a],0)),))</f>
        <v/>
      </c>
      <c r="O175" s="287" t="str">
        <f>IF(Table1[[#This Row],[h_Item Description]]="","",INDEX([1]!db[NB PAJAK],MATCH(Table1[[#This Row],[h_Item Description]],[1]!db[kode],0)))</f>
        <v/>
      </c>
      <c r="P175" s="290"/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x14ac:dyDescent="0.25">
      <c r="A176" s="287" t="str">
        <f ca="1">IF(Table1[[#This Row],[No. Invoice :]]="","",ROW())</f>
        <v/>
      </c>
      <c r="B176" s="287" t="str">
        <f ca="1">IF(Table1[Column3]="","",B$1+COUNT(INDIRECT("B$2:B"&amp;ROW()-1)))</f>
        <v/>
      </c>
      <c r="C176" s="281" t="str">
        <f>IF(Table1[[#This Row],[Column2]]="","",Table1[[#This Row],[Column2]]+C$1-1)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Row],[Column3]])," ",Table1[[#This Row],[Column4]])</f>
        <v xml:space="preserve"> </v>
      </c>
      <c r="J176" s="287" t="str">
        <f>IF(Table1[[#This Row],[Column5]]="","",INDEX(Table2[e],IF(Table1[[#This Row],[Column5]]="","",MATCH(Table1[[#This Row],[Column5]],Table2[a],0)),))</f>
        <v/>
      </c>
      <c r="O176" s="287" t="str">
        <f>IF(Table1[[#This Row],[h_Item Description]]="","",INDEX([1]!db[NB PAJAK],MATCH(Table1[[#This Row],[h_Item Description]],[1]!db[kode],0)))</f>
        <v/>
      </c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IF(Table1[Column3]="","",B$1+COUNT(INDIRECT("B$2:B"&amp;ROW()-1)))</f>
        <v/>
      </c>
      <c r="C177" s="281" t="str">
        <f>IF(Table1[[#This Row],[Column2]]="","",Table1[[#This Row],[Column2]]+C$1-1)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Row],[Column3]])," ",Table1[[#This Row],[Column4]])</f>
        <v xml:space="preserve"> </v>
      </c>
      <c r="J177" s="287" t="str">
        <f>IF(Table1[[#This Row],[Column5]]="","",INDEX(Table2[e],IF(Table1[[#This Row],[Column5]]="","",MATCH(Table1[[#This Row],[Column5]],Table2[a],0)),))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IF(Table1[Column3]="","",B$1+COUNT(INDIRECT("B$2:B"&amp;ROW()-1)))</f>
        <v/>
      </c>
      <c r="C178" s="281" t="str">
        <f>IF(Table1[[#This Row],[Column2]]="","",Table1[[#This Row],[Column2]]+C$1-1)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Row],[Column3]])," ",Table1[[#This Row],[Column4]])</f>
        <v xml:space="preserve"> </v>
      </c>
      <c r="J178" s="287" t="str">
        <f>IF(Table1[[#This Row],[Column5]]="","",INDEX(Table2[e],IF(Table1[[#This Row],[Column5]]="","",MATCH(Table1[[#This Row],[Column5]],Table2[a],0)),))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IF(Table1[Column3]="","",B$1+COUNT(INDIRECT("B$2:B"&amp;ROW()-1)))</f>
        <v/>
      </c>
      <c r="C179" s="281" t="str">
        <f>IF(Table1[[#This Row],[Column2]]="","",Table1[[#This Row],[Column2]]+C$1-1)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Row],[Column3]])," ",Table1[[#This Row],[Column4]])</f>
        <v xml:space="preserve"> </v>
      </c>
      <c r="J179" s="287" t="str">
        <f>IF(Table1[[#This Row],[Column5]]="","",INDEX(Table2[e],IF(Table1[[#This Row],[Column5]]="","",MATCH(Table1[[#This Row],[Column5]],Table2[a],0)),))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IF(Table1[Column3]="","",B$1+COUNT(INDIRECT("B$2:B"&amp;ROW()-1)))</f>
        <v/>
      </c>
      <c r="C180" s="281" t="str">
        <f>IF(Table1[[#This Row],[Column2]]="","",Table1[[#This Row],[Column2]]+C$1-1)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Row],[Column3]])," ",Table1[[#This Row],[Column4]])</f>
        <v xml:space="preserve"> </v>
      </c>
      <c r="J180" s="287" t="str">
        <f>IF(Table1[[#This Row],[Column5]]="","",INDEX(Table2[e],IF(Table1[[#This Row],[Column5]]="","",MATCH(Table1[[#This Row],[Column5]],Table2[a],0)),))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IF(Table1[Column3]="","",B$1+COUNT(INDIRECT("B$2:B"&amp;ROW()-1)))</f>
        <v/>
      </c>
      <c r="C181" s="281" t="str">
        <f>IF(Table1[[#This Row],[Column2]]="","",Table1[[#This Row],[Column2]]+C$1-1)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Row],[Column3]])," ",Table1[[#This Row],[Column4]])</f>
        <v xml:space="preserve"> </v>
      </c>
      <c r="J181" s="287" t="str">
        <f>IF(Table1[[#This Row],[Column5]]="","",INDEX(Table2[e],IF(Table1[[#This Row],[Column5]]="","",MATCH(Table1[[#This Row],[Column5]],Table2[a],0)),))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IF(Table1[Column3]="","",B$1+COUNT(INDIRECT("B$2:B"&amp;ROW()-1)))</f>
        <v/>
      </c>
      <c r="C182" s="281" t="str">
        <f>IF(Table1[[#This Row],[Column2]]="","",Table1[[#This Row],[Column2]]+C$1-1)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Row],[Column3]])," ",Table1[[#This Row],[Column4]])</f>
        <v xml:space="preserve"> </v>
      </c>
      <c r="J182" s="287" t="str">
        <f>IF(Table1[[#This Row],[Column5]]="","",INDEX(Table2[e],IF(Table1[[#This Row],[Column5]]="","",MATCH(Table1[[#This Row],[Column5]],Table2[a],0)),))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IF(Table1[Column3]="","",B$1+COUNT(INDIRECT("B$2:B"&amp;ROW()-1)))</f>
        <v/>
      </c>
      <c r="C183" s="281" t="str">
        <f>IF(Table1[[#This Row],[Column2]]="","",Table1[[#This Row],[Column2]]+C$1-1)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Row],[Column3]])," ",Table1[[#This Row],[Column4]])</f>
        <v xml:space="preserve"> </v>
      </c>
      <c r="J183" s="287" t="str">
        <f>IF(Table1[[#This Row],[Column5]]="","",INDEX(Table2[e],IF(Table1[[#This Row],[Column5]]="","",MATCH(Table1[[#This Row],[Column5]],Table2[a],0)),))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IF(Table1[Column3]="","",B$1+COUNT(INDIRECT("B$2:B"&amp;ROW()-1)))</f>
        <v/>
      </c>
      <c r="C184" s="281" t="str">
        <f>IF(Table1[[#This Row],[Column2]]="","",Table1[[#This Row],[Column2]]+C$1-1)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Row],[Column3]])," ",Table1[[#This Row],[Column4]])</f>
        <v xml:space="preserve"> </v>
      </c>
      <c r="J184" s="287" t="str">
        <f>IF(Table1[[#This Row],[Column5]]="","",INDEX(Table2[e],IF(Table1[[#This Row],[Column5]]="","",MATCH(Table1[[#This Row],[Column5]],Table2[a],0)),))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IF(Table1[Column3]="","",B$1+COUNT(INDIRECT("B$2:B"&amp;ROW()-1)))</f>
        <v/>
      </c>
      <c r="C185" s="281" t="str">
        <f>IF(Table1[[#This Row],[Column2]]="","",Table1[[#This Row],[Column2]]+C$1-1)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Row],[Column3]])," ",Table1[[#This Row],[Column4]])</f>
        <v xml:space="preserve"> </v>
      </c>
      <c r="J185" s="287" t="str">
        <f>IF(Table1[[#This Row],[Column5]]="","",INDEX(Table2[e],IF(Table1[[#This Row],[Column5]]="","",MATCH(Table1[[#This Row],[Column5]],Table2[a],0)),))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IF(Table1[Column3]="","",B$1+COUNT(INDIRECT("B$2:B"&amp;ROW()-1)))</f>
        <v/>
      </c>
      <c r="C186" s="281" t="str">
        <f>IF(Table1[[#This Row],[Column2]]="","",Table1[[#This Row],[Column2]]+C$1-1)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Row],[Column3]])," ",Table1[[#This Row],[Column4]])</f>
        <v xml:space="preserve"> </v>
      </c>
      <c r="J186" s="287" t="str">
        <f>IF(Table1[[#This Row],[Column5]]="","",INDEX(Table2[e],IF(Table1[[#This Row],[Column5]]="","",MATCH(Table1[[#This Row],[Column5]],Table2[a],0)),))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IF(Table1[Column3]="","",B$1+COUNT(INDIRECT("B$2:B"&amp;ROW()-1)))</f>
        <v/>
      </c>
      <c r="C187" s="281" t="str">
        <f>IF(Table1[[#This Row],[Column2]]="","",Table1[[#This Row],[Column2]]+C$1-1)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Row],[Column3]])," ",Table1[[#This Row],[Column4]])</f>
        <v xml:space="preserve"> </v>
      </c>
      <c r="J187" s="287" t="str">
        <f>IF(Table1[[#This Row],[Column5]]="","",INDEX(Table2[e],IF(Table1[[#This Row],[Column5]]="","",MATCH(Table1[[#This Row],[Column5]],Table2[a],0)),))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IF(Table1[Column3]="","",B$1+COUNT(INDIRECT("B$2:B"&amp;ROW()-1)))</f>
        <v/>
      </c>
      <c r="C188" s="281" t="str">
        <f>IF(Table1[[#This Row],[Column2]]="","",Table1[[#This Row],[Column2]]+C$1-1)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Row],[Column3]])," ",Table1[[#This Row],[Column4]])</f>
        <v xml:space="preserve"> </v>
      </c>
      <c r="J188" s="287" t="str">
        <f>IF(Table1[[#This Row],[Column5]]="","",INDEX(Table2[e],IF(Table1[[#This Row],[Column5]]="","",MATCH(Table1[[#This Row],[Column5]],Table2[a],0)),))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IF(Table1[Column3]="","",B$1+COUNT(INDIRECT("B$2:B"&amp;ROW()-1)))</f>
        <v/>
      </c>
      <c r="C189" s="281" t="str">
        <f>IF(Table1[[#This Row],[Column2]]="","",Table1[[#This Row],[Column2]]+C$1-1)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Row],[Column3]])," ",Table1[[#This Row],[Column4]])</f>
        <v xml:space="preserve"> </v>
      </c>
      <c r="J189" s="287" t="str">
        <f>IF(Table1[[#This Row],[Column5]]="","",INDEX(Table2[e],IF(Table1[[#This Row],[Column5]]="","",MATCH(Table1[[#This Row],[Column5]],Table2[a],0)),))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IF(Table1[Column3]="","",B$1+COUNT(INDIRECT("B$2:B"&amp;ROW()-1)))</f>
        <v/>
      </c>
      <c r="C190" s="281" t="str">
        <f>IF(Table1[[#This Row],[Column2]]="","",Table1[[#This Row],[Column2]]+C$1-1)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Row],[Column3]])," ",Table1[[#This Row],[Column4]])</f>
        <v xml:space="preserve"> </v>
      </c>
      <c r="J190" s="287" t="str">
        <f>IF(Table1[[#This Row],[Column5]]="","",INDEX(Table2[e],IF(Table1[[#This Row],[Column5]]="","",MATCH(Table1[[#This Row],[Column5]],Table2[a],0)),))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IF(Table1[Column3]="","",B$1+COUNT(INDIRECT("B$2:B"&amp;ROW()-1)))</f>
        <v/>
      </c>
      <c r="C191" s="281" t="str">
        <f>IF(Table1[[#This Row],[Column2]]="","",Table1[[#This Row],[Column2]]+C$1-1)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Row],[Column3]])," ",Table1[[#This Row],[Column4]])</f>
        <v xml:space="preserve"> </v>
      </c>
      <c r="J191" s="287" t="str">
        <f>IF(Table1[[#This Row],[Column5]]="","",INDEX(Table2[e],IF(Table1[[#This Row],[Column5]]="","",MATCH(Table1[[#This Row],[Column5]],Table2[a],0)),))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IF(Table1[Column3]="","",B$1+COUNT(INDIRECT("B$2:B"&amp;ROW()-1)))</f>
        <v/>
      </c>
      <c r="C192" s="281" t="str">
        <f>IF(Table1[[#This Row],[Column2]]="","",Table1[[#This Row],[Column2]]+C$1-1)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Row],[Column3]])," ",Table1[[#This Row],[Column4]])</f>
        <v xml:space="preserve"> </v>
      </c>
      <c r="J192" s="287" t="str">
        <f>IF(Table1[[#This Row],[Column5]]="","",INDEX(Table2[e],IF(Table1[[#This Row],[Column5]]="","",MATCH(Table1[[#This Row],[Column5]],Table2[a],0)),))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IF(Table1[Column3]="","",B$1+COUNT(INDIRECT("B$2:B"&amp;ROW()-1)))</f>
        <v/>
      </c>
      <c r="C193" s="281" t="str">
        <f>IF(Table1[[#This Row],[Column2]]="","",Table1[[#This Row],[Column2]]+C$1-1)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Row],[Column3]])," ",Table1[[#This Row],[Column4]])</f>
        <v xml:space="preserve"> </v>
      </c>
      <c r="J193" s="287" t="str">
        <f>IF(Table1[[#This Row],[Column5]]="","",INDEX(Table2[e],IF(Table1[[#This Row],[Column5]]="","",MATCH(Table1[[#This Row],[Column5]],Table2[a],0)),))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IF(Table1[Column3]="","",B$1+COUNT(INDIRECT("B$2:B"&amp;ROW()-1)))</f>
        <v/>
      </c>
      <c r="C194" s="281" t="str">
        <f>IF(Table1[[#This Row],[Column2]]="","",Table1[[#This Row],[Column2]]+C$1-1)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Row],[Column3]])," ",Table1[[#This Row],[Column4]])</f>
        <v xml:space="preserve"> </v>
      </c>
      <c r="J194" s="287" t="str">
        <f>IF(Table1[[#This Row],[Column5]]="","",INDEX(Table2[e],IF(Table1[[#This Row],[Column5]]="","",MATCH(Table1[[#This Row],[Column5]],Table2[a],0)),))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IF(Table1[Column3]="","",B$1+COUNT(INDIRECT("B$2:B"&amp;ROW()-1)))</f>
        <v/>
      </c>
      <c r="C195" s="281" t="str">
        <f>IF(Table1[[#This Row],[Column2]]="","",Table1[[#This Row],[Column2]]+C$1-1)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Row],[Column3]])," ",Table1[[#This Row],[Column4]])</f>
        <v xml:space="preserve"> </v>
      </c>
      <c r="J195" s="287" t="str">
        <f>IF(Table1[[#This Row],[Column5]]="","",INDEX(Table2[e],IF(Table1[[#This Row],[Column5]]="","",MATCH(Table1[[#This Row],[Column5]],Table2[a],0)),))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IF(Table1[Column3]="","",B$1+COUNT(INDIRECT("B$2:B"&amp;ROW()-1)))</f>
        <v/>
      </c>
      <c r="C196" s="281" t="str">
        <f>IF(Table1[[#This Row],[Column2]]="","",Table1[[#This Row],[Column2]]+C$1-1)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Row],[Column3]])," ",Table1[[#This Row],[Column4]])</f>
        <v xml:space="preserve"> </v>
      </c>
      <c r="J196" s="287" t="str">
        <f>IF(Table1[[#This Row],[Column5]]="","",INDEX(Table2[e],IF(Table1[[#This Row],[Column5]]="","",MATCH(Table1[[#This Row],[Column5]],Table2[a],0)),))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IF(Table1[Column3]="","",B$1+COUNT(INDIRECT("B$2:B"&amp;ROW()-1)))</f>
        <v/>
      </c>
      <c r="C197" s="281" t="str">
        <f>IF(Table1[[#This Row],[Column2]]="","",Table1[[#This Row],[Column2]]+C$1-1)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Row],[Column3]])," ",Table1[[#This Row],[Column4]])</f>
        <v xml:space="preserve"> </v>
      </c>
      <c r="J197" s="287" t="str">
        <f>IF(Table1[[#This Row],[Column5]]="","",INDEX(Table2[e],IF(Table1[[#This Row],[Column5]]="","",MATCH(Table1[[#This Row],[Column5]],Table2[a],0)),))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IF(Table1[Column3]="","",B$1+COUNT(INDIRECT("B$2:B"&amp;ROW()-1)))</f>
        <v/>
      </c>
      <c r="C198" s="281" t="str">
        <f>IF(Table1[[#This Row],[Column2]]="","",Table1[[#This Row],[Column2]]+C$1-1)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Row],[Column3]])," ",Table1[[#This Row],[Column4]])</f>
        <v xml:space="preserve"> </v>
      </c>
      <c r="J198" s="287" t="str">
        <f>IF(Table1[[#This Row],[Column5]]="","",INDEX(Table2[e],IF(Table1[[#This Row],[Column5]]="","",MATCH(Table1[[#This Row],[Column5]],Table2[a],0)),))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IF(Table1[Column3]="","",B$1+COUNT(INDIRECT("B$2:B"&amp;ROW()-1)))</f>
        <v/>
      </c>
      <c r="C199" s="281" t="str">
        <f>IF(Table1[[#This Row],[Column2]]="","",Table1[[#This Row],[Column2]]+C$1-1)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Row],[Column3]])," ",Table1[[#This Row],[Column4]])</f>
        <v xml:space="preserve"> </v>
      </c>
      <c r="J199" s="287" t="str">
        <f>IF(Table1[[#This Row],[Column5]]="","",INDEX(Table2[e],IF(Table1[[#This Row],[Column5]]="","",MATCH(Table1[[#This Row],[Column5]],Table2[a],0)),))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IF(Table1[Column3]="","",B$1+COUNT(INDIRECT("B$2:B"&amp;ROW()-1)))</f>
        <v/>
      </c>
      <c r="C200" s="281" t="str">
        <f>IF(Table1[[#This Row],[Column2]]="","",Table1[[#This Row],[Column2]]+C$1-1)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Row],[Column3]])," ",Table1[[#This Row],[Column4]])</f>
        <v xml:space="preserve"> </v>
      </c>
      <c r="J200" s="287" t="str">
        <f>IF(Table1[[#This Row],[Column5]]="","",INDEX(Table2[e],IF(Table1[[#This Row],[Column5]]="","",MATCH(Table1[[#This Row],[Column5]],Table2[a],0)),))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IF(Table1[Column3]="","",B$1+COUNT(INDIRECT("B$2:B"&amp;ROW()-1)))</f>
        <v/>
      </c>
      <c r="C201" s="281" t="str">
        <f>IF(Table1[[#This Row],[Column2]]="","",Table1[[#This Row],[Column2]]+C$1-1)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Row],[Column3]])," ",Table1[[#This Row],[Column4]])</f>
        <v xml:space="preserve"> </v>
      </c>
      <c r="J201" s="287" t="str">
        <f>IF(Table1[[#This Row],[Column5]]="","",INDEX(Table2[e],IF(Table1[[#This Row],[Column5]]="","",MATCH(Table1[[#This Row],[Column5]],Table2[a],0)),))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IF(Table1[Column3]="","",B$1+COUNT(INDIRECT("B$2:B"&amp;ROW()-1)))</f>
        <v/>
      </c>
      <c r="C202" s="281" t="str">
        <f>IF(Table1[[#This Row],[Column2]]="","",Table1[[#This Row],[Column2]]+C$1-1)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Row],[Column3]])," ",Table1[[#This Row],[Column4]])</f>
        <v xml:space="preserve"> </v>
      </c>
      <c r="J202" s="287" t="str">
        <f>IF(Table1[[#This Row],[Column5]]="","",INDEX(Table2[e],IF(Table1[[#This Row],[Column5]]="","",MATCH(Table1[[#This Row],[Column5]],Table2[a],0)),))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IF(Table1[Column3]="","",B$1+COUNT(INDIRECT("B$2:B"&amp;ROW()-1)))</f>
        <v/>
      </c>
      <c r="C203" s="281" t="str">
        <f>IF(Table1[[#This Row],[Column2]]="","",Table1[[#This Row],[Column2]]+C$1-1)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Row],[Column3]])," ",Table1[[#This Row],[Column4]])</f>
        <v xml:space="preserve"> </v>
      </c>
      <c r="J203" s="287" t="str">
        <f>IF(Table1[[#This Row],[Column5]]="","",INDEX(Table2[e],IF(Table1[[#This Row],[Column5]]="","",MATCH(Table1[[#This Row],[Column5]],Table2[a],0)),))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IF(Table1[Column3]="","",B$1+COUNT(INDIRECT("B$2:B"&amp;ROW()-1)))</f>
        <v/>
      </c>
      <c r="C204" s="281" t="str">
        <f>IF(Table1[[#This Row],[Column2]]="","",Table1[[#This Row],[Column2]]+C$1-1)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Row],[Column3]])," ",Table1[[#This Row],[Column4]])</f>
        <v xml:space="preserve"> </v>
      </c>
      <c r="J204" s="287" t="str">
        <f>IF(Table1[[#This Row],[Column5]]="","",INDEX(Table2[e],IF(Table1[[#This Row],[Column5]]="","",MATCH(Table1[[#This Row],[Column5]],Table2[a],0)),))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IF(Table1[Column3]="","",B$1+COUNT(INDIRECT("B$2:B"&amp;ROW()-1)))</f>
        <v/>
      </c>
      <c r="C205" s="281" t="str">
        <f>IF(Table1[[#This Row],[Column2]]="","",Table1[[#This Row],[Column2]]+C$1-1)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Row],[Column3]])," ",Table1[[#This Row],[Column4]])</f>
        <v xml:space="preserve"> </v>
      </c>
      <c r="J205" s="287" t="str">
        <f>IF(Table1[[#This Row],[Column5]]="","",INDEX(Table2[e],IF(Table1[[#This Row],[Column5]]="","",MATCH(Table1[[#This Row],[Column5]],Table2[a],0)),))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IF(Table1[Column3]="","",B$1+COUNT(INDIRECT("B$2:B"&amp;ROW()-1)))</f>
        <v/>
      </c>
      <c r="C206" s="281" t="str">
        <f>IF(Table1[[#This Row],[Column2]]="","",Table1[[#This Row],[Column2]]+C$1-1)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Row],[Column3]])," ",Table1[[#This Row],[Column4]])</f>
        <v xml:space="preserve"> </v>
      </c>
      <c r="J206" s="287" t="str">
        <f>IF(Table1[[#This Row],[Column5]]="","",INDEX(Table2[e],IF(Table1[[#This Row],[Column5]]="","",MATCH(Table1[[#This Row],[Column5]],Table2[a],0)),))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IF(Table1[Column3]="","",B$1+COUNT(INDIRECT("B$2:B"&amp;ROW()-1)))</f>
        <v/>
      </c>
      <c r="C207" s="281" t="str">
        <f>IF(Table1[[#This Row],[Column2]]="","",Table1[[#This Row],[Column2]]+C$1-1)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Row],[Column3]])," ",Table1[[#This Row],[Column4]])</f>
        <v xml:space="preserve"> </v>
      </c>
      <c r="J207" s="287" t="str">
        <f>IF(Table1[[#This Row],[Column5]]="","",INDEX(Table2[e],IF(Table1[[#This Row],[Column5]]="","",MATCH(Table1[[#This Row],[Column5]],Table2[a],0)),))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IF(Table1[Column3]="","",B$1+COUNT(INDIRECT("B$2:B"&amp;ROW()-1)))</f>
        <v/>
      </c>
      <c r="C208" s="281" t="str">
        <f>IF(Table1[[#This Row],[Column2]]="","",Table1[[#This Row],[Column2]]+C$1-1)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Row],[Column3]])," ",Table1[[#This Row],[Column4]])</f>
        <v xml:space="preserve"> </v>
      </c>
      <c r="J208" s="287" t="str">
        <f>IF(Table1[[#This Row],[Column5]]="","",INDEX(Table2[e],IF(Table1[[#This Row],[Column5]]="","",MATCH(Table1[[#This Row],[Column5]],Table2[a],0)),))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IF(Table1[Column3]="","",B$1+COUNT(INDIRECT("B$2:B"&amp;ROW()-1)))</f>
        <v/>
      </c>
      <c r="C209" s="281" t="str">
        <f>IF(Table1[[#This Row],[Column2]]="","",Table1[[#This Row],[Column2]]+C$1-1)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Row],[Column3]])," ",Table1[[#This Row],[Column4]])</f>
        <v xml:space="preserve"> </v>
      </c>
      <c r="J209" s="287" t="str">
        <f>IF(Table1[[#This Row],[Column5]]="","",INDEX(Table2[e],IF(Table1[[#This Row],[Column5]]="","",MATCH(Table1[[#This Row],[Column5]],Table2[a],0)),))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IF(Table1[Column3]="","",B$1+COUNT(INDIRECT("B$2:B"&amp;ROW()-1)))</f>
        <v/>
      </c>
      <c r="C210" s="281" t="str">
        <f>IF(Table1[[#This Row],[Column2]]="","",Table1[[#This Row],[Column2]]+C$1-1)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Row],[Column3]])," ",Table1[[#This Row],[Column4]])</f>
        <v xml:space="preserve"> </v>
      </c>
      <c r="J210" s="287" t="str">
        <f>IF(Table1[[#This Row],[Column5]]="","",INDEX(Table2[e],IF(Table1[[#This Row],[Column5]]="","",MATCH(Table1[[#This Row],[Column5]],Table2[a],0)),))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IF(Table1[Column3]="","",B$1+COUNT(INDIRECT("B$2:B"&amp;ROW()-1)))</f>
        <v/>
      </c>
      <c r="C211" s="281" t="str">
        <f>IF(Table1[[#This Row],[Column2]]="","",Table1[[#This Row],[Column2]]+C$1-1)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Row],[Column3]])," ",Table1[[#This Row],[Column4]])</f>
        <v xml:space="preserve"> </v>
      </c>
      <c r="J211" s="287" t="str">
        <f>IF(Table1[[#This Row],[Column5]]="","",INDEX(Table2[e],IF(Table1[[#This Row],[Column5]]="","",MATCH(Table1[[#This Row],[Column5]],Table2[a],0)),))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IF(Table1[Column3]="","",B$1+COUNT(INDIRECT("B$2:B"&amp;ROW()-1)))</f>
        <v/>
      </c>
      <c r="C212" s="281" t="str">
        <f>IF(Table1[[#This Row],[Column2]]="","",Table1[[#This Row],[Column2]]+C$1-1)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Row],[Column3]])," ",Table1[[#This Row],[Column4]])</f>
        <v xml:space="preserve"> </v>
      </c>
      <c r="J212" s="287" t="str">
        <f>IF(Table1[[#This Row],[Column5]]="","",INDEX(Table2[e],IF(Table1[[#This Row],[Column5]]="","",MATCH(Table1[[#This Row],[Column5]],Table2[a],0)),))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IF(Table1[Column3]="","",B$1+COUNT(INDIRECT("B$2:B"&amp;ROW()-1)))</f>
        <v/>
      </c>
      <c r="C213" s="281" t="str">
        <f>IF(Table1[[#This Row],[Column2]]="","",Table1[[#This Row],[Column2]]+C$1-1)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Row],[Column3]])," ",Table1[[#This Row],[Column4]])</f>
        <v xml:space="preserve"> </v>
      </c>
      <c r="J213" s="287" t="str">
        <f>IF(Table1[[#This Row],[Column5]]="","",INDEX(Table2[e],IF(Table1[[#This Row],[Column5]]="","",MATCH(Table1[[#This Row],[Column5]],Table2[a],0)),))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IF(Table1[Column3]="","",B$1+COUNT(INDIRECT("B$2:B"&amp;ROW()-1)))</f>
        <v/>
      </c>
      <c r="C214" s="281" t="str">
        <f>IF(Table1[[#This Row],[Column2]]="","",Table1[[#This Row],[Column2]]+C$1-1)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Row],[Column3]])," ",Table1[[#This Row],[Column4]])</f>
        <v xml:space="preserve"> </v>
      </c>
      <c r="J214" s="287" t="str">
        <f>IF(Table1[[#This Row],[Column5]]="","",INDEX(Table2[e],IF(Table1[[#This Row],[Column5]]="","",MATCH(Table1[[#This Row],[Column5]],Table2[a],0)),))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IF(Table1[Column3]="","",B$1+COUNT(INDIRECT("B$2:B"&amp;ROW()-1)))</f>
        <v/>
      </c>
      <c r="C215" s="281" t="str">
        <f>IF(Table1[[#This Row],[Column2]]="","",Table1[[#This Row],[Column2]]+C$1-1)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Row],[Column3]])," ",Table1[[#This Row],[Column4]])</f>
        <v xml:space="preserve"> </v>
      </c>
      <c r="J215" s="287" t="str">
        <f>IF(Table1[[#This Row],[Column5]]="","",INDEX(Table2[e],IF(Table1[[#This Row],[Column5]]="","",MATCH(Table1[[#This Row],[Column5]],Table2[a],0)),))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IF(Table1[Column3]="","",B$1+COUNT(INDIRECT("B$2:B"&amp;ROW()-1)))</f>
        <v/>
      </c>
      <c r="C216" s="281" t="str">
        <f>IF(Table1[[#This Row],[Column2]]="","",Table1[[#This Row],[Column2]]+C$1-1)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Row],[Column3]])," ",Table1[[#This Row],[Column4]])</f>
        <v xml:space="preserve"> </v>
      </c>
      <c r="J216" s="287" t="str">
        <f>IF(Table1[[#This Row],[Column5]]="","",INDEX(Table2[e],IF(Table1[[#This Row],[Column5]]="","",MATCH(Table1[[#This Row],[Column5]],Table2[a],0)),))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IF(Table1[Column3]="","",B$1+COUNT(INDIRECT("B$2:B"&amp;ROW()-1)))</f>
        <v/>
      </c>
      <c r="C217" s="281" t="str">
        <f>IF(Table1[[#This Row],[Column2]]="","",Table1[[#This Row],[Column2]]+C$1-1)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Row],[Column3]])," ",Table1[[#This Row],[Column4]])</f>
        <v xml:space="preserve"> </v>
      </c>
      <c r="J217" s="287" t="str">
        <f>IF(Table1[[#This Row],[Column5]]="","",INDEX(Table2[e],IF(Table1[[#This Row],[Column5]]="","",MATCH(Table1[[#This Row],[Column5]],Table2[a],0)),))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IF(Table1[Column3]="","",B$1+COUNT(INDIRECT("B$2:B"&amp;ROW()-1)))</f>
        <v/>
      </c>
      <c r="C218" s="281" t="str">
        <f>IF(Table1[[#This Row],[Column2]]="","",Table1[[#This Row],[Column2]]+C$1-1)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Row],[Column3]])," ",Table1[[#This Row],[Column4]])</f>
        <v xml:space="preserve"> </v>
      </c>
      <c r="J218" s="287" t="str">
        <f>IF(Table1[[#This Row],[Column5]]="","",INDEX(Table2[e],IF(Table1[[#This Row],[Column5]]="","",MATCH(Table1[[#This Row],[Column5]],Table2[a],0)),))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IF(Table1[Column3]="","",B$1+COUNT(INDIRECT("B$2:B"&amp;ROW()-1)))</f>
        <v/>
      </c>
      <c r="C219" s="281" t="str">
        <f>IF(Table1[[#This Row],[Column2]]="","",Table1[[#This Row],[Column2]]+C$1-1)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Row],[Column3]])," ",Table1[[#This Row],[Column4]])</f>
        <v xml:space="preserve"> </v>
      </c>
      <c r="J219" s="287" t="str">
        <f>IF(Table1[[#This Row],[Column5]]="","",INDEX(Table2[e],IF(Table1[[#This Row],[Column5]]="","",MATCH(Table1[[#This Row],[Column5]],Table2[a],0)),))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IF(Table1[Column3]="","",B$1+COUNT(INDIRECT("B$2:B"&amp;ROW()-1)))</f>
        <v/>
      </c>
      <c r="C220" s="281" t="str">
        <f>IF(Table1[[#This Row],[Column2]]="","",Table1[[#This Row],[Column2]]+C$1-1)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Row],[Column3]])," ",Table1[[#This Row],[Column4]])</f>
        <v xml:space="preserve"> </v>
      </c>
      <c r="J220" s="287" t="str">
        <f>IF(Table1[[#This Row],[Column5]]="","",INDEX(Table2[e],IF(Table1[[#This Row],[Column5]]="","",MATCH(Table1[[#This Row],[Column5]],Table2[a],0)),))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IF(Table1[Column3]="","",B$1+COUNT(INDIRECT("B$2:B"&amp;ROW()-1)))</f>
        <v/>
      </c>
      <c r="C221" s="281" t="str">
        <f>IF(Table1[[#This Row],[Column2]]="","",Table1[[#This Row],[Column2]]+C$1-1)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Row],[Column3]])," ",Table1[[#This Row],[Column4]])</f>
        <v xml:space="preserve"> </v>
      </c>
      <c r="J221" s="287" t="str">
        <f>IF(Table1[[#This Row],[Column5]]="","",INDEX(Table2[e],IF(Table1[[#This Row],[Column5]]="","",MATCH(Table1[[#This Row],[Column5]],Table2[a],0)),))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IF(Table1[Column3]="","",B$1+COUNT(INDIRECT("B$2:B"&amp;ROW()-1)))</f>
        <v/>
      </c>
      <c r="C222" s="281" t="str">
        <f>IF(Table1[[#This Row],[Column2]]="","",Table1[[#This Row],[Column2]]+C$1-1)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Row],[Column3]])," ",Table1[[#This Row],[Column4]])</f>
        <v xml:space="preserve"> </v>
      </c>
      <c r="J222" s="287" t="str">
        <f>IF(Table1[[#This Row],[Column5]]="","",INDEX(Table2[e],IF(Table1[[#This Row],[Column5]]="","",MATCH(Table1[[#This Row],[Column5]],Table2[a],0)),))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IF(Table1[Column3]="","",B$1+COUNT(INDIRECT("B$2:B"&amp;ROW()-1)))</f>
        <v/>
      </c>
      <c r="C223" s="281" t="str">
        <f>IF(Table1[[#This Row],[Column2]]="","",Table1[[#This Row],[Column2]]+C$1-1)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Row],[Column3]])," ",Table1[[#This Row],[Column4]])</f>
        <v xml:space="preserve"> </v>
      </c>
      <c r="J223" s="287" t="str">
        <f>IF(Table1[[#This Row],[Column5]]="","",INDEX(Table2[e],IF(Table1[[#This Row],[Column5]]="","",MATCH(Table1[[#This Row],[Column5]],Table2[a],0)),))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IF(Table1[Column3]="","",B$1+COUNT(INDIRECT("B$2:B"&amp;ROW()-1)))</f>
        <v/>
      </c>
      <c r="C224" s="281" t="str">
        <f>IF(Table1[[#This Row],[Column2]]="","",Table1[[#This Row],[Column2]]+C$1-1)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Row],[Column3]])," ",Table1[[#This Row],[Column4]])</f>
        <v xml:space="preserve"> </v>
      </c>
      <c r="J224" s="287" t="str">
        <f>IF(Table1[[#This Row],[Column5]]="","",INDEX(Table2[e],IF(Table1[[#This Row],[Column5]]="","",MATCH(Table1[[#This Row],[Column5]],Table2[a],0)),))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IF(Table1[Column3]="","",B$1+COUNT(INDIRECT("B$2:B"&amp;ROW()-1)))</f>
        <v/>
      </c>
      <c r="C225" s="281" t="str">
        <f>IF(Table1[[#This Row],[Column2]]="","",Table1[[#This Row],[Column2]]+C$1-1)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Row],[Column3]])," ",Table1[[#This Row],[Column4]])</f>
        <v xml:space="preserve"> </v>
      </c>
      <c r="J225" s="287" t="str">
        <f>IF(Table1[[#This Row],[Column5]]="","",INDEX(Table2[e],IF(Table1[[#This Row],[Column5]]="","",MATCH(Table1[[#This Row],[Column5]],Table2[a],0)),))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IF(Table1[Column3]="","",B$1+COUNT(INDIRECT("B$2:B"&amp;ROW()-1)))</f>
        <v/>
      </c>
      <c r="C226" s="281" t="str">
        <f>IF(Table1[[#This Row],[Column2]]="","",Table1[[#This Row],[Column2]]+C$1-1)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Row],[Column3]])," ",Table1[[#This Row],[Column4]])</f>
        <v xml:space="preserve"> </v>
      </c>
      <c r="J226" s="287" t="str">
        <f>IF(Table1[[#This Row],[Column5]]="","",INDEX(Table2[e],IF(Table1[[#This Row],[Column5]]="","",MATCH(Table1[[#This Row],[Column5]],Table2[a],0)),))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IF(Table1[Column3]="","",B$1+COUNT(INDIRECT("B$2:B"&amp;ROW()-1)))</f>
        <v/>
      </c>
      <c r="C227" s="281" t="str">
        <f>IF(Table1[[#This Row],[Column2]]="","",Table1[[#This Row],[Column2]]+C$1-1)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Row],[Column3]])," ",Table1[[#This Row],[Column4]])</f>
        <v xml:space="preserve"> </v>
      </c>
      <c r="J227" s="287" t="str">
        <f>IF(Table1[[#This Row],[Column5]]="","",INDEX(Table2[e],IF(Table1[[#This Row],[Column5]]="","",MATCH(Table1[[#This Row],[Column5]],Table2[a],0)),))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IF(Table1[Column3]="","",B$1+COUNT(INDIRECT("B$2:B"&amp;ROW()-1)))</f>
        <v/>
      </c>
      <c r="C228" s="281" t="str">
        <f>IF(Table1[[#This Row],[Column2]]="","",Table1[[#This Row],[Column2]]+C$1-1)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Row],[Column3]])," ",Table1[[#This Row],[Column4]])</f>
        <v xml:space="preserve"> </v>
      </c>
      <c r="J228" s="287" t="str">
        <f>IF(Table1[[#This Row],[Column5]]="","",INDEX(Table2[e],IF(Table1[[#This Row],[Column5]]="","",MATCH(Table1[[#This Row],[Column5]],Table2[a],0)),))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IF(Table1[Column3]="","",B$1+COUNT(INDIRECT("B$2:B"&amp;ROW()-1)))</f>
        <v/>
      </c>
      <c r="C229" s="281" t="str">
        <f>IF(Table1[[#This Row],[Column2]]="","",Table1[[#This Row],[Column2]]+C$1-1)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Row],[Column3]])," ",Table1[[#This Row],[Column4]])</f>
        <v xml:space="preserve"> </v>
      </c>
      <c r="J229" s="287" t="str">
        <f>IF(Table1[[#This Row],[Column5]]="","",INDEX(Table2[e],IF(Table1[[#This Row],[Column5]]="","",MATCH(Table1[[#This Row],[Column5]],Table2[a],0)),))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IF(Table1[Column3]="","",B$1+COUNT(INDIRECT("B$2:B"&amp;ROW()-1)))</f>
        <v/>
      </c>
      <c r="C230" s="281" t="str">
        <f>IF(Table1[[#This Row],[Column2]]="","",Table1[[#This Row],[Column2]]+C$1-1)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Row],[Column3]])," ",Table1[[#This Row],[Column4]])</f>
        <v xml:space="preserve"> </v>
      </c>
      <c r="J230" s="287" t="str">
        <f>IF(Table1[[#This Row],[Column5]]="","",INDEX(Table2[e],IF(Table1[[#This Row],[Column5]]="","",MATCH(Table1[[#This Row],[Column5]],Table2[a],0)),))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IF(Table1[Column3]="","",B$1+COUNT(INDIRECT("B$2:B"&amp;ROW()-1)))</f>
        <v/>
      </c>
      <c r="C231" s="281" t="str">
        <f>IF(Table1[[#This Row],[Column2]]="","",Table1[[#This Row],[Column2]]+C$1-1)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Row],[Column3]])," ",Table1[[#This Row],[Column4]])</f>
        <v xml:space="preserve"> </v>
      </c>
      <c r="J231" s="287" t="str">
        <f>IF(Table1[[#This Row],[Column5]]="","",INDEX(Table2[e],IF(Table1[[#This Row],[Column5]]="","",MATCH(Table1[[#This Row],[Column5]],Table2[a],0)),))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IF(Table1[Column3]="","",B$1+COUNT(INDIRECT("B$2:B"&amp;ROW()-1)))</f>
        <v/>
      </c>
      <c r="C232" s="281" t="str">
        <f>IF(Table1[[#This Row],[Column2]]="","",Table1[[#This Row],[Column2]]+C$1-1)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Row],[Column3]])," ",Table1[[#This Row],[Column4]])</f>
        <v xml:space="preserve"> </v>
      </c>
      <c r="J232" s="287" t="str">
        <f>IF(Table1[[#This Row],[Column5]]="","",INDEX(Table2[e],IF(Table1[[#This Row],[Column5]]="","",MATCH(Table1[[#This Row],[Column5]],Table2[a],0)),))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IF(Table1[Column3]="","",B$1+COUNT(INDIRECT("B$2:B"&amp;ROW()-1)))</f>
        <v/>
      </c>
      <c r="C233" s="281" t="str">
        <f>IF(Table1[[#This Row],[Column2]]="","",Table1[[#This Row],[Column2]]+C$1-1)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Row],[Column3]])," ",Table1[[#This Row],[Column4]])</f>
        <v xml:space="preserve"> </v>
      </c>
      <c r="J233" s="287" t="str">
        <f>IF(Table1[[#This Row],[Column5]]="","",INDEX(Table2[e],IF(Table1[[#This Row],[Column5]]="","",MATCH(Table1[[#This Row],[Column5]],Table2[a],0)),))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IF(Table1[Column3]="","",B$1+COUNT(INDIRECT("B$2:B"&amp;ROW()-1)))</f>
        <v/>
      </c>
      <c r="C234" s="281" t="str">
        <f>IF(Table1[[#This Row],[Column2]]="","",Table1[[#This Row],[Column2]]+C$1-1)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Row],[Column3]])," ",Table1[[#This Row],[Column4]])</f>
        <v xml:space="preserve"> </v>
      </c>
      <c r="J234" s="287" t="str">
        <f>IF(Table1[[#This Row],[Column5]]="","",INDEX(Table2[e],IF(Table1[[#This Row],[Column5]]="","",MATCH(Table1[[#This Row],[Column5]],Table2[a],0)),))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IF(Table1[Column3]="","",B$1+COUNT(INDIRECT("B$2:B"&amp;ROW()-1)))</f>
        <v/>
      </c>
      <c r="C235" s="281" t="str">
        <f>IF(Table1[[#This Row],[Column2]]="","",Table1[[#This Row],[Column2]]+C$1-1)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Row],[Column3]])," ",Table1[[#This Row],[Column4]])</f>
        <v xml:space="preserve"> </v>
      </c>
      <c r="J235" s="287" t="str">
        <f>IF(Table1[[#This Row],[Column5]]="","",INDEX(Table2[e],IF(Table1[[#This Row],[Column5]]="","",MATCH(Table1[[#This Row],[Column5]],Table2[a],0)),))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IF(Table1[Column3]="","",B$1+COUNT(INDIRECT("B$2:B"&amp;ROW()-1)))</f>
        <v/>
      </c>
      <c r="C236" s="281" t="str">
        <f>IF(Table1[[#This Row],[Column2]]="","",Table1[[#This Row],[Column2]]+C$1-1)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Row],[Column3]])," ",Table1[[#This Row],[Column4]])</f>
        <v xml:space="preserve"> </v>
      </c>
      <c r="J236" s="287" t="str">
        <f>IF(Table1[[#This Row],[Column5]]="","",INDEX(Table2[e],IF(Table1[[#This Row],[Column5]]="","",MATCH(Table1[[#This Row],[Column5]],Table2[a],0)),))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IF(Table1[Column3]="","",B$1+COUNT(INDIRECT("B$2:B"&amp;ROW()-1)))</f>
        <v/>
      </c>
      <c r="C237" s="281" t="str">
        <f>IF(Table1[[#This Row],[Column2]]="","",Table1[[#This Row],[Column2]]+C$1-1)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Row],[Column3]])," ",Table1[[#This Row],[Column4]])</f>
        <v xml:space="preserve"> </v>
      </c>
      <c r="J237" s="287" t="str">
        <f>IF(Table1[[#This Row],[Column5]]="","",INDEX(Table2[e],IF(Table1[[#This Row],[Column5]]="","",MATCH(Table1[[#This Row],[Column5]],Table2[a],0)),))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IF(Table1[Column3]="","",B$1+COUNT(INDIRECT("B$2:B"&amp;ROW()-1)))</f>
        <v/>
      </c>
      <c r="C238" s="281" t="str">
        <f>IF(Table1[[#This Row],[Column2]]="","",Table1[[#This Row],[Column2]]+C$1-1)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Row],[Column3]])," ",Table1[[#This Row],[Column4]])</f>
        <v xml:space="preserve"> </v>
      </c>
      <c r="J238" s="287" t="str">
        <f>IF(Table1[[#This Row],[Column5]]="","",INDEX(Table2[e],IF(Table1[[#This Row],[Column5]]="","",MATCH(Table1[[#This Row],[Column5]],Table2[a],0)),))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IF(Table1[Column3]="","",B$1+COUNT(INDIRECT("B$2:B"&amp;ROW()-1)))</f>
        <v/>
      </c>
      <c r="C239" s="281" t="str">
        <f>IF(Table1[[#This Row],[Column2]]="","",Table1[[#This Row],[Column2]]+C$1-1)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Row],[Column3]])," ",Table1[[#This Row],[Column4]])</f>
        <v xml:space="preserve"> </v>
      </c>
      <c r="J239" s="287" t="str">
        <f>IF(Table1[[#This Row],[Column5]]="","",INDEX(Table2[e],IF(Table1[[#This Row],[Column5]]="","",MATCH(Table1[[#This Row],[Column5]],Table2[a],0)),))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IF(Table1[Column3]="","",B$1+COUNT(INDIRECT("B$2:B"&amp;ROW()-1)))</f>
        <v/>
      </c>
      <c r="C240" s="281" t="str">
        <f>IF(Table1[[#This Row],[Column2]]="","",Table1[[#This Row],[Column2]]+C$1-1)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Row],[Column3]])," ",Table1[[#This Row],[Column4]])</f>
        <v xml:space="preserve"> </v>
      </c>
      <c r="J240" s="287" t="str">
        <f>IF(Table1[[#This Row],[Column5]]="","",INDEX(Table2[e],IF(Table1[[#This Row],[Column5]]="","",MATCH(Table1[[#This Row],[Column5]],Table2[a],0)),))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IF(Table1[Column3]="","",B$1+COUNT(INDIRECT("B$2:B"&amp;ROW()-1)))</f>
        <v/>
      </c>
      <c r="C241" s="281" t="str">
        <f>IF(Table1[[#This Row],[Column2]]="","",Table1[[#This Row],[Column2]]+C$1-1)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Row],[Column3]])," ",Table1[[#This Row],[Column4]])</f>
        <v xml:space="preserve"> </v>
      </c>
      <c r="J241" s="287" t="str">
        <f>IF(Table1[[#This Row],[Column5]]="","",INDEX(Table2[e],IF(Table1[[#This Row],[Column5]]="","",MATCH(Table1[[#This Row],[Column5]],Table2[a],0)),))</f>
        <v/>
      </c>
      <c r="O241" s="287" t="str">
        <f>IF(Table1[[#This Row],[h_Item Description]]="","",INDEX([1]!db[NB PAJAK],MATCH(Table1[[#This Row],[h_Item Description]],[1]!db[kode],0)))</f>
        <v/>
      </c>
      <c r="P241" s="287"/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IF(Table1[Column3]="","",B$1+COUNT(INDIRECT("B$2:B"&amp;ROW()-1)))</f>
        <v/>
      </c>
      <c r="C242" s="281" t="str">
        <f>IF(Table1[[#This Row],[Column2]]="","",Table1[[#This Row],[Column2]]+C$1-1)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Row],[Column3]])," ",Table1[[#This Row],[Column4]])</f>
        <v xml:space="preserve"> </v>
      </c>
      <c r="J242" s="287" t="str">
        <f>IF(Table1[[#This Row],[Column5]]="","",INDEX(Table2[e],IF(Table1[[#This Row],[Column5]]="","",MATCH(Table1[[#This Row],[Column5]],Table2[a],0)),))</f>
        <v/>
      </c>
      <c r="O242" s="287" t="str">
        <f>IF(Table1[[#This Row],[h_Item Description]]="","",INDEX([1]!db[NB PAJAK],MATCH(Table1[[#This Row],[h_Item Description]],[1]!db[kode],0)))</f>
        <v/>
      </c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IF(Table1[Column3]="","",B$1+COUNT(INDIRECT("B$2:B"&amp;ROW()-1)))</f>
        <v/>
      </c>
      <c r="C243" s="281" t="str">
        <f>IF(Table1[[#This Row],[Column2]]="","",Table1[[#This Row],[Column2]]+C$1-1)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Row],[Column3]])," ",Table1[[#This Row],[Column4]])</f>
        <v xml:space="preserve"> </v>
      </c>
      <c r="J243" s="287" t="str">
        <f>IF(Table1[[#This Row],[Column5]]="","",INDEX(Table2[e],IF(Table1[[#This Row],[Column5]]="","",MATCH(Table1[[#This Row],[Column5]],Table2[a],0)),))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IF(Table1[Column3]="","",B$1+COUNT(INDIRECT("B$2:B"&amp;ROW()-1)))</f>
        <v/>
      </c>
      <c r="C244" s="281" t="str">
        <f>IF(Table1[[#This Row],[Column2]]="","",Table1[[#This Row],[Column2]]+C$1-1)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Row],[Column3]])," ",Table1[[#This Row],[Column4]])</f>
        <v xml:space="preserve"> </v>
      </c>
      <c r="J244" s="287" t="str">
        <f>IF(Table1[[#This Row],[Column5]]="","",INDEX(Table2[e],IF(Table1[[#This Row],[Column5]]="","",MATCH(Table1[[#This Row],[Column5]],Table2[a],0)),))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IF(Table1[Column3]="","",B$1+COUNT(INDIRECT("B$2:B"&amp;ROW()-1)))</f>
        <v/>
      </c>
      <c r="C245" s="281" t="str">
        <f>IF(Table1[[#This Row],[Column2]]="","",Table1[[#This Row],[Column2]]+C$1-1)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Row],[Column3]])," ",Table1[[#This Row],[Column4]])</f>
        <v xml:space="preserve"> </v>
      </c>
      <c r="J245" s="287" t="str">
        <f>IF(Table1[[#This Row],[Column5]]="","",INDEX(Table2[e],IF(Table1[[#This Row],[Column5]]="","",MATCH(Table1[[#This Row],[Column5]],Table2[a],0)),))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IF(Table1[Column3]="","",B$1+COUNT(INDIRECT("B$2:B"&amp;ROW()-1)))</f>
        <v/>
      </c>
      <c r="C246" s="281" t="str">
        <f>IF(Table1[[#This Row],[Column2]]="","",Table1[[#This Row],[Column2]]+C$1-1)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Row],[Column3]])," ",Table1[[#This Row],[Column4]])</f>
        <v xml:space="preserve"> </v>
      </c>
      <c r="J246" s="287" t="str">
        <f>IF(Table1[[#This Row],[Column5]]="","",INDEX(Table2[e],IF(Table1[[#This Row],[Column5]]="","",MATCH(Table1[[#This Row],[Column5]],Table2[a],0)),))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IF(Table1[Column3]="","",B$1+COUNT(INDIRECT("B$2:B"&amp;ROW()-1)))</f>
        <v/>
      </c>
      <c r="C247" s="281" t="str">
        <f>IF(Table1[[#This Row],[Column2]]="","",Table1[[#This Row],[Column2]]+C$1-1)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Row],[Column3]])," ",Table1[[#This Row],[Column4]])</f>
        <v xml:space="preserve"> </v>
      </c>
      <c r="J247" s="287" t="str">
        <f>IF(Table1[[#This Row],[Column5]]="","",INDEX(Table2[e],IF(Table1[[#This Row],[Column5]]="","",MATCH(Table1[[#This Row],[Column5]],Table2[a],0)),))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IF(Table1[Column3]="","",B$1+COUNT(INDIRECT("B$2:B"&amp;ROW()-1)))</f>
        <v/>
      </c>
      <c r="C248" s="281" t="str">
        <f>IF(Table1[[#This Row],[Column2]]="","",Table1[[#This Row],[Column2]]+C$1-1)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Row],[Column3]])," ",Table1[[#This Row],[Column4]])</f>
        <v xml:space="preserve"> </v>
      </c>
      <c r="J248" s="287" t="str">
        <f>IF(Table1[[#This Row],[Column5]]="","",INDEX(Table2[e],IF(Table1[[#This Row],[Column5]]="","",MATCH(Table1[[#This Row],[Column5]],Table2[a],0)),))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IF(Table1[Column3]="","",B$1+COUNT(INDIRECT("B$2:B"&amp;ROW()-1)))</f>
        <v/>
      </c>
      <c r="C249" s="281" t="str">
        <f>IF(Table1[[#This Row],[Column2]]="","",Table1[[#This Row],[Column2]]+C$1-1)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Row],[Column3]])," ",Table1[[#This Row],[Column4]])</f>
        <v xml:space="preserve"> </v>
      </c>
      <c r="J249" s="287" t="str">
        <f>IF(Table1[[#This Row],[Column5]]="","",INDEX(Table2[e],IF(Table1[[#This Row],[Column5]]="","",MATCH(Table1[[#This Row],[Column5]],Table2[a],0)),))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IF(Table1[Column3]="","",B$1+COUNT(INDIRECT("B$2:B"&amp;ROW()-1)))</f>
        <v/>
      </c>
      <c r="C250" s="281" t="str">
        <f>IF(Table1[[#This Row],[Column2]]="","",Table1[[#This Row],[Column2]]+C$1-1)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Row],[Column3]])," ",Table1[[#This Row],[Column4]])</f>
        <v xml:space="preserve"> </v>
      </c>
      <c r="J250" s="287" t="str">
        <f>IF(Table1[[#This Row],[Column5]]="","",INDEX(Table2[e],IF(Table1[[#This Row],[Column5]]="","",MATCH(Table1[[#This Row],[Column5]],Table2[a],0)),))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IF(Table1[Column3]="","",B$1+COUNT(INDIRECT("B$2:B"&amp;ROW()-1)))</f>
        <v/>
      </c>
      <c r="C251" s="281" t="str">
        <f>IF(Table1[[#This Row],[Column2]]="","",Table1[[#This Row],[Column2]]+C$1-1)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Row],[Column3]])," ",Table1[[#This Row],[Column4]])</f>
        <v xml:space="preserve"> </v>
      </c>
      <c r="J251" s="287" t="str">
        <f>IF(Table1[[#This Row],[Column5]]="","",INDEX(Table2[e],IF(Table1[[#This Row],[Column5]]="","",MATCH(Table1[[#This Row],[Column5]],Table2[a],0)),))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IF(Table1[Column3]="","",B$1+COUNT(INDIRECT("B$2:B"&amp;ROW()-1)))</f>
        <v/>
      </c>
      <c r="C252" s="281" t="str">
        <f>IF(Table1[[#This Row],[Column2]]="","",Table1[[#This Row],[Column2]]+C$1-1)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Row],[Column3]])," ",Table1[[#This Row],[Column4]])</f>
        <v xml:space="preserve"> </v>
      </c>
      <c r="J252" s="287" t="str">
        <f>IF(Table1[[#This Row],[Column5]]="","",INDEX(Table2[e],IF(Table1[[#This Row],[Column5]]="","",MATCH(Table1[[#This Row],[Column5]],Table2[a],0)),))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IF(Table1[Column3]="","",B$1+COUNT(INDIRECT("B$2:B"&amp;ROW()-1)))</f>
        <v/>
      </c>
      <c r="C253" s="281" t="str">
        <f>IF(Table1[[#This Row],[Column2]]="","",Table1[[#This Row],[Column2]]+C$1-1)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Row],[Column3]])," ",Table1[[#This Row],[Column4]])</f>
        <v xml:space="preserve"> </v>
      </c>
      <c r="J253" s="287" t="str">
        <f>IF(Table1[[#This Row],[Column5]]="","",INDEX(Table2[e],IF(Table1[[#This Row],[Column5]]="","",MATCH(Table1[[#This Row],[Column5]],Table2[a],0)),))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IF(Table1[Column3]="","",B$1+COUNT(INDIRECT("B$2:B"&amp;ROW()-1)))</f>
        <v/>
      </c>
      <c r="C254" s="281" t="str">
        <f>IF(Table1[[#This Row],[Column2]]="","",Table1[[#This Row],[Column2]]+C$1-1)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Row],[Column3]])," ",Table1[[#This Row],[Column4]])</f>
        <v xml:space="preserve"> </v>
      </c>
      <c r="J254" s="287" t="str">
        <f>IF(Table1[[#This Row],[Column5]]="","",INDEX(Table2[e],IF(Table1[[#This Row],[Column5]]="","",MATCH(Table1[[#This Row],[Column5]],Table2[a],0)),))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IF(Table1[Column3]="","",B$1+COUNT(INDIRECT("B$2:B"&amp;ROW()-1)))</f>
        <v/>
      </c>
      <c r="C255" s="281" t="str">
        <f>IF(Table1[[#This Row],[Column2]]="","",Table1[[#This Row],[Column2]]+C$1-1)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Row],[Column3]])," ",Table1[[#This Row],[Column4]])</f>
        <v xml:space="preserve"> </v>
      </c>
      <c r="J255" s="287" t="str">
        <f>IF(Table1[[#This Row],[Column5]]="","",INDEX(Table2[e],IF(Table1[[#This Row],[Column5]]="","",MATCH(Table1[[#This Row],[Column5]],Table2[a],0)),))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IF(Table1[Column3]="","",B$1+COUNT(INDIRECT("B$2:B"&amp;ROW()-1)))</f>
        <v/>
      </c>
      <c r="C256" s="281" t="str">
        <f>IF(Table1[[#This Row],[Column2]]="","",Table1[[#This Row],[Column2]]+C$1-1)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Row],[Column3]])," ",Table1[[#This Row],[Column4]])</f>
        <v xml:space="preserve"> </v>
      </c>
      <c r="J256" s="287" t="str">
        <f>IF(Table1[[#This Row],[Column5]]="","",INDEX(Table2[e],IF(Table1[[#This Row],[Column5]]="","",MATCH(Table1[[#This Row],[Column5]],Table2[a],0)),))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IF(Table1[Column3]="","",B$1+COUNT(INDIRECT("B$2:B"&amp;ROW()-1)))</f>
        <v/>
      </c>
      <c r="C257" s="281" t="str">
        <f>IF(Table1[[#This Row],[Column2]]="","",Table1[[#This Row],[Column2]]+C$1-1)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Row],[Column3]])," ",Table1[[#This Row],[Column4]])</f>
        <v xml:space="preserve"> </v>
      </c>
      <c r="J257" s="287" t="str">
        <f>IF(Table1[[#This Row],[Column5]]="","",INDEX(Table2[e],IF(Table1[[#This Row],[Column5]]="","",MATCH(Table1[[#This Row],[Column5]],Table2[a],0)),))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IF(Table1[Column3]="","",B$1+COUNT(INDIRECT("B$2:B"&amp;ROW()-1)))</f>
        <v/>
      </c>
      <c r="C258" s="281" t="str">
        <f>IF(Table1[[#This Row],[Column2]]="","",Table1[[#This Row],[Column2]]+C$1-1)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Row],[Column3]])," ",Table1[[#This Row],[Column4]])</f>
        <v xml:space="preserve"> </v>
      </c>
      <c r="J258" s="287" t="str">
        <f>IF(Table1[[#This Row],[Column5]]="","",INDEX(Table2[e],IF(Table1[[#This Row],[Column5]]="","",MATCH(Table1[[#This Row],[Column5]],Table2[a],0)),))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IF(Table1[Column3]="","",B$1+COUNT(INDIRECT("B$2:B"&amp;ROW()-1)))</f>
        <v/>
      </c>
      <c r="C259" s="281" t="str">
        <f>IF(Table1[[#This Row],[Column2]]="","",Table1[[#This Row],[Column2]]+C$1-1)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Row],[Column3]])," ",Table1[[#This Row],[Column4]])</f>
        <v xml:space="preserve"> </v>
      </c>
      <c r="J259" s="287" t="str">
        <f>IF(Table1[[#This Row],[Column5]]="","",INDEX(Table2[e],IF(Table1[[#This Row],[Column5]]="","",MATCH(Table1[[#This Row],[Column5]],Table2[a],0)),))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IF(Table1[Column3]="","",B$1+COUNT(INDIRECT("B$2:B"&amp;ROW()-1)))</f>
        <v/>
      </c>
      <c r="C260" s="281" t="str">
        <f>IF(Table1[[#This Row],[Column2]]="","",Table1[[#This Row],[Column2]]+C$1-1)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Row],[Column3]])," ",Table1[[#This Row],[Column4]])</f>
        <v xml:space="preserve"> </v>
      </c>
      <c r="J260" s="287" t="str">
        <f>IF(Table1[[#This Row],[Column5]]="","",INDEX(Table2[e],IF(Table1[[#This Row],[Column5]]="","",MATCH(Table1[[#This Row],[Column5]],Table2[a],0)),))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IF(Table1[Column3]="","",B$1+COUNT(INDIRECT("B$2:B"&amp;ROW()-1)))</f>
        <v/>
      </c>
      <c r="C261" s="281" t="str">
        <f>IF(Table1[[#This Row],[Column2]]="","",Table1[[#This Row],[Column2]]+C$1-1)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Row],[Column3]])," ",Table1[[#This Row],[Column4]])</f>
        <v xml:space="preserve"> </v>
      </c>
      <c r="J261" s="287" t="str">
        <f>IF(Table1[[#This Row],[Column5]]="","",INDEX(Table2[e],IF(Table1[[#This Row],[Column5]]="","",MATCH(Table1[[#This Row],[Column5]],Table2[a],0)),))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IF(Table1[Column3]="","",B$1+COUNT(INDIRECT("B$2:B"&amp;ROW()-1)))</f>
        <v/>
      </c>
      <c r="C262" s="281" t="str">
        <f>IF(Table1[[#This Row],[Column2]]="","",Table1[[#This Row],[Column2]]+C$1-1)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Row],[Column3]])," ",Table1[[#This Row],[Column4]])</f>
        <v xml:space="preserve"> </v>
      </c>
      <c r="J262" s="287" t="str">
        <f>IF(Table1[[#This Row],[Column5]]="","",INDEX(Table2[e],IF(Table1[[#This Row],[Column5]]="","",MATCH(Table1[[#This Row],[Column5]],Table2[a],0)),))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IF(Table1[Column3]="","",B$1+COUNT(INDIRECT("B$2:B"&amp;ROW()-1)))</f>
        <v/>
      </c>
      <c r="C263" s="281" t="str">
        <f>IF(Table1[[#This Row],[Column2]]="","",Table1[[#This Row],[Column2]]+C$1-1)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Row],[Column3]])," ",Table1[[#This Row],[Column4]])</f>
        <v xml:space="preserve"> </v>
      </c>
      <c r="J263" s="287" t="str">
        <f>IF(Table1[[#This Row],[Column5]]="","",INDEX(Table2[e],IF(Table1[[#This Row],[Column5]]="","",MATCH(Table1[[#This Row],[Column5]],Table2[a],0)),))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IF(Table1[Column3]="","",B$1+COUNT(INDIRECT("B$2:B"&amp;ROW()-1)))</f>
        <v/>
      </c>
      <c r="C264" s="281" t="str">
        <f>IF(Table1[[#This Row],[Column2]]="","",Table1[[#This Row],[Column2]]+C$1-1)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Row],[Column3]])," ",Table1[[#This Row],[Column4]])</f>
        <v xml:space="preserve"> </v>
      </c>
      <c r="J264" s="287" t="str">
        <f>IF(Table1[[#This Row],[Column5]]="","",INDEX(Table2[e],IF(Table1[[#This Row],[Column5]]="","",MATCH(Table1[[#This Row],[Column5]],Table2[a],0)),))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IF(Table1[Column3]="","",B$1+COUNT(INDIRECT("B$2:B"&amp;ROW()-1)))</f>
        <v/>
      </c>
      <c r="C265" s="281" t="str">
        <f>IF(Table1[[#This Row],[Column2]]="","",Table1[[#This Row],[Column2]]+C$1-1)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Row],[Column3]])," ",Table1[[#This Row],[Column4]])</f>
        <v xml:space="preserve"> </v>
      </c>
      <c r="J265" s="287" t="str">
        <f>IF(Table1[[#This Row],[Column5]]="","",INDEX(Table2[e],IF(Table1[[#This Row],[Column5]]="","",MATCH(Table1[[#This Row],[Column5]],Table2[a],0)),))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IF(Table1[Column3]="","",B$1+COUNT(INDIRECT("B$2:B"&amp;ROW()-1)))</f>
        <v/>
      </c>
      <c r="C266" s="281" t="str">
        <f>IF(Table1[[#This Row],[Column2]]="","",Table1[[#This Row],[Column2]]+C$1-1)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Row],[Column3]])," ",Table1[[#This Row],[Column4]])</f>
        <v xml:space="preserve"> </v>
      </c>
      <c r="J266" s="287" t="str">
        <f>IF(Table1[[#This Row],[Column5]]="","",INDEX(Table2[e],IF(Table1[[#This Row],[Column5]]="","",MATCH(Table1[[#This Row],[Column5]],Table2[a],0)),))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IF(Table1[Column3]="","",B$1+COUNT(INDIRECT("B$2:B"&amp;ROW()-1)))</f>
        <v/>
      </c>
      <c r="C267" s="281" t="str">
        <f>IF(Table1[[#This Row],[Column2]]="","",Table1[[#This Row],[Column2]]+C$1-1)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Row],[Column3]])," ",Table1[[#This Row],[Column4]])</f>
        <v xml:space="preserve"> </v>
      </c>
      <c r="J267" s="287" t="str">
        <f>IF(Table1[[#This Row],[Column5]]="","",INDEX(Table2[e],IF(Table1[[#This Row],[Column5]]="","",MATCH(Table1[[#This Row],[Column5]],Table2[a],0)),))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87" t="str">
        <f ca="1">IF(Table1[[#This Row],[No. Invoice :]]="","",ROW())</f>
        <v/>
      </c>
      <c r="B268" s="287" t="str">
        <f ca="1">IF(Table1[Column3]="","",B$1+COUNT(INDIRECT("B$2:B"&amp;ROW()-1)))</f>
        <v/>
      </c>
      <c r="C268" s="281" t="str">
        <f>IF(Table1[[#This Row],[Column2]]="","",Table1[[#This Row],[Column2]]+C$1-1)</f>
        <v/>
      </c>
      <c r="H268" s="287" t="str">
        <f ca="1">IF(Table1[[#This Row],[h_No. Invoice :]]="","",CONCATENATE("AM"," ",Table1[[#This Row],[h_No. Invoice :]]))</f>
        <v/>
      </c>
      <c r="I268" s="288" t="str">
        <f>CONCATENATE(UPPER(Table1[[#This Row],[Column3]])," ",Table1[[#This Row],[Column4]])</f>
        <v xml:space="preserve"> </v>
      </c>
      <c r="J268" s="287" t="str">
        <f>IF(Table1[[#This Row],[Column5]]="","",INDEX(Table2[e],IF(Table1[[#This Row],[Column5]]="","",MATCH(Table1[[#This Row],[Column5]],Table2[a],0)),))</f>
        <v/>
      </c>
      <c r="O268" s="287" t="str">
        <f>IF(Table1[[#This Row],[h_Item Description]]="","",INDEX([1]!db[NB PAJAK],MATCH(Table1[[#This Row],[h_Item Description]],[1]!db[kode],0)))</f>
        <v/>
      </c>
      <c r="Q268" s="283"/>
      <c r="R268" s="284"/>
      <c r="T268" s="283" t="str">
        <f>Table1[[#This Row],[h_hargasetelahdiskon]]</f>
        <v/>
      </c>
      <c r="W268" s="287" t="str">
        <f ca="1">IF(Table1[[#This Row],[Item Description]]="","",IF(Table1[[#This Row],[//]]="",INDIRECT(ADDRESS(ROW()-1,COLUMN())),Table1[[#This Row],[//]]))</f>
        <v/>
      </c>
      <c r="X268" s="287" t="str">
        <f ca="1">IF(Table1[[#This Row],[h_id]]="","",COUNTIF(Table1[h_id],Table1[[#This Row],[h_id]]))</f>
        <v/>
      </c>
      <c r="Y268" s="283" t="str">
        <f>IF(Table1[Item Description]="","",Table1[[#This Row],[Qty]]*Table1[[#This Row],[Unit Price]])</f>
        <v/>
      </c>
      <c r="Z268" s="283" t="str">
        <f>IF(Table1[[#This Row],[h_hargasebelumdiskon]]="","",IF(Table1[[#This Row],[Disc 1]]="",0,Table1[[#This Row],[h_hargasebelumdiskon]]*Table1[[#This Row],[Disc 1]]))</f>
        <v/>
      </c>
      <c r="AA268" s="283" t="str">
        <f>IF(Table1[[#This Row],[h_hargasebelumdiskon]]="","",IF(Table1[[#This Row],[Disc 2]]="",0,(Table1[[#This Row],[h_hargasebelumdiskon]]-Table1[[#This Row],[h_disc 1]])*Table1[[#This Row],[Disc 2]]))</f>
        <v/>
      </c>
      <c r="AB268" s="283" t="str">
        <f>IF(Table1[Item Description]="","",Table1[[#This Row],[h_disc 1]]+Table1[[#This Row],[h_disc 2]])</f>
        <v/>
      </c>
      <c r="AC268" s="283" t="str">
        <f>IF(Table1[Item Description]="","",Table1[[#This Row],[h_hargasebelumdiskon]]-Table1[[#This Row],[h_diskon]])</f>
        <v/>
      </c>
      <c r="AD268" s="283" t="str">
        <f ca="1">IF(Table1[//]="","",SUMIF(Table1[h_id],Table1[h_id],Table1[h_hargasetelahdiskon]))</f>
        <v/>
      </c>
      <c r="AE268" s="283"/>
      <c r="AF268" s="283" t="str">
        <f>Table1[[#This Row],[Item Description]]&amp;Table1[[#This Row],[Unit]]&amp;Table1[[#This Row],[Unit Price]]</f>
        <v/>
      </c>
    </row>
    <row r="269" spans="1:32" x14ac:dyDescent="0.25">
      <c r="A269" s="287" t="str">
        <f ca="1">IF(Table1[[#This Row],[No. Invoice :]]="","",ROW())</f>
        <v/>
      </c>
      <c r="B269" s="287" t="str">
        <f ca="1">IF(Table1[Column3]="","",B$1+COUNT(INDIRECT("B$2:B"&amp;ROW()-1)))</f>
        <v/>
      </c>
      <c r="C269" s="281" t="str">
        <f>IF(Table1[[#This Row],[Column2]]="","",Table1[[#This Row],[Column2]]+C$1-1)</f>
        <v/>
      </c>
      <c r="H269" s="287" t="str">
        <f ca="1">IF(Table1[[#This Row],[h_No. Invoice :]]="","",CONCATENATE("AM"," ",Table1[[#This Row],[h_No. Invoice :]]))</f>
        <v/>
      </c>
      <c r="I269" s="288" t="str">
        <f>CONCATENATE(UPPER(Table1[[#This Row],[Column3]])," ",Table1[[#This Row],[Column4]])</f>
        <v xml:space="preserve"> </v>
      </c>
      <c r="J269" s="287" t="str">
        <f>IF(Table1[[#This Row],[Column5]]="","",INDEX(Table2[e],IF(Table1[[#This Row],[Column5]]="","",MATCH(Table1[[#This Row],[Column5]],Table2[a],0)),))</f>
        <v/>
      </c>
      <c r="O269" s="287" t="str">
        <f>IF(Table1[[#This Row],[h_Item Description]]="","",INDEX([1]!db[NB PAJAK],MATCH(Table1[[#This Row],[h_Item Description]],[1]!db[kode],0)))</f>
        <v/>
      </c>
      <c r="Q269" s="283"/>
      <c r="R269" s="284"/>
      <c r="T269" s="283" t="str">
        <f>Table1[[#This Row],[h_hargasetelahdiskon]]</f>
        <v/>
      </c>
      <c r="W269" s="287" t="str">
        <f ca="1">IF(Table1[[#This Row],[Item Description]]="","",IF(Table1[[#This Row],[//]]="",INDIRECT(ADDRESS(ROW()-1,COLUMN())),Table1[[#This Row],[//]]))</f>
        <v/>
      </c>
      <c r="X269" s="287" t="str">
        <f ca="1">IF(Table1[[#This Row],[h_id]]="","",COUNTIF(Table1[h_id],Table1[[#This Row],[h_id]]))</f>
        <v/>
      </c>
      <c r="Y269" s="283" t="str">
        <f>IF(Table1[Item Description]="","",Table1[[#This Row],[Qty]]*Table1[[#This Row],[Unit Price]])</f>
        <v/>
      </c>
      <c r="Z269" s="283" t="str">
        <f>IF(Table1[[#This Row],[h_hargasebelumdiskon]]="","",IF(Table1[[#This Row],[Disc 1]]="",0,Table1[[#This Row],[h_hargasebelumdiskon]]*Table1[[#This Row],[Disc 1]]))</f>
        <v/>
      </c>
      <c r="AA269" s="283" t="str">
        <f>IF(Table1[[#This Row],[h_hargasebelumdiskon]]="","",IF(Table1[[#This Row],[Disc 2]]="",0,(Table1[[#This Row],[h_hargasebelumdiskon]]-Table1[[#This Row],[h_disc 1]])*Table1[[#This Row],[Disc 2]]))</f>
        <v/>
      </c>
      <c r="AB269" s="283" t="str">
        <f>IF(Table1[Item Description]="","",Table1[[#This Row],[h_disc 1]]+Table1[[#This Row],[h_disc 2]])</f>
        <v/>
      </c>
      <c r="AC269" s="283" t="str">
        <f>IF(Table1[Item Description]="","",Table1[[#This Row],[h_hargasebelumdiskon]]-Table1[[#This Row],[h_diskon]])</f>
        <v/>
      </c>
      <c r="AD269" s="283" t="str">
        <f ca="1">IF(Table1[//]="","",SUMIF(Table1[h_id],Table1[h_id],Table1[h_hargasetelahdiskon]))</f>
        <v/>
      </c>
      <c r="AE269" s="283"/>
      <c r="AF269" s="283" t="str">
        <f>Table1[[#This Row],[Item Description]]&amp;Table1[[#This Row],[Unit]]&amp;Table1[[#This Row],[Unit Price]]</f>
        <v/>
      </c>
    </row>
    <row r="270" spans="1:32" x14ac:dyDescent="0.25">
      <c r="A270" s="287" t="str">
        <f ca="1">IF(Table1[[#This Row],[No. Invoice :]]="","",ROW())</f>
        <v/>
      </c>
      <c r="B270" s="287" t="str">
        <f ca="1">IF(Table1[Column3]="","",B$1+COUNT(INDIRECT("B$2:B"&amp;ROW()-1)))</f>
        <v/>
      </c>
      <c r="C270" s="281" t="str">
        <f>IF(Table1[[#This Row],[Column2]]="","",Table1[[#This Row],[Column2]]+C$1-1)</f>
        <v/>
      </c>
      <c r="H270" s="287" t="str">
        <f ca="1">IF(Table1[[#This Row],[h_No. Invoice :]]="","",CONCATENATE("AM"," ",Table1[[#This Row],[h_No. Invoice :]]))</f>
        <v/>
      </c>
      <c r="I270" s="288" t="str">
        <f>CONCATENATE(UPPER(Table1[[#This Row],[Column3]])," ",Table1[[#This Row],[Column4]])</f>
        <v xml:space="preserve"> </v>
      </c>
      <c r="J270" s="287" t="str">
        <f>IF(Table1[[#This Row],[Column5]]="","",INDEX(Table2[e],IF(Table1[[#This Row],[Column5]]="","",MATCH(Table1[[#This Row],[Column5]],Table2[a],0)),))</f>
        <v/>
      </c>
      <c r="O270" s="287" t="str">
        <f>IF(Table1[[#This Row],[h_Item Description]]="","",INDEX([1]!db[NB PAJAK],MATCH(Table1[[#This Row],[h_Item Description]],[1]!db[kode],0)))</f>
        <v/>
      </c>
      <c r="Q270" s="283"/>
      <c r="R270" s="284"/>
      <c r="T270" s="283" t="str">
        <f>Table1[[#This Row],[h_hargasetelahdiskon]]</f>
        <v/>
      </c>
      <c r="W270" s="287" t="str">
        <f ca="1">IF(Table1[[#This Row],[Item Description]]="","",IF(Table1[[#This Row],[//]]="",INDIRECT(ADDRESS(ROW()-1,COLUMN())),Table1[[#This Row],[//]]))</f>
        <v/>
      </c>
      <c r="X270" s="287" t="str">
        <f ca="1">IF(Table1[[#This Row],[h_id]]="","",COUNTIF(Table1[h_id],Table1[[#This Row],[h_id]]))</f>
        <v/>
      </c>
      <c r="Y270" s="283" t="str">
        <f>IF(Table1[Item Description]="","",Table1[[#This Row],[Qty]]*Table1[[#This Row],[Unit Price]])</f>
        <v/>
      </c>
      <c r="Z270" s="283" t="str">
        <f>IF(Table1[[#This Row],[h_hargasebelumdiskon]]="","",IF(Table1[[#This Row],[Disc 1]]="",0,Table1[[#This Row],[h_hargasebelumdiskon]]*Table1[[#This Row],[Disc 1]]))</f>
        <v/>
      </c>
      <c r="AA270" s="283" t="str">
        <f>IF(Table1[[#This Row],[h_hargasebelumdiskon]]="","",IF(Table1[[#This Row],[Disc 2]]="",0,(Table1[[#This Row],[h_hargasebelumdiskon]]-Table1[[#This Row],[h_disc 1]])*Table1[[#This Row],[Disc 2]]))</f>
        <v/>
      </c>
      <c r="AB270" s="283" t="str">
        <f>IF(Table1[Item Description]="","",Table1[[#This Row],[h_disc 1]]+Table1[[#This Row],[h_disc 2]])</f>
        <v/>
      </c>
      <c r="AC270" s="283" t="str">
        <f>IF(Table1[Item Description]="","",Table1[[#This Row],[h_hargasebelumdiskon]]-Table1[[#This Row],[h_diskon]])</f>
        <v/>
      </c>
      <c r="AD270" s="283" t="str">
        <f ca="1">IF(Table1[//]="","",SUMIF(Table1[h_id],Table1[h_id],Table1[h_hargasetelahdiskon]))</f>
        <v/>
      </c>
      <c r="AE270" s="283"/>
      <c r="AF270" s="283" t="str">
        <f>Table1[[#This Row],[Item Description]]&amp;Table1[[#This Row],[Unit]]&amp;Table1[[#This Row],[Unit Price]]</f>
        <v/>
      </c>
    </row>
    <row r="271" spans="1:32" x14ac:dyDescent="0.25">
      <c r="A271" s="304"/>
      <c r="B271" s="304"/>
      <c r="C271" s="305"/>
      <c r="D271" s="306"/>
      <c r="E271" s="307"/>
      <c r="F271" s="308"/>
      <c r="G271" s="307"/>
      <c r="H271" s="304"/>
      <c r="I271" s="309"/>
      <c r="J271" s="304"/>
      <c r="K271" s="307"/>
      <c r="L271" s="307"/>
      <c r="M271" s="307"/>
      <c r="N271" s="307"/>
      <c r="O271" s="304"/>
      <c r="P271" s="307"/>
      <c r="Q271" s="310"/>
      <c r="R271" s="311"/>
      <c r="S271" s="311"/>
      <c r="T271" s="310"/>
      <c r="U271" s="310"/>
      <c r="V271" s="307"/>
      <c r="W271" s="304"/>
      <c r="X271" s="304"/>
      <c r="Y271" s="310"/>
      <c r="Z271" s="310"/>
      <c r="AA271" s="310"/>
      <c r="AB271" s="310"/>
      <c r="AC271" s="310"/>
      <c r="AD271" s="310"/>
      <c r="AE271" s="310"/>
      <c r="AF271" s="310"/>
    </row>
  </sheetData>
  <conditionalFormatting sqref="P57">
    <cfRule type="duplicateValues" dxfId="99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Normal="100" workbookViewId="0">
      <selection activeCell="A28" sqref="A28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3" width="6.140625" style="183" customWidth="1"/>
    <col min="24" max="24" width="10.57031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115</v>
      </c>
      <c r="T1" s="183" t="s">
        <v>116</v>
      </c>
      <c r="U1" s="183" t="s">
        <v>115</v>
      </c>
      <c r="V1" s="183" t="s">
        <v>115</v>
      </c>
      <c r="W1" s="183" t="s">
        <v>117</v>
      </c>
      <c r="X1" s="183" t="s">
        <v>118</v>
      </c>
    </row>
    <row r="2" spans="1:27" x14ac:dyDescent="0.25">
      <c r="H2" t="s">
        <v>142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25</v>
      </c>
      <c r="H3" s="294" t="str">
        <f>"["&amp;H2&amp;".xlsx]Invoice"</f>
        <v>[09-Hitung FP Keluar September 2023.xlsx]Invoice</v>
      </c>
      <c r="I3" s="296"/>
      <c r="O3" s="85">
        <f>preview!K1</f>
        <v>0</v>
      </c>
      <c r="R3" t="str">
        <f>"'"&amp;pointer&amp;"'"&amp;"!$"&amp;1:1&amp;":$"&amp;1:1</f>
        <v>'[09-Hitung FP Keluar September 2023.xlsx]Invoice'!$D:$D</v>
      </c>
      <c r="S3">
        <f>NOTA!B1</f>
        <v>23090001</v>
      </c>
      <c r="T3" t="str">
        <f>"'"&amp;pointer&amp;"'"&amp;"!$"&amp;1:1&amp;":$"&amp;1:1</f>
        <v>'[09-Hitung FP Keluar September 2023.xlsx]Invoice'!$E:$E</v>
      </c>
      <c r="U3" t="str">
        <f>"'"&amp;pointer&amp;"'"&amp;"!$"&amp;1:1&amp;":$"&amp;1:1</f>
        <v>'[09-Hitung FP Keluar September 2023.xlsx]Invoice'!$D:$D</v>
      </c>
      <c r="V3" t="str">
        <f>"'"&amp;pointer&amp;"'"&amp;"!$"&amp;1:1&amp;":$"&amp;1:1</f>
        <v>'[09-Hitung FP Keluar September 2023.xlsx]Invoice'!$D:$D</v>
      </c>
      <c r="W3" t="str">
        <f>"'"&amp;pointer&amp;"'"&amp;"!$"&amp;1:1&amp;":$"&amp;1:1</f>
        <v>'[09-Hitung FP Keluar September 2023.xlsx]Invoice'!$K:$K</v>
      </c>
      <c r="X3" t="str">
        <f>"'"&amp;pointer&amp;"'"&amp;"!$"&amp;1:1&amp;":$"&amp;1:1</f>
        <v>'[09-Hitung FP Keluar September 2023.xlsx]Invoice'!$J:$J</v>
      </c>
    </row>
    <row r="4" spans="1:27" s="86" customFormat="1" x14ac:dyDescent="0.25">
      <c r="A4" s="276" t="s">
        <v>51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48</v>
      </c>
      <c r="J4" s="278" t="s">
        <v>53</v>
      </c>
      <c r="K4" s="278" t="s">
        <v>47</v>
      </c>
      <c r="L4" s="278" t="s">
        <v>49</v>
      </c>
      <c r="M4" s="278" t="s">
        <v>50</v>
      </c>
      <c r="N4" s="279" t="s">
        <v>54</v>
      </c>
      <c r="O4" s="279" t="s">
        <v>55</v>
      </c>
      <c r="P4" s="279" t="s">
        <v>120</v>
      </c>
      <c r="Q4" s="279"/>
      <c r="R4" s="291" t="s">
        <v>15</v>
      </c>
      <c r="S4" s="295" t="s">
        <v>119</v>
      </c>
      <c r="T4" s="86" t="s">
        <v>1</v>
      </c>
      <c r="U4" s="291" t="s">
        <v>3</v>
      </c>
      <c r="V4" s="86" t="s">
        <v>2</v>
      </c>
      <c r="W4" s="86" t="s">
        <v>50</v>
      </c>
      <c r="X4" s="86" t="s">
        <v>54</v>
      </c>
      <c r="Z4" s="86" t="s">
        <v>26</v>
      </c>
      <c r="AA4" s="278">
        <f ca="1">SUM(pajak[Total Invoice])</f>
        <v>179325927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23090001</v>
      </c>
      <c r="F5" s="88">
        <f ca="1">IF(pajak[[#This Row],[//]]="","",INDEX(Table1[Tgl Invoice :],pajak[//]-offset))</f>
        <v>45175</v>
      </c>
      <c r="G5" t="str">
        <f ca="1">IF(pajak[[#This Row],[//]]="","",INDEX(Table1[Kode Sales :],pajak[//]-offset))</f>
        <v>KO 3630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1588000</v>
      </c>
      <c r="J5" s="87">
        <f ca="1">IF(pajak[[#This Row],[//]]="","",SUMIF(Table1[h_id],pajak[[#This Row],[//]],Table1[h_diskon]))</f>
        <v>103500</v>
      </c>
      <c r="K5" s="87">
        <f ca="1">IF(pajak[[#This Row],[//]]="","",SUMIF(Table1[h_id],pajak[[#This Row],[//]],Table1[h_hargasetelahdiskon]))</f>
        <v>1484500</v>
      </c>
      <c r="L5" s="87">
        <f ca="1">IF(pajak[//]="","",pajak[[#This Row],[Sub Total]]/1.11*11%)</f>
        <v>147112.6126126126</v>
      </c>
      <c r="M5" s="87">
        <f ca="1">pajak[[#This Row],[Sub Total]]</f>
        <v>1484500</v>
      </c>
      <c r="N5" s="85" t="str">
        <f ca="1">IF(pajak[[#This Row],[//]]="","",INDEX(Table1[pembuat nota :],pajak[//]-offset))</f>
        <v>NOVI / YO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23090001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17771037.810810804</v>
      </c>
    </row>
    <row r="6" spans="1:27" x14ac:dyDescent="0.25">
      <c r="A6" s="291">
        <v>7</v>
      </c>
      <c r="D6">
        <f t="shared" ca="1" si="0"/>
        <v>7</v>
      </c>
      <c r="E6" t="str">
        <f ca="1">IF(pajak[[#This Row],[//]]="","",INDEX(Table1[No. Invoice :],pajak[//]-offset))</f>
        <v>AM 23090002</v>
      </c>
      <c r="F6" s="88">
        <f ca="1">IF(pajak[[#This Row],[//]]="","",INDEX(Table1[Tgl Invoice :],pajak[//]-offset))</f>
        <v>45178</v>
      </c>
      <c r="G6" t="str">
        <f ca="1">IF(pajak[[#This Row],[//]]="","",INDEX(Table1[Kode Sales :],pajak[//]-offset))</f>
        <v>KO 3644</v>
      </c>
      <c r="H6" t="str">
        <f ca="1">IF(pajak[[#This Row],[//]]="","",INDEX(Table1[Toko],pajak[//]-offset))</f>
        <v>CV  WISUDA PURWOKERTO</v>
      </c>
      <c r="I6" s="87">
        <f ca="1">IF(pajak[[#This Row],[//]]="","",SUMIF(Table1[h_id],pajak[[#This Row],[//]],Table1[h_hargasebelumdiskon]))</f>
        <v>465000</v>
      </c>
      <c r="J6" s="87">
        <f ca="1">IF(pajak[[#This Row],[//]]="","",SUMIF(Table1[h_id],pajak[[#This Row],[//]],Table1[h_diskon]))</f>
        <v>46500</v>
      </c>
      <c r="K6" s="87">
        <f ca="1">IF(pajak[[#This Row],[//]]="","",SUMIF(Table1[h_id],pajak[[#This Row],[//]],Table1[h_hargasetelahdiskon]))</f>
        <v>418500</v>
      </c>
      <c r="L6" s="87">
        <f ca="1">IF(pajak[//]="","",pajak[[#This Row],[Sub Total]]/1.11*11%)</f>
        <v>41472.972972972966</v>
      </c>
      <c r="M6" s="87">
        <f ca="1">pajak[[#This Row],[Sub Total]]</f>
        <v>418500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23090002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17771037.810810808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23090003</v>
      </c>
      <c r="F7" s="88">
        <f ca="1">IF(pajak[[#This Row],[//]]="","",INDEX(Table1[Tgl Invoice :],pajak[//]-offset))</f>
        <v>45178</v>
      </c>
      <c r="G7" t="str">
        <f ca="1">IF(pajak[[#This Row],[//]]="","",INDEX(Table1[Kode Sales :],pajak[//]-offset))</f>
        <v>G 3531</v>
      </c>
      <c r="H7" t="str">
        <f ca="1">IF(pajak[[#This Row],[//]]="","",INDEX(Table1[Toko],pajak[//]-offset))</f>
        <v>LILY JULIAWATI (REJO AGUNG) JOMBANG</v>
      </c>
      <c r="I7" s="87">
        <f ca="1">IF(pajak[[#This Row],[//]]="","",SUMIF(Table1[h_id],pajak[[#This Row],[//]],Table1[h_hargasebelumdiskon]))</f>
        <v>17280000</v>
      </c>
      <c r="J7" s="87">
        <f ca="1">IF(pajak[[#This Row],[//]]="","",SUMIF(Table1[h_id],pajak[[#This Row],[//]],Table1[h_diskon]))</f>
        <v>2160000</v>
      </c>
      <c r="K7" s="87">
        <f ca="1">IF(pajak[[#This Row],[//]]="","",SUMIF(Table1[h_id],pajak[[#This Row],[//]],Table1[h_hargasetelahdiskon]))</f>
        <v>15120000</v>
      </c>
      <c r="L7" s="87">
        <f ca="1">IF(pajak[//]="","",pajak[[#This Row],[Sub Total]]/1.11*11%)</f>
        <v>1498378.3783783782</v>
      </c>
      <c r="M7" s="87">
        <f ca="1">pajak[[#This Row],[Sub Total]]</f>
        <v>15120000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23090003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11</v>
      </c>
      <c r="D8">
        <f t="shared" ca="1" si="0"/>
        <v>11</v>
      </c>
      <c r="E8" t="str">
        <f ca="1">IF(pajak[[#This Row],[//]]="","",INDEX(Table1[No. Invoice :],pajak[//]-offset))</f>
        <v>AM 23090004</v>
      </c>
      <c r="F8" s="88">
        <f ca="1">IF(pajak[[#This Row],[//]]="","",INDEX(Table1[Tgl Invoice :],pajak[//]-offset))</f>
        <v>45178</v>
      </c>
      <c r="G8" t="str">
        <f ca="1">IF(pajak[[#This Row],[//]]="","",INDEX(Table1[Kode Sales :],pajak[//]-offset))</f>
        <v>G 3530</v>
      </c>
      <c r="H8" t="str">
        <f ca="1">IF(pajak[[#This Row],[//]]="","",INDEX(Table1[Toko],pajak[//]-offset))</f>
        <v>LILY JULIAWATI (REJO AGUNG) JOMBANG</v>
      </c>
      <c r="I8" s="87">
        <f ca="1">IF(pajak[[#This Row],[//]]="","",SUMIF(Table1[h_id],pajak[[#This Row],[//]],Table1[h_hargasebelumdiskon]))</f>
        <v>20483200</v>
      </c>
      <c r="J8" s="87">
        <f ca="1">IF(pajak[[#This Row],[//]]="","",SUMIF(Table1[h_id],pajak[[#This Row],[//]],Table1[h_diskon]))</f>
        <v>2560400</v>
      </c>
      <c r="K8" s="87">
        <f ca="1">IF(pajak[[#This Row],[//]]="","",SUMIF(Table1[h_id],pajak[[#This Row],[//]],Table1[h_hargasetelahdiskon]))</f>
        <v>17922800</v>
      </c>
      <c r="L8" s="87">
        <f ca="1">IF(pajak[//]="","",pajak[[#This Row],[Sub Total]]/1.11*11%)</f>
        <v>1776133.3333333333</v>
      </c>
      <c r="M8" s="87">
        <f ca="1">pajak[[#This Row],[Sub Total]]</f>
        <v>17922800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23090004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19</v>
      </c>
      <c r="D9">
        <f t="shared" ca="1" si="0"/>
        <v>19</v>
      </c>
      <c r="E9" t="str">
        <f ca="1">IF(pajak[[#This Row],[//]]="","",INDEX(Table1[No. Invoice :],pajak[//]-offset))</f>
        <v>AM 23090005</v>
      </c>
      <c r="F9" s="88">
        <f ca="1">IF(pajak[[#This Row],[//]]="","",INDEX(Table1[Tgl Invoice :],pajak[//]-offset))</f>
        <v>45180</v>
      </c>
      <c r="G9" t="str">
        <f ca="1">IF(pajak[[#This Row],[//]]="","",INDEX(Table1[Kode Sales :],pajak[//]-offset))</f>
        <v>KO 3542</v>
      </c>
      <c r="H9" t="str">
        <f ca="1">IF(pajak[[#This Row],[//]]="","",INDEX(Table1[Toko],pajak[//]-offset))</f>
        <v>HARNOYO (BENDAN) PEKALONGAN</v>
      </c>
      <c r="I9" s="87">
        <f ca="1">IF(pajak[[#This Row],[//]]="","",SUMIF(Table1[h_id],pajak[[#This Row],[//]],Table1[h_hargasebelumdiskon]))</f>
        <v>2052000</v>
      </c>
      <c r="J9" s="87">
        <f ca="1">IF(pajak[[#This Row],[//]]="","",SUMIF(Table1[h_id],pajak[[#This Row],[//]],Table1[h_diskon]))</f>
        <v>287280</v>
      </c>
      <c r="K9" s="87">
        <f ca="1">IF(pajak[[#This Row],[//]]="","",SUMIF(Table1[h_id],pajak[[#This Row],[//]],Table1[h_hargasetelahdiskon]))</f>
        <v>1764720</v>
      </c>
      <c r="L9" s="87">
        <f ca="1">IF(pajak[//]="","",pajak[[#This Row],[Sub Total]]/1.11*11%)</f>
        <v>174882.16216216213</v>
      </c>
      <c r="M9" s="87">
        <f ca="1">pajak[[#This Row],[Sub Total]]</f>
        <v>1764720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23090005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21</v>
      </c>
      <c r="D10">
        <f t="shared" ca="1" si="0"/>
        <v>21</v>
      </c>
      <c r="E10" t="str">
        <f ca="1">IF(pajak[[#This Row],[//]]="","",INDEX(Table1[No. Invoice :],pajak[//]-offset))</f>
        <v>AM 23090006</v>
      </c>
      <c r="F10" s="88">
        <f ca="1">IF(pajak[[#This Row],[//]]="","",INDEX(Table1[Tgl Invoice :],pajak[//]-offset))</f>
        <v>45180</v>
      </c>
      <c r="G10" t="str">
        <f ca="1">IF(pajak[[#This Row],[//]]="","",INDEX(Table1[Kode Sales :],pajak[//]-offset))</f>
        <v>KO 3544</v>
      </c>
      <c r="H10" t="str">
        <f ca="1">IF(pajak[[#This Row],[//]]="","",INDEX(Table1[Toko],pajak[//]-offset))</f>
        <v>CV PELITA JAYA (ANUGERAH SEJAHTERA) PURWOKERTO</v>
      </c>
      <c r="I10" s="87">
        <f ca="1">IF(pajak[[#This Row],[//]]="","",SUMIF(Table1[h_id],pajak[[#This Row],[//]],Table1[h_hargasebelumdiskon]))</f>
        <v>6451200</v>
      </c>
      <c r="J10" s="87">
        <f ca="1">IF(pajak[[#This Row],[//]]="","",SUMIF(Table1[h_id],pajak[[#This Row],[//]],Table1[h_diskon]))</f>
        <v>870912</v>
      </c>
      <c r="K10" s="87">
        <f ca="1">IF(pajak[[#This Row],[//]]="","",SUMIF(Table1[h_id],pajak[[#This Row],[//]],Table1[h_hargasetelahdiskon]))</f>
        <v>5580288</v>
      </c>
      <c r="L10" s="87">
        <f ca="1">IF(pajak[//]="","",pajak[[#This Row],[Sub Total]]/1.11*11%)</f>
        <v>553001.51351351349</v>
      </c>
      <c r="M10" s="87">
        <f ca="1">pajak[[#This Row],[Sub Total]]</f>
        <v>5580288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23090006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25</v>
      </c>
      <c r="D11">
        <f t="shared" ca="1" si="0"/>
        <v>25</v>
      </c>
      <c r="E11" t="str">
        <f ca="1">IF(pajak[[#This Row],[//]]="","",INDEX(Table1[No. Invoice :],pajak[//]-offset))</f>
        <v>AM 23090007</v>
      </c>
      <c r="F11" s="88">
        <f ca="1">IF(pajak[[#This Row],[//]]="","",INDEX(Table1[Tgl Invoice :],pajak[//]-offset))</f>
        <v>45180</v>
      </c>
      <c r="G11" t="str">
        <f ca="1">IF(pajak[[#This Row],[//]]="","",INDEX(Table1[Kode Sales :],pajak[//]-offset))</f>
        <v>G 3547</v>
      </c>
      <c r="H11" t="str">
        <f ca="1">IF(pajak[[#This Row],[//]]="","",INDEX(Table1[Toko],pajak[//]-offset))</f>
        <v>LILY JULIAWATI (REJO AGUNG) JOMBANG</v>
      </c>
      <c r="I11" s="87">
        <f ca="1">IF(pajak[[#This Row],[//]]="","",SUMIF(Table1[h_id],pajak[[#This Row],[//]],Table1[h_hargasebelumdiskon]))</f>
        <v>7819200</v>
      </c>
      <c r="J11" s="87">
        <f ca="1">IF(pajak[[#This Row],[//]]="","",SUMIF(Table1[h_id],pajak[[#This Row],[//]],Table1[h_diskon]))</f>
        <v>977400</v>
      </c>
      <c r="K11" s="87">
        <f ca="1">IF(pajak[[#This Row],[//]]="","",SUMIF(Table1[h_id],pajak[[#This Row],[//]],Table1[h_hargasetelahdiskon]))</f>
        <v>6841800</v>
      </c>
      <c r="L11" s="87">
        <f ca="1">IF(pajak[//]="","",pajak[[#This Row],[Sub Total]]/1.11*11%)</f>
        <v>678016.21621621621</v>
      </c>
      <c r="M11" s="87">
        <f ca="1">pajak[[#This Row],[Sub Total]]</f>
        <v>6841800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23090007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27</v>
      </c>
      <c r="D12">
        <f t="shared" ca="1" si="0"/>
        <v>27</v>
      </c>
      <c r="E12" t="str">
        <f ca="1">IF(pajak[[#This Row],[//]]="","",INDEX(Table1[No. Invoice :],pajak[//]-offset))</f>
        <v>AM 23090008</v>
      </c>
      <c r="F12" s="88">
        <f ca="1">IF(pajak[[#This Row],[//]]="","",INDEX(Table1[Tgl Invoice :],pajak[//]-offset))</f>
        <v>45180</v>
      </c>
      <c r="G12" t="str">
        <f ca="1">IF(pajak[[#This Row],[//]]="","",INDEX(Table1[Kode Sales :],pajak[//]-offset))</f>
        <v>A 3703</v>
      </c>
      <c r="H12" t="str">
        <f ca="1">IF(pajak[[#This Row],[//]]="","",INDEX(Table1[Toko],pajak[//]-offset))</f>
        <v>CV TIARA SOLO</v>
      </c>
      <c r="I12" s="87">
        <f ca="1">IF(pajak[[#This Row],[//]]="","",SUMIF(Table1[h_id],pajak[[#This Row],[//]],Table1[h_hargasebelumdiskon]))</f>
        <v>4050000</v>
      </c>
      <c r="J12" s="87">
        <f ca="1">IF(pajak[[#This Row],[//]]="","",SUMIF(Table1[h_id],pajak[[#This Row],[//]],Table1[h_diskon]))</f>
        <v>607500</v>
      </c>
      <c r="K12" s="87">
        <f ca="1">IF(pajak[[#This Row],[//]]="","",SUMIF(Table1[h_id],pajak[[#This Row],[//]],Table1[h_hargasetelahdiskon]))</f>
        <v>3442500</v>
      </c>
      <c r="L12" s="87">
        <f ca="1">IF(pajak[//]="","",pajak[[#This Row],[Sub Total]]/1.11*11%)</f>
        <v>341148.64864864864</v>
      </c>
      <c r="M12" s="87">
        <f ca="1">pajak[[#This Row],[Sub Total]]</f>
        <v>3442500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23090008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29</v>
      </c>
      <c r="D13">
        <f t="shared" ca="1" si="0"/>
        <v>29</v>
      </c>
      <c r="E13" t="str">
        <f ca="1">IF(pajak[[#This Row],[//]]="","",INDEX(Table1[No. Invoice :],pajak[//]-offset))</f>
        <v>AM 23090009</v>
      </c>
      <c r="F13" s="88">
        <f ca="1">IF(pajak[[#This Row],[//]]="","",INDEX(Table1[Tgl Invoice :],pajak[//]-offset))</f>
        <v>45173</v>
      </c>
      <c r="G13" t="str">
        <f ca="1">IF(pajak[[#This Row],[//]]="","",INDEX(Table1[Kode Sales :],pajak[//]-offset))</f>
        <v>G 3525</v>
      </c>
      <c r="H13" t="str">
        <f ca="1">IF(pajak[[#This Row],[//]]="","",INDEX(Table1[Toko],pajak[//]-offset))</f>
        <v>CV UTAMA PUTRA TULUNG AGUNG</v>
      </c>
      <c r="I13" s="87">
        <f ca="1">IF(pajak[[#This Row],[//]]="","",SUMIF(Table1[h_id],pajak[[#This Row],[//]],Table1[h_hargasebelumdiskon]))</f>
        <v>3628800</v>
      </c>
      <c r="J13" s="87">
        <f ca="1">IF(pajak[[#This Row],[//]]="","",SUMIF(Table1[h_id],pajak[[#This Row],[//]],Table1[h_diskon]))</f>
        <v>453600</v>
      </c>
      <c r="K13" s="87">
        <f ca="1">IF(pajak[[#This Row],[//]]="","",SUMIF(Table1[h_id],pajak[[#This Row],[//]],Table1[h_hargasetelahdiskon]))</f>
        <v>3175200</v>
      </c>
      <c r="L13" s="87">
        <f ca="1">IF(pajak[//]="","",pajak[[#This Row],[Sub Total]]/1.11*11%)</f>
        <v>314659.45945945941</v>
      </c>
      <c r="M13" s="87">
        <f ca="1">pajak[[#This Row],[Sub Total]]</f>
        <v>3175200</v>
      </c>
      <c r="N13" s="85" t="str">
        <f ca="1">IF(pajak[[#This Row],[//]]="","",INDEX(Table1[pembuat nota :],pajak[//]-offset))</f>
        <v>NOVI / CONDRO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23090009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31</v>
      </c>
      <c r="D14" s="85">
        <f t="shared" ca="1" si="0"/>
        <v>31</v>
      </c>
      <c r="E14" t="str">
        <f ca="1">IF(pajak[[#This Row],[//]]="","",INDEX(Table1[No. Invoice :],pajak[//]-offset))</f>
        <v>AM 23090010</v>
      </c>
      <c r="F14" s="88">
        <f ca="1">IF(pajak[[#This Row],[//]]="","",INDEX(Table1[Tgl Invoice :],pajak[//]-offset))</f>
        <v>45181</v>
      </c>
      <c r="G14" s="85" t="str">
        <f ca="1">IF(pajak[[#This Row],[//]]="","",INDEX(Table1[Kode Sales :],pajak[//]-offset))</f>
        <v>KO 3709</v>
      </c>
      <c r="H14" s="85" t="str">
        <f ca="1">IF(pajak[[#This Row],[//]]="","",INDEX(Table1[Toko],pajak[//]-offset))</f>
        <v>CV PELITA JAYA (ANUGERAH SEJAHTERA) PURWOKERTO</v>
      </c>
      <c r="I14" s="87">
        <f ca="1">IF(pajak[[#This Row],[//]]="","",SUMIF(Table1[h_id],pajak[[#This Row],[//]],Table1[h_hargasebelumdiskon]))</f>
        <v>19495200</v>
      </c>
      <c r="J14" s="87">
        <f ca="1">IF(pajak[[#This Row],[//]]="","",SUMIF(Table1[h_id],pajak[[#This Row],[//]],Table1[h_diskon]))</f>
        <v>2631852</v>
      </c>
      <c r="K14" s="87">
        <f ca="1">IF(pajak[[#This Row],[//]]="","",SUMIF(Table1[h_id],pajak[[#This Row],[//]],Table1[h_hargasetelahdiskon]))</f>
        <v>16863348</v>
      </c>
      <c r="L14" s="87">
        <f ca="1">IF(pajak[//]="","",pajak[[#This Row],[Sub Total]]/1.11*11%)</f>
        <v>1671142.5945945946</v>
      </c>
      <c r="M14" s="87">
        <f ca="1">pajak[[#This Row],[Sub Total]]</f>
        <v>16863348</v>
      </c>
      <c r="N14" s="85" t="str">
        <f ca="1">IF(pajak[[#This Row],[//]]="","",INDEX(Table1[pembuat nota :],pajak[//]-offset))</f>
        <v>LENA / YO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23090010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>
        <v>40</v>
      </c>
      <c r="D15" s="85">
        <f t="shared" ca="1" si="0"/>
        <v>40</v>
      </c>
      <c r="E15" t="str">
        <f ca="1">IF(pajak[[#This Row],[//]]="","",INDEX(Table1[No. Invoice :],pajak[//]-offset))</f>
        <v>AM 23090011</v>
      </c>
      <c r="F15" s="88">
        <f ca="1">IF(pajak[[#This Row],[//]]="","",INDEX(Table1[Tgl Invoice :],pajak[//]-offset))</f>
        <v>45183</v>
      </c>
      <c r="G15" s="85" t="str">
        <f ca="1">IF(pajak[[#This Row],[//]]="","",INDEX(Table1[Kode Sales :],pajak[//]-offset))</f>
        <v>G 3803</v>
      </c>
      <c r="H15" s="85" t="str">
        <f ca="1">IF(pajak[[#This Row],[//]]="","",INDEX(Table1[Toko],pajak[//]-offset))</f>
        <v>LILY JULIAWATI (REJO AGUNG) JOMBANG</v>
      </c>
      <c r="I15" s="87">
        <f ca="1">IF(pajak[[#This Row],[//]]="","",SUMIF(Table1[h_id],pajak[[#This Row],[//]],Table1[h_hargasebelumdiskon]))</f>
        <v>4183200</v>
      </c>
      <c r="J15" s="87">
        <f ca="1">IF(pajak[[#This Row],[//]]="","",SUMIF(Table1[h_id],pajak[[#This Row],[//]],Table1[h_diskon]))</f>
        <v>522900</v>
      </c>
      <c r="K15" s="87">
        <f ca="1">IF(pajak[[#This Row],[//]]="","",SUMIF(Table1[h_id],pajak[[#This Row],[//]],Table1[h_hargasetelahdiskon]))</f>
        <v>3660300</v>
      </c>
      <c r="L15" s="87">
        <f ca="1">IF(pajak[//]="","",pajak[[#This Row],[Sub Total]]/1.11*11%)</f>
        <v>362732.43243243243</v>
      </c>
      <c r="M15" s="87">
        <f ca="1">pajak[[#This Row],[Sub Total]]</f>
        <v>3660300</v>
      </c>
      <c r="N15" s="85" t="str">
        <f ca="1">IF(pajak[[#This Row],[//]]="","",INDEX(Table1[pembuat nota :],pajak[//]-offset))</f>
        <v>NOVI / CONDRO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23090011</v>
      </c>
      <c r="T15" s="183" t="e">
        <f ca="1">IF(Table4[[#This Row],[AM]]&amp;" "&amp;Table4[[#This Row],[---]]=INDIRECT("pajak[@["&amp;Table4[#Headers]&amp;"]]"),MATCH(Table4[[#This Row],[---]],INDIRECT($3:$3),0))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s="298" customFormat="1" x14ac:dyDescent="0.25">
      <c r="A16" s="291">
        <v>43</v>
      </c>
      <c r="D16" s="299">
        <f t="shared" ca="1" si="0"/>
        <v>43</v>
      </c>
      <c r="E16" s="298" t="str">
        <f ca="1">IF(pajak[[#This Row],[//]]="","",INDEX(Table1[No. Invoice :],pajak[//]-offset))</f>
        <v>AM 23090012</v>
      </c>
      <c r="F16" s="300">
        <f ca="1">IF(pajak[[#This Row],[//]]="","",INDEX(Table1[Tgl Invoice :],pajak[//]-offset))</f>
        <v>45184</v>
      </c>
      <c r="G16" s="299" t="str">
        <f ca="1">IF(pajak[[#This Row],[//]]="","",INDEX(Table1[Kode Sales :],pajak[//]-offset))</f>
        <v>KO 3801</v>
      </c>
      <c r="H16" s="299" t="str">
        <f ca="1">IF(pajak[[#This Row],[//]]="","",INDEX(Table1[Toko],pajak[//]-offset))</f>
        <v>CV PELITA JAYA (ANUGERAH SEJAHTERA) PURWOKERTO</v>
      </c>
      <c r="I16" s="301">
        <f ca="1">IF(pajak[[#This Row],[//]]="","",SUMIF(Table1[h_id],pajak[[#This Row],[//]],Table1[h_hargasebelumdiskon]))</f>
        <v>5702400</v>
      </c>
      <c r="J16" s="301">
        <f ca="1">IF(pajak[[#This Row],[//]]="","",SUMIF(Table1[h_id],pajak[[#This Row],[//]],Table1[h_diskon]))</f>
        <v>769824</v>
      </c>
      <c r="K16" s="301">
        <f ca="1">IF(pajak[[#This Row],[//]]="","",SUMIF(Table1[h_id],pajak[[#This Row],[//]],Table1[h_hargasetelahdiskon]))</f>
        <v>4932576</v>
      </c>
      <c r="L16" s="301">
        <f ca="1">IF(pajak[//]="","",pajak[[#This Row],[Sub Total]]/1.11*11%)</f>
        <v>488813.83783783775</v>
      </c>
      <c r="M16" s="301">
        <f ca="1">pajak[[#This Row],[Sub Total]]</f>
        <v>4932576</v>
      </c>
      <c r="N16" s="299" t="str">
        <f ca="1">IF(pajak[[#This Row],[//]]="","",INDEX(Table1[pembuat nota :],pajak[//]-offset))</f>
        <v>NOVI / CONDRO</v>
      </c>
      <c r="O16" s="299" t="str">
        <f ca="1">IF(pajak[[#This Row],[//]]="","",IF(INDEX(Table1[edited :],pajak[//]-offset)="","",INDEX(Table1[edited :],pajak[//]-offset)))</f>
        <v/>
      </c>
      <c r="P16" s="301"/>
      <c r="Q16" s="299"/>
      <c r="R16" s="298" t="str">
        <f>Table4[[#Headers],[AM]]</f>
        <v>AM</v>
      </c>
      <c r="S16" s="298">
        <f t="shared" si="1"/>
        <v>23090012</v>
      </c>
      <c r="T16" s="302">
        <v>2738</v>
      </c>
      <c r="U16" s="302" t="e">
        <f ca="1">IF((INDEX(INDIRECT($3:$3),Table4[[#This Row],[No. Invoice :]]+$2:$2))=INDIRECT("pajak[@["&amp;Table4[#Headers]&amp;"]]"),1)</f>
        <v>#REF!</v>
      </c>
      <c r="V16" s="302" t="e">
        <f ca="1">IF((INDEX(INDIRECT($3:$3),Table4[[#This Row],[No. Invoice :]]+$2:$2))=INDIRECT("pajak[@["&amp;Table4[#Headers]&amp;"]]"),1)</f>
        <v>#REF!</v>
      </c>
      <c r="W16" s="302" t="e">
        <f ca="1">IF((INDEX(INDIRECT($3:$3),Table4[[#This Row],[No. Invoice :]]+$2:$2))=INDIRECT("pajak[@["&amp;Table4[#Headers]&amp;"]]"),1)</f>
        <v>#REF!</v>
      </c>
      <c r="X16" s="303" t="e">
        <f ca="1">IF((INDEX(INDIRECT($3:$3),Table4[[#This Row],[No. Invoice :]]+$2:$2))=INDIRECT("pajak[@["&amp;Table4[#Headers]&amp;"]]"),1)</f>
        <v>#REF!</v>
      </c>
    </row>
    <row r="17" spans="1:24" x14ac:dyDescent="0.25">
      <c r="A17" s="291">
        <v>45</v>
      </c>
      <c r="D17" s="85">
        <f t="shared" ca="1" si="0"/>
        <v>45</v>
      </c>
      <c r="E17" t="str">
        <f ca="1">IF(pajak[[#This Row],[//]]="","",INDEX(Table1[No. Invoice :],pajak[//]-offset))</f>
        <v>AM 23090013</v>
      </c>
      <c r="F17" s="88">
        <f ca="1">IF(pajak[[#This Row],[//]]="","",INDEX(Table1[Tgl Invoice :],pajak[//]-offset))</f>
        <v>45185</v>
      </c>
      <c r="G17" s="85" t="str">
        <f ca="1">IF(pajak[[#This Row],[//]]="","",INDEX(Table1[Kode Sales :],pajak[//]-offset))</f>
        <v>KO 3265</v>
      </c>
      <c r="H17" s="85" t="str">
        <f ca="1">IF(pajak[[#This Row],[//]]="","",INDEX(Table1[Toko],pajak[//]-offset))</f>
        <v>CV LANCAR JAYA SENTOSA MALANG</v>
      </c>
      <c r="I17" s="87">
        <f ca="1">IF(pajak[[#This Row],[//]]="","",SUMIF(Table1[h_id],pajak[[#This Row],[//]],Table1[h_hargasebelumdiskon]))</f>
        <v>10368000</v>
      </c>
      <c r="J17" s="87">
        <f ca="1">IF(pajak[[#This Row],[//]]="","",SUMIF(Table1[h_id],pajak[[#This Row],[//]],Table1[h_diskon]))</f>
        <v>1296000</v>
      </c>
      <c r="K17" s="87">
        <f ca="1">IF(pajak[[#This Row],[//]]="","",SUMIF(Table1[h_id],pajak[[#This Row],[//]],Table1[h_hargasetelahdiskon]))</f>
        <v>9072000</v>
      </c>
      <c r="L17" s="87">
        <f ca="1">IF(pajak[//]="","",pajak[[#This Row],[Sub Total]]/1.11*11%)</f>
        <v>899027.02702702698</v>
      </c>
      <c r="M17" s="87">
        <f ca="1">pajak[[#This Row],[Sub Total]]</f>
        <v>9072000</v>
      </c>
      <c r="N17" s="85" t="str">
        <f ca="1">IF(pajak[[#This Row],[//]]="","",INDEX(Table1[pembuat nota :],pajak[//]-offset))</f>
        <v>NOVI / CONDRO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23090013</v>
      </c>
      <c r="T17" s="183" t="e">
        <f ca="1">IF(Table4[[#This Row],[AM]]&amp;" "&amp;Table4[[#This Row],[---]]=INDIRECT("pajak[@["&amp;Table4[#Headers]&amp;"]]"),MATCH(Table4[[#This Row],[---]],INDIRECT($3:$3),0))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1:24" x14ac:dyDescent="0.25">
      <c r="A18" s="291">
        <v>48</v>
      </c>
      <c r="D18" s="85">
        <f t="shared" ca="1" si="0"/>
        <v>48</v>
      </c>
      <c r="E18" t="str">
        <f ca="1">IF(pajak[[#This Row],[//]]="","",INDEX(Table1[No. Invoice :],pajak[//]-offset))</f>
        <v>AM 23090014</v>
      </c>
      <c r="F18" s="88">
        <f ca="1">IF(pajak[[#This Row],[//]]="","",INDEX(Table1[Tgl Invoice :],pajak[//]-offset))</f>
        <v>45185</v>
      </c>
      <c r="G18" s="85" t="str">
        <f ca="1">IF(pajak[[#This Row],[//]]="","",INDEX(Table1[Kode Sales :],pajak[//]-offset))</f>
        <v>KO 3726</v>
      </c>
      <c r="H18" s="85" t="str">
        <f ca="1">IF(pajak[[#This Row],[//]]="","",INDEX(Table1[Toko],pajak[//]-offset))</f>
        <v>CV PELITA JAYA (ANUGERAH SEJAHTERA) PURWOKERTO</v>
      </c>
      <c r="I18" s="87">
        <f ca="1">IF(pajak[[#This Row],[//]]="","",SUMIF(Table1[h_id],pajak[[#This Row],[//]],Table1[h_hargasebelumdiskon]))</f>
        <v>8390000</v>
      </c>
      <c r="J18" s="87">
        <f ca="1">IF(pajak[[#This Row],[//]]="","",SUMIF(Table1[h_id],pajak[[#This Row],[//]],Table1[h_diskon]))</f>
        <v>1132650</v>
      </c>
      <c r="K18" s="87">
        <f ca="1">IF(pajak[[#This Row],[//]]="","",SUMIF(Table1[h_id],pajak[[#This Row],[//]],Table1[h_hargasetelahdiskon]))</f>
        <v>7257350</v>
      </c>
      <c r="L18" s="87">
        <f ca="1">IF(pajak[//]="","",pajak[[#This Row],[Sub Total]]/1.11*11%)</f>
        <v>719196.84684684675</v>
      </c>
      <c r="M18" s="87">
        <f ca="1">pajak[[#This Row],[Sub Total]]</f>
        <v>7257350</v>
      </c>
      <c r="N18" s="85" t="str">
        <f ca="1">IF(pajak[[#This Row],[//]]="","",INDEX(Table1[pembuat nota :],pajak[//]-offset))</f>
        <v>NOVI / CONDRO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23090014</v>
      </c>
      <c r="T18" s="183" t="e">
        <f ca="1">IF(Table4[[#This Row],[AM]]&amp;" "&amp;Table4[[#This Row],[---]]=INDIRECT("pajak[@["&amp;Table4[#Headers]&amp;"]]"),MATCH(Table4[[#This Row],[---]],INDIRECT($3:$3),0))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1:24" x14ac:dyDescent="0.25">
      <c r="A19" s="291">
        <v>53</v>
      </c>
      <c r="D19" s="85">
        <f t="shared" ca="1" si="0"/>
        <v>53</v>
      </c>
      <c r="E19" t="str">
        <f ca="1">IF(pajak[[#This Row],[//]]="","",INDEX(Table1[No. Invoice :],pajak[//]-offset))</f>
        <v>AM 23090015</v>
      </c>
      <c r="F19" s="88">
        <f ca="1">IF(pajak[[#This Row],[//]]="","",INDEX(Table1[Tgl Invoice :],pajak[//]-offset))</f>
        <v>45183</v>
      </c>
      <c r="G19" s="85" t="str">
        <f ca="1">IF(pajak[[#This Row],[//]]="","",INDEX(Table1[Kode Sales :],pajak[//]-offset))</f>
        <v>G 3754</v>
      </c>
      <c r="H19" s="85" t="str">
        <f ca="1">IF(pajak[[#This Row],[//]]="","",INDEX(Table1[Toko],pajak[//]-offset))</f>
        <v>MUHAMMAD AGUS MUNADI ( SINAR BHAKTI ) YOGYAKARTA</v>
      </c>
      <c r="I19" s="87">
        <f ca="1">IF(pajak[[#This Row],[//]]="","",SUMIF(Table1[h_id],pajak[[#This Row],[//]],Table1[h_hargasebelumdiskon]))</f>
        <v>1070400</v>
      </c>
      <c r="J19" s="87">
        <f ca="1">IF(pajak[[#This Row],[//]]="","",SUMIF(Table1[h_id],pajak[[#This Row],[//]],Table1[h_diskon]))</f>
        <v>107040</v>
      </c>
      <c r="K19" s="87">
        <f ca="1">IF(pajak[[#This Row],[//]]="","",SUMIF(Table1[h_id],pajak[[#This Row],[//]],Table1[h_hargasetelahdiskon]))</f>
        <v>963360</v>
      </c>
      <c r="L19" s="87">
        <f ca="1">IF(pajak[//]="","",pajak[[#This Row],[Sub Total]]/1.11*11%)</f>
        <v>95468.108108108107</v>
      </c>
      <c r="M19" s="87">
        <f ca="1">pajak[[#This Row],[Sub Total]]</f>
        <v>963360</v>
      </c>
      <c r="N19" s="85" t="str">
        <f ca="1">IF(pajak[[#This Row],[//]]="","",INDEX(Table1[pembuat nota :],pajak[//]-offset))</f>
        <v>NOVI / CONDRO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23090015</v>
      </c>
      <c r="T19" s="183" t="e">
        <f ca="1">IF(Table4[[#This Row],[AM]]&amp;" "&amp;Table4[[#This Row],[---]]=INDIRECT("pajak[@["&amp;Table4[#Headers]&amp;"]]"),MATCH(Table4[[#This Row],[---]],INDIRECT($3:$3),0))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1:24" x14ac:dyDescent="0.25">
      <c r="A20" s="291">
        <v>57</v>
      </c>
      <c r="D20" s="85">
        <f t="shared" ca="1" si="0"/>
        <v>57</v>
      </c>
      <c r="E20" t="str">
        <f ca="1">IF(pajak[[#This Row],[//]]="","",INDEX(Table1[No. Invoice :],pajak[//]-offset))</f>
        <v>AM 23090016</v>
      </c>
      <c r="F20" s="88">
        <f ca="1">IF(pajak[[#This Row],[//]]="","",INDEX(Table1[Tgl Invoice :],pajak[//]-offset))</f>
        <v>45187</v>
      </c>
      <c r="G20" s="85" t="str">
        <f ca="1">IF(pajak[[#This Row],[//]]="","",INDEX(Table1[Kode Sales :],pajak[//]-offset))</f>
        <v>G 3731</v>
      </c>
      <c r="H20" s="85" t="str">
        <f ca="1">IF(pajak[[#This Row],[//]]="","",INDEX(Table1[Toko],pajak[//]-offset))</f>
        <v>LILY JULIAWATI (REJO AGUNG) JOMBANG</v>
      </c>
      <c r="I20" s="87">
        <f ca="1">IF(pajak[[#This Row],[//]]="","",SUMIF(Table1[h_id],pajak[[#This Row],[//]],Table1[h_hargasebelumdiskon]))</f>
        <v>21352800</v>
      </c>
      <c r="J20" s="87">
        <f ca="1">IF(pajak[[#This Row],[//]]="","",SUMIF(Table1[h_id],pajak[[#This Row],[//]],Table1[h_diskon]))</f>
        <v>2669100</v>
      </c>
      <c r="K20" s="87">
        <f ca="1">IF(pajak[[#This Row],[//]]="","",SUMIF(Table1[h_id],pajak[[#This Row],[//]],Table1[h_hargasetelahdiskon]))</f>
        <v>18683700</v>
      </c>
      <c r="L20" s="87">
        <f ca="1">IF(pajak[//]="","",pajak[[#This Row],[Sub Total]]/1.11*11%)</f>
        <v>1851537.8378378379</v>
      </c>
      <c r="M20" s="87">
        <f ca="1">pajak[[#This Row],[Sub Total]]</f>
        <v>18683700</v>
      </c>
      <c r="N20" s="85" t="str">
        <f ca="1">IF(pajak[[#This Row],[//]]="","",INDEX(Table1[pembuat nota :],pajak[//]-offset))</f>
        <v>RISMA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23090016</v>
      </c>
      <c r="T20" s="183" t="e">
        <f ca="1">IF(Table4[[#This Row],[AM]]&amp;" "&amp;Table4[[#This Row],[---]]=INDIRECT("pajak[@["&amp;Table4[#Headers]&amp;"]]"),MATCH(Table4[[#This Row],[---]],INDIRECT($3:$3),0))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1:24" x14ac:dyDescent="0.25">
      <c r="A21" s="291">
        <v>64</v>
      </c>
      <c r="D21" s="85">
        <f t="shared" ca="1" si="0"/>
        <v>64</v>
      </c>
      <c r="E21" t="str">
        <f ca="1">IF(pajak[[#This Row],[//]]="","",INDEX(Table1[No. Invoice :],pajak[//]-offset))</f>
        <v>AM 23090017</v>
      </c>
      <c r="F21" s="88">
        <f ca="1">IF(pajak[[#This Row],[//]]="","",INDEX(Table1[Tgl Invoice :],pajak[//]-offset))</f>
        <v>45187</v>
      </c>
      <c r="G21" s="85" t="str">
        <f ca="1">IF(pajak[[#This Row],[//]]="","",INDEX(Table1[Kode Sales :],pajak[//]-offset))</f>
        <v>G 3733</v>
      </c>
      <c r="H21" s="85" t="str">
        <f ca="1">IF(pajak[[#This Row],[//]]="","",INDEX(Table1[Toko],pajak[//]-offset))</f>
        <v>CV  WISUDA PURWOKERTO</v>
      </c>
      <c r="I21" s="87">
        <f ca="1">IF(pajak[[#This Row],[//]]="","",SUMIF(Table1[h_id],pajak[[#This Row],[//]],Table1[h_hargasebelumdiskon]))</f>
        <v>2367000</v>
      </c>
      <c r="J21" s="87">
        <f ca="1">IF(pajak[[#This Row],[//]]="","",SUMIF(Table1[h_id],pajak[[#This Row],[//]],Table1[h_diskon]))</f>
        <v>236700</v>
      </c>
      <c r="K21" s="87">
        <f ca="1">IF(pajak[[#This Row],[//]]="","",SUMIF(Table1[h_id],pajak[[#This Row],[//]],Table1[h_hargasetelahdiskon]))</f>
        <v>2130300</v>
      </c>
      <c r="L21" s="87">
        <f ca="1">IF(pajak[//]="","",pajak[[#This Row],[Sub Total]]/1.11*11%)</f>
        <v>211110.8108108108</v>
      </c>
      <c r="M21" s="87">
        <f ca="1">pajak[[#This Row],[Sub Total]]</f>
        <v>2130300</v>
      </c>
      <c r="N21" s="85" t="str">
        <f ca="1">IF(pajak[[#This Row],[//]]="","",INDEX(Table1[pembuat nota :],pajak[//]-offset))</f>
        <v>RISMA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23090017</v>
      </c>
      <c r="T21" s="183" t="e">
        <f ca="1">IF(Table4[[#This Row],[AM]]&amp;" "&amp;Table4[[#This Row],[---]]=INDIRECT("pajak[@["&amp;Table4[#Headers]&amp;"]]"),MATCH(Table4[[#This Row],[---]],INDIRECT($3:$3),0))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1:24" x14ac:dyDescent="0.25">
      <c r="A22" s="291">
        <v>68</v>
      </c>
      <c r="B22" s="291"/>
      <c r="D22" s="85">
        <f t="shared" ca="1" si="0"/>
        <v>68</v>
      </c>
      <c r="E22" t="str">
        <f ca="1">IF(pajak[[#This Row],[//]]="","",INDEX(Table1[No. Invoice :],pajak[//]-offset))</f>
        <v>AM 23090018</v>
      </c>
      <c r="F22" s="88">
        <f ca="1">IF(pajak[[#This Row],[//]]="","",INDEX(Table1[Tgl Invoice :],pajak[//]-offset))</f>
        <v>45192</v>
      </c>
      <c r="G22" s="85" t="str">
        <f ca="1">IF(pajak[[#This Row],[//]]="","",INDEX(Table1[Kode Sales :],pajak[//]-offset))</f>
        <v>KO 3820</v>
      </c>
      <c r="H22" s="85" t="str">
        <f ca="1">IF(pajak[[#This Row],[//]]="","",INDEX(Table1[Toko],pajak[//]-offset))</f>
        <v>HARNOYO (BENDAN) PEKALONGAN</v>
      </c>
      <c r="I22" s="87">
        <f ca="1">IF(pajak[[#This Row],[//]]="","",SUMIF(Table1[h_id],pajak[[#This Row],[//]],Table1[h_hargasebelumdiskon]))</f>
        <v>340000</v>
      </c>
      <c r="J22" s="87">
        <f ca="1">IF(pajak[[#This Row],[//]]="","",SUMIF(Table1[h_id],pajak[[#This Row],[//]],Table1[h_diskon]))</f>
        <v>0</v>
      </c>
      <c r="K22" s="87">
        <f ca="1">IF(pajak[[#This Row],[//]]="","",SUMIF(Table1[h_id],pajak[[#This Row],[//]],Table1[h_hargasetelahdiskon]))</f>
        <v>340000</v>
      </c>
      <c r="L22" s="87">
        <f ca="1">IF(pajak[//]="","",pajak[[#This Row],[Sub Total]]/1.11*11%)</f>
        <v>33693.693693693691</v>
      </c>
      <c r="M22" s="87">
        <f ca="1">pajak[[#This Row],[Sub Total]]</f>
        <v>340000</v>
      </c>
      <c r="N22" s="85" t="str">
        <f ca="1">IF(pajak[[#This Row],[//]]="","",INDEX(Table1[pembuat nota :],pajak[//]-offset))</f>
        <v>RISMA / CONDRO</v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23090018</v>
      </c>
      <c r="T22" s="183" t="e">
        <f ca="1">IF(Table4[[#This Row],[AM]]&amp;" "&amp;Table4[[#This Row],[---]]=INDIRECT("pajak[@["&amp;Table4[#Headers]&amp;"]]"),MATCH(Table4[[#This Row],[---]],INDIRECT($3:$3),0))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1:24" x14ac:dyDescent="0.25">
      <c r="A23" s="291">
        <v>70</v>
      </c>
      <c r="D23" s="85">
        <f t="shared" ca="1" si="0"/>
        <v>70</v>
      </c>
      <c r="E23" t="str">
        <f ca="1">IF(pajak[[#This Row],[//]]="","",INDEX(Table1[No. Invoice :],pajak[//]-offset))</f>
        <v>AM 23090019</v>
      </c>
      <c r="F23" s="88">
        <f ca="1">IF(pajak[[#This Row],[//]]="","",INDEX(Table1[Tgl Invoice :],pajak[//]-offset))</f>
        <v>45192</v>
      </c>
      <c r="G23" s="85" t="str">
        <f ca="1">IF(pajak[[#This Row],[//]]="","",INDEX(Table1[Kode Sales :],pajak[//]-offset))</f>
        <v>G 3734</v>
      </c>
      <c r="H23" s="85" t="str">
        <f ca="1">IF(pajak[[#This Row],[//]]="","",INDEX(Table1[Toko],pajak[//]-offset))</f>
        <v>LILY JULIAWATI (REJO AGUNG) JOMBANG</v>
      </c>
      <c r="I23" s="87">
        <f ca="1">IF(pajak[[#This Row],[//]]="","",SUMIF(Table1[h_id],pajak[[#This Row],[//]],Table1[h_hargasebelumdiskon]))</f>
        <v>40540000</v>
      </c>
      <c r="J23" s="87">
        <f ca="1">IF(pajak[[#This Row],[//]]="","",SUMIF(Table1[h_id],pajak[[#This Row],[//]],Table1[h_diskon]))</f>
        <v>5067500</v>
      </c>
      <c r="K23" s="87">
        <f ca="1">IF(pajak[[#This Row],[//]]="","",SUMIF(Table1[h_id],pajak[[#This Row],[//]],Table1[h_hargasetelahdiskon]))</f>
        <v>35472500</v>
      </c>
      <c r="L23" s="87">
        <f ca="1">IF(pajak[//]="","",pajak[[#This Row],[Sub Total]]/1.11*11%)</f>
        <v>3515292.7927927924</v>
      </c>
      <c r="M23" s="87">
        <f ca="1">pajak[[#This Row],[Sub Total]]</f>
        <v>35472500</v>
      </c>
      <c r="N23" s="85" t="str">
        <f ca="1">IF(pajak[[#This Row],[//]]="","",INDEX(Table1[pembuat nota :],pajak[//]-offset))</f>
        <v>RISMA / CONDRO</v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23090019</v>
      </c>
      <c r="T23" s="183" t="e">
        <f ca="1">IF(Table4[[#This Row],[AM]]&amp;" "&amp;Table4[[#This Row],[---]]=INDIRECT("pajak[@["&amp;Table4[#Headers]&amp;"]]"),MATCH(Table4[[#This Row],[---]],INDIRECT($3:$3),0))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1:24" x14ac:dyDescent="0.25">
      <c r="A24" s="291">
        <v>79</v>
      </c>
      <c r="D24" s="85">
        <f t="shared" ca="1" si="0"/>
        <v>79</v>
      </c>
      <c r="E24" s="85" t="str">
        <f ca="1">IF(pajak[[#This Row],[//]]="","",INDEX(Table1[No. Invoice :],pajak[//]-offset))</f>
        <v>AM 23090020</v>
      </c>
      <c r="F24" s="88">
        <f ca="1">IF(pajak[[#This Row],[//]]="","",INDEX(Table1[Tgl Invoice :],pajak[//]-offset))</f>
        <v>45192</v>
      </c>
      <c r="G24" s="85" t="str">
        <f ca="1">IF(pajak[[#This Row],[//]]="","",INDEX(Table1[Kode Sales :],pajak[//]-offset))</f>
        <v>KO 3742</v>
      </c>
      <c r="H24" s="85" t="str">
        <f ca="1">IF(pajak[[#This Row],[//]]="","",INDEX(Table1[Toko],pajak[//]-offset))</f>
        <v>CV PELITA JAYA (ANUGERAH SEJAHTERA) PURWOKERTO</v>
      </c>
      <c r="I24" s="87">
        <f ca="1">IF(pajak[[#This Row],[//]]="","",SUMIF(Table1[h_id],pajak[[#This Row],[//]],Table1[h_hargasebelumdiskon]))</f>
        <v>7368000</v>
      </c>
      <c r="J24" s="87">
        <f ca="1">IF(pajak[[#This Row],[//]]="","",SUMIF(Table1[h_id],pajak[[#This Row],[//]],Table1[h_diskon]))</f>
        <v>994680</v>
      </c>
      <c r="K24" s="87">
        <f ca="1">IF(pajak[[#This Row],[//]]="","",SUMIF(Table1[h_id],pajak[[#This Row],[//]],Table1[h_hargasetelahdiskon]))</f>
        <v>6373320</v>
      </c>
      <c r="L24" s="87">
        <f ca="1">IF(pajak[//]="","",pajak[[#This Row],[Sub Total]]/1.11*11%)</f>
        <v>631590.27027027018</v>
      </c>
      <c r="M24" s="87">
        <f ca="1">pajak[[#This Row],[Sub Total]]</f>
        <v>6373320</v>
      </c>
      <c r="N24" s="85" t="str">
        <f ca="1">IF(pajak[[#This Row],[//]]="","",INDEX(Table1[pembuat nota :],pajak[//]-offset))</f>
        <v>RISMA / CONDRO</v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23090020</v>
      </c>
      <c r="T24" s="183" t="e">
        <f ca="1">IF(Table4[[#This Row],[AM]]&amp;" "&amp;Table4[[#This Row],[---]]=INDIRECT("pajak[@["&amp;Table4[#Headers]&amp;"]]"),MATCH(Table4[[#This Row],[---]],INDIRECT($3:$3),0))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1:24" x14ac:dyDescent="0.25">
      <c r="A25" s="291">
        <v>82</v>
      </c>
      <c r="D25" s="85">
        <f t="shared" ca="1" si="0"/>
        <v>82</v>
      </c>
      <c r="E25" s="85" t="str">
        <f ca="1">IF(pajak[[#This Row],[//]]="","",INDEX(Table1[No. Invoice :],pajak[//]-offset))</f>
        <v>AM 23090021</v>
      </c>
      <c r="F25" s="88">
        <f ca="1">IF(pajak[[#This Row],[//]]="","",INDEX(Table1[Tgl Invoice :],pajak[//]-offset))</f>
        <v>45195</v>
      </c>
      <c r="G25" s="85" t="str">
        <f ca="1">IF(pajak[[#This Row],[//]]="","",INDEX(Table1[Kode Sales :],pajak[//]-offset))</f>
        <v>G 3787</v>
      </c>
      <c r="H25" s="85" t="str">
        <f ca="1">IF(pajak[[#This Row],[//]]="","",INDEX(Table1[Toko],pajak[//]-offset))</f>
        <v>LILY JULIAWATI (REJO AGUNG) JOMBANG</v>
      </c>
      <c r="I25" s="87">
        <f ca="1">IF(pajak[[#This Row],[//]]="","",SUMIF(Table1[h_id],pajak[[#This Row],[//]],Table1[h_hargasebelumdiskon]))</f>
        <v>4579200</v>
      </c>
      <c r="J25" s="87">
        <f ca="1">IF(pajak[[#This Row],[//]]="","",SUMIF(Table1[h_id],pajak[[#This Row],[//]],Table1[h_diskon]))</f>
        <v>572400</v>
      </c>
      <c r="K25" s="87">
        <f ca="1">IF(pajak[[#This Row],[//]]="","",SUMIF(Table1[h_id],pajak[[#This Row],[//]],Table1[h_hargasetelahdiskon]))</f>
        <v>4006800</v>
      </c>
      <c r="L25" s="87">
        <f ca="1">IF(pajak[//]="","",pajak[[#This Row],[Sub Total]]/1.11*11%)</f>
        <v>397070.27027027024</v>
      </c>
      <c r="M25" s="87">
        <f ca="1">pajak[[#This Row],[Sub Total]]</f>
        <v>4006800</v>
      </c>
      <c r="N25" s="85" t="str">
        <f ca="1">IF(pajak[[#This Row],[//]]="","",INDEX(Table1[pembuat nota :],pajak[//]-offset))</f>
        <v>RISMA / CONDRO</v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23090021</v>
      </c>
      <c r="T25" s="183" t="e">
        <f ca="1">IF(Table4[[#This Row],[AM]]&amp;" "&amp;Table4[[#This Row],[---]]=INDIRECT("pajak[@["&amp;Table4[#Headers]&amp;"]]"),MATCH(Table4[[#This Row],[---]],INDIRECT($3:$3),0))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1:24" x14ac:dyDescent="0.25">
      <c r="A26" s="291">
        <v>84</v>
      </c>
      <c r="D26" s="85">
        <f t="shared" ca="1" si="0"/>
        <v>84</v>
      </c>
      <c r="E26" s="85" t="str">
        <f ca="1">IF(pajak[[#This Row],[//]]="","",INDEX(Table1[No. Invoice :],pajak[//]-offset))</f>
        <v>AM 23090022</v>
      </c>
      <c r="F26" s="88">
        <f ca="1">IF(pajak[[#This Row],[//]]="","",INDEX(Table1[Tgl Invoice :],pajak[//]-offset))</f>
        <v>45195</v>
      </c>
      <c r="G26" s="85" t="str">
        <f ca="1">IF(pajak[[#This Row],[//]]="","",INDEX(Table1[Kode Sales :],pajak[//]-offset))</f>
        <v>KO 3828</v>
      </c>
      <c r="H26" s="85" t="str">
        <f ca="1">IF(pajak[[#This Row],[//]]="","",INDEX(Table1[Toko],pajak[//]-offset))</f>
        <v>CV SINAR CAHAYA NIRMALA BREBES</v>
      </c>
      <c r="I26" s="87">
        <f ca="1">IF(pajak[[#This Row],[//]]="","",SUMIF(Table1[h_id],pajak[[#This Row],[//]],Table1[h_hargasebelumdiskon]))</f>
        <v>1906150</v>
      </c>
      <c r="J26" s="87">
        <f ca="1">IF(pajak[[#This Row],[//]]="","",SUMIF(Table1[h_id],pajak[[#This Row],[//]],Table1[h_diskon]))</f>
        <v>181115</v>
      </c>
      <c r="K26" s="87">
        <f ca="1">IF(pajak[[#This Row],[//]]="","",SUMIF(Table1[h_id],pajak[[#This Row],[//]],Table1[h_hargasetelahdiskon]))</f>
        <v>1725035</v>
      </c>
      <c r="L26" s="87">
        <f ca="1">IF(pajak[//]="","",pajak[[#This Row],[Sub Total]]/1.11*11%)</f>
        <v>170949.41441441441</v>
      </c>
      <c r="M26" s="87">
        <f ca="1">pajak[[#This Row],[Sub Total]]</f>
        <v>1725035</v>
      </c>
      <c r="N26" s="85" t="str">
        <f ca="1">IF(pajak[[#This Row],[//]]="","",INDEX(Table1[pembuat nota :],pajak[//]-offset))</f>
        <v>RISMA / CONDRO</v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23090022</v>
      </c>
      <c r="T26" s="184" t="e">
        <f ca="1">IF(Table4[[#This Row],[AM]]&amp;" "&amp;Table4[[#This Row],[---]]=INDIRECT("pajak[@["&amp;Table4[#Headers]&amp;"]]"),MATCH(Table4[[#This Row],[---]],INDIRECT($3:$3),0))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1:24" x14ac:dyDescent="0.25">
      <c r="A27" s="291">
        <v>98</v>
      </c>
      <c r="D27" s="85">
        <f t="shared" ca="1" si="0"/>
        <v>98</v>
      </c>
      <c r="E27" s="85" t="str">
        <f ca="1">IF(pajak[[#This Row],[//]]="","",INDEX(Table1[No. Invoice :],pajak[//]-offset))</f>
        <v>AM 23090023</v>
      </c>
      <c r="F27" s="88">
        <f ca="1">IF(pajak[[#This Row],[//]]="","",INDEX(Table1[Tgl Invoice :],pajak[//]-offset))</f>
        <v>45196</v>
      </c>
      <c r="G27" s="85" t="str">
        <f ca="1">IF(pajak[[#This Row],[//]]="","",INDEX(Table1[Kode Sales :],pajak[//]-offset))</f>
        <v>KO 3791</v>
      </c>
      <c r="H27" s="85" t="str">
        <f ca="1">IF(pajak[[#This Row],[//]]="","",INDEX(Table1[Toko],pajak[//]-offset))</f>
        <v>HARNOYO (BENDAN) PEKALONGAN</v>
      </c>
      <c r="I27" s="87">
        <f ca="1">IF(pajak[[#This Row],[//]]="","",SUMIF(Table1[h_id],pajak[[#This Row],[//]],Table1[h_hargasebelumdiskon]))</f>
        <v>1250500</v>
      </c>
      <c r="J27" s="87">
        <f ca="1">IF(pajak[[#This Row],[//]]="","",SUMIF(Table1[h_id],pajak[[#This Row],[//]],Table1[h_diskon]))</f>
        <v>175070.00000000003</v>
      </c>
      <c r="K27" s="87">
        <f ca="1">IF(pajak[[#This Row],[//]]="","",SUMIF(Table1[h_id],pajak[[#This Row],[//]],Table1[h_hargasetelahdiskon]))</f>
        <v>1075430</v>
      </c>
      <c r="L27" s="87">
        <f ca="1">IF(pajak[//]="","",pajak[[#This Row],[Sub Total]]/1.11*11%)</f>
        <v>106574.14414414413</v>
      </c>
      <c r="M27" s="87">
        <f ca="1">pajak[[#This Row],[Sub Total]]</f>
        <v>1075430</v>
      </c>
      <c r="N27" s="85" t="str">
        <f ca="1">IF(pajak[[#This Row],[//]]="","",INDEX(Table1[pembuat nota :],pajak[//]-offset))</f>
        <v>NOVI / CONDRO</v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23090023</v>
      </c>
      <c r="T27" s="184" t="e">
        <f ca="1">IF(Table4[[#This Row],[AM]]&amp;" "&amp;Table4[[#This Row],[---]]=INDIRECT("pajak[@["&amp;Table4[#Headers]&amp;"]]"),MATCH(Table4[[#This Row],[---]],INDIRECT($3:$3),0))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1:24" x14ac:dyDescent="0.25">
      <c r="A28" s="291">
        <v>103</v>
      </c>
      <c r="D28" s="85">
        <f t="shared" ca="1" si="0"/>
        <v>103</v>
      </c>
      <c r="E28" s="85" t="str">
        <f ca="1">IF(pajak[[#This Row],[//]]="","",INDEX(Table1[No. Invoice :],pajak[//]-offset))</f>
        <v>AM 23090024</v>
      </c>
      <c r="F28" s="88">
        <f ca="1">IF(pajak[[#This Row],[//]]="","",INDEX(Table1[Tgl Invoice :],pajak[//]-offset))</f>
        <v>45196</v>
      </c>
      <c r="G28" s="85" t="str">
        <f ca="1">IF(pajak[[#This Row],[//]]="","",INDEX(Table1[Kode Sales :],pajak[//]-offset))</f>
        <v>KO 3780</v>
      </c>
      <c r="H28" s="85" t="str">
        <f ca="1">IF(pajak[[#This Row],[//]]="","",INDEX(Table1[Toko],pajak[//]-offset))</f>
        <v>CV DWI JAYA YOGYAKARTA</v>
      </c>
      <c r="I28" s="87">
        <f ca="1">IF(pajak[[#This Row],[//]]="","",SUMIF(Table1[h_id],pajak[[#This Row],[//]],Table1[h_hargasebelumdiskon]))</f>
        <v>2556000</v>
      </c>
      <c r="J28" s="87">
        <f ca="1">IF(pajak[[#This Row],[//]]="","",SUMIF(Table1[h_id],pajak[[#This Row],[//]],Table1[h_diskon]))</f>
        <v>255600</v>
      </c>
      <c r="K28" s="87">
        <f ca="1">IF(pajak[[#This Row],[//]]="","",SUMIF(Table1[h_id],pajak[[#This Row],[//]],Table1[h_hargasetelahdiskon]))</f>
        <v>2300400</v>
      </c>
      <c r="L28" s="87">
        <f ca="1">IF(pajak[//]="","",pajak[[#This Row],[Sub Total]]/1.11*11%)</f>
        <v>227967.56756756754</v>
      </c>
      <c r="M28" s="87">
        <f ca="1">pajak[[#This Row],[Sub Total]]</f>
        <v>2300400</v>
      </c>
      <c r="N28" s="85" t="str">
        <f ca="1">IF(pajak[[#This Row],[//]]="","",INDEX(Table1[pembuat nota :],pajak[//]-offset))</f>
        <v>NOVI / CONDRO</v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23090024</v>
      </c>
      <c r="T28" s="184" t="e">
        <f ca="1">IF(Table4[[#This Row],[AM]]&amp;" "&amp;Table4[[#This Row],[---]]=INDIRECT("pajak[@["&amp;Table4[#Headers]&amp;"]]"),MATCH(Table4[[#This Row],[---]],INDIRECT($3:$3),0))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1:24" x14ac:dyDescent="0.25">
      <c r="A29" s="291">
        <v>109</v>
      </c>
      <c r="D29" s="85">
        <f t="shared" ca="1" si="0"/>
        <v>109</v>
      </c>
      <c r="E29" s="85" t="str">
        <f ca="1">IF(pajak[[#This Row],[//]]="","",INDEX(Table1[No. Invoice :],pajak[//]-offset))</f>
        <v>AM 23090025</v>
      </c>
      <c r="F29" s="88">
        <f ca="1">IF(pajak[[#This Row],[//]]="","",INDEX(Table1[Tgl Invoice :],pajak[//]-offset))</f>
        <v>45199</v>
      </c>
      <c r="G29" s="85" t="str">
        <f ca="1">IF(pajak[[#This Row],[//]]="","",INDEX(Table1[Kode Sales :],pajak[//]-offset))</f>
        <v>G 3962</v>
      </c>
      <c r="H29" s="85" t="str">
        <f ca="1">IF(pajak[[#This Row],[//]]="","",INDEX(Table1[Toko],pajak[//]-offset))</f>
        <v>LILY JULIAWATI (REJO AGUNG) JOMBANG</v>
      </c>
      <c r="I29" s="87">
        <f ca="1">IF(pajak[[#This Row],[//]]="","",SUMIF(Table1[h_id],pajak[[#This Row],[//]],Table1[h_hargasebelumdiskon]))</f>
        <v>9964800</v>
      </c>
      <c r="J29" s="87">
        <f ca="1">IF(pajak[[#This Row],[//]]="","",SUMIF(Table1[h_id],pajak[[#This Row],[//]],Table1[h_diskon]))</f>
        <v>1245600</v>
      </c>
      <c r="K29" s="87">
        <f ca="1">IF(pajak[[#This Row],[//]]="","",SUMIF(Table1[h_id],pajak[[#This Row],[//]],Table1[h_hargasetelahdiskon]))</f>
        <v>8719200</v>
      </c>
      <c r="L29" s="87">
        <f ca="1">IF(pajak[//]="","",pajak[[#This Row],[Sub Total]]/1.11*11%)</f>
        <v>864064.86486486485</v>
      </c>
      <c r="M29" s="87">
        <f ca="1">pajak[[#This Row],[Sub Total]]</f>
        <v>8719200</v>
      </c>
      <c r="N29" s="85" t="str">
        <f ca="1">IF(pajak[[#This Row],[//]]="","",INDEX(Table1[pembuat nota :],pajak[//]-offset))</f>
        <v>NOVI / CONDRO</v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23090025</v>
      </c>
      <c r="T29" s="184" t="e">
        <f ca="1">IF(Table4[[#This Row],[AM]]&amp;" "&amp;Table4[[#This Row],[---]]=INDIRECT("pajak[@["&amp;Table4[#Headers]&amp;"]]"),MATCH(Table4[[#This Row],[---]],INDIRECT($3:$3),0))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1:24" x14ac:dyDescent="0.25">
      <c r="A30" s="291"/>
      <c r="D30" s="85" t="str">
        <f t="shared" ca="1" si="0"/>
        <v/>
      </c>
      <c r="E30" s="85" t="str">
        <f ca="1">IF(pajak[[#This Row],[//]]="","",INDEX(Table1[No. Invoice :],pajak[//]-offset))</f>
        <v/>
      </c>
      <c r="F30" s="88" t="str">
        <f ca="1">IF(pajak[[#This Row],[//]]="","",INDEX(Table1[Tgl Invoice :],pajak[//]-offset))</f>
        <v/>
      </c>
      <c r="G30" s="85" t="str">
        <f ca="1">IF(pajak[[#This Row],[//]]="","",INDEX(Table1[Kode Sales :],pajak[//]-offset))</f>
        <v/>
      </c>
      <c r="H30" s="85" t="str">
        <f ca="1">IF(pajak[[#This Row],[//]]="","",INDEX(Table1[Toko],pajak[//]-offset))</f>
        <v/>
      </c>
      <c r="I30" s="87" t="str">
        <f ca="1">IF(pajak[[#This Row],[//]]="","",SUMIF(Table1[h_id],pajak[[#This Row],[//]],Table1[h_hargasebelumdiskon]))</f>
        <v/>
      </c>
      <c r="J30" s="87" t="str">
        <f ca="1">IF(pajak[[#This Row],[//]]="","",SUMIF(Table1[h_id],pajak[[#This Row],[//]],Table1[h_diskon]))</f>
        <v/>
      </c>
      <c r="K30" s="87" t="str">
        <f ca="1">IF(pajak[[#This Row],[//]]="","",SUMIF(Table1[h_id],pajak[[#This Row],[//]],Table1[h_hargasetelahdiskon]))</f>
        <v/>
      </c>
      <c r="L30" s="87" t="str">
        <f ca="1">IF(pajak[//]="","",pajak[[#This Row],[Sub Total]]/1.11*11%)</f>
        <v/>
      </c>
      <c r="M30" s="87" t="str">
        <f ca="1">pajak[[#This Row],[Sub Total]]</f>
        <v/>
      </c>
      <c r="N30" s="85" t="str">
        <f ca="1">IF(pajak[[#This Row],[//]]="","",INDEX(Table1[pembuat nota :],pajak[//]-offset))</f>
        <v/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23090026</v>
      </c>
      <c r="T30" s="184" t="b">
        <f ca="1">IF(Table4[[#This Row],[AM]]&amp;" "&amp;Table4[[#This Row],[---]]=INDIRECT("pajak[@["&amp;Table4[#Headers]&amp;"]]"),MATCH(Table4[[#This Row],[---]],INDIRECT($3:$3),0))</f>
        <v>0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1:24" x14ac:dyDescent="0.25">
      <c r="A31" s="291" t="s">
        <v>52</v>
      </c>
      <c r="D31" s="85" t="str">
        <f t="shared" ca="1" si="0"/>
        <v/>
      </c>
      <c r="E31" s="85" t="str">
        <f ca="1">IF(pajak[[#This Row],[//]]="","",INDEX(Table1[No. Invoice :],pajak[//]-offset))</f>
        <v/>
      </c>
      <c r="F31" s="88" t="str">
        <f ca="1">IF(pajak[[#This Row],[//]]="","",INDEX(Table1[Tgl Invoice :],pajak[//]-offset))</f>
        <v/>
      </c>
      <c r="G31" s="85" t="str">
        <f ca="1">IF(pajak[[#This Row],[//]]="","",INDEX(Table1[Kode Sales :],pajak[//]-offset))</f>
        <v/>
      </c>
      <c r="H31" s="85" t="str">
        <f ca="1">IF(pajak[[#This Row],[//]]="","",INDEX(Table1[Toko],pajak[//]-offset))</f>
        <v/>
      </c>
      <c r="I31" s="87" t="str">
        <f ca="1">IF(pajak[[#This Row],[//]]="","",SUMIF(Table1[h_id],pajak[[#This Row],[//]],Table1[h_hargasebelumdiskon]))</f>
        <v/>
      </c>
      <c r="J31" s="87" t="str">
        <f ca="1">IF(pajak[[#This Row],[//]]="","",SUMIF(Table1[h_id],pajak[[#This Row],[//]],Table1[h_diskon]))</f>
        <v/>
      </c>
      <c r="K31" s="87" t="str">
        <f ca="1">IF(pajak[[#This Row],[//]]="","",SUMIF(Table1[h_id],pajak[[#This Row],[//]],Table1[h_hargasetelahdiskon]))</f>
        <v/>
      </c>
      <c r="L31" s="87" t="str">
        <f ca="1">IF(pajak[//]="","",pajak[[#This Row],[Sub Total]]/1.11*11%)</f>
        <v/>
      </c>
      <c r="M31" s="87" t="str">
        <f ca="1">pajak[[#This Row],[Sub Total]]</f>
        <v/>
      </c>
      <c r="N31" s="85" t="str">
        <f ca="1">IF(pajak[[#This Row],[//]]="","",INDEX(Table1[pembuat nota :],pajak[//]-offset))</f>
        <v/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23090027</v>
      </c>
      <c r="T31" s="184" t="b">
        <f ca="1">IF(Table4[[#This Row],[AM]]&amp;" "&amp;Table4[[#This Row],[---]]=INDIRECT("pajak[@["&amp;Table4[#Headers]&amp;"]]"),MATCH(Table4[[#This Row],[---]],INDIRECT($3:$3),0))</f>
        <v>0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1:24" x14ac:dyDescent="0.25">
      <c r="D32" s="85" t="str">
        <f t="shared" ca="1" si="0"/>
        <v/>
      </c>
      <c r="E32" s="85" t="str">
        <f ca="1">IF(pajak[[#This Row],[//]]="","",INDEX(Table1[No. Invoice :],pajak[//]-offset))</f>
        <v/>
      </c>
      <c r="F32" s="88" t="str">
        <f ca="1">IF(pajak[[#This Row],[//]]="","",INDEX(Table1[Tgl Invoice :],pajak[//]-offset))</f>
        <v/>
      </c>
      <c r="G32" s="85" t="str">
        <f ca="1">IF(pajak[[#This Row],[//]]="","",INDEX(Table1[Kode Sales :],pajak[//]-offset))</f>
        <v/>
      </c>
      <c r="H32" s="85" t="str">
        <f ca="1">IF(pajak[[#This Row],[//]]="","",INDEX(Table1[Toko],pajak[//]-offset))</f>
        <v/>
      </c>
      <c r="I32" s="87" t="str">
        <f ca="1">IF(pajak[[#This Row],[//]]="","",SUMIF(Table1[h_id],pajak[[#This Row],[//]],Table1[h_hargasebelumdiskon]))</f>
        <v/>
      </c>
      <c r="J32" s="87" t="str">
        <f ca="1">IF(pajak[[#This Row],[//]]="","",SUMIF(Table1[h_id],pajak[[#This Row],[//]],Table1[h_diskon]))</f>
        <v/>
      </c>
      <c r="K32" s="87" t="str">
        <f ca="1">IF(pajak[[#This Row],[//]]="","",SUMIF(Table1[h_id],pajak[[#This Row],[//]],Table1[h_hargasetelahdiskon]))</f>
        <v/>
      </c>
      <c r="L32" s="87" t="str">
        <f ca="1">IF(pajak[//]="","",pajak[[#This Row],[Sub Total]]/1.11*11%)</f>
        <v/>
      </c>
      <c r="M32" s="87" t="str">
        <f ca="1">pajak[[#This Row],[Sub Total]]</f>
        <v/>
      </c>
      <c r="N32" s="85" t="str">
        <f ca="1">IF(pajak[[#This Row],[//]]="","",INDEX(Table1[pembuat nota :],pajak[//]-offset))</f>
        <v/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23090028</v>
      </c>
      <c r="T32" s="184" t="b">
        <f ca="1">IF(Table4[[#This Row],[AM]]&amp;" "&amp;Table4[[#This Row],[---]]=INDIRECT("pajak[@["&amp;Table4[#Headers]&amp;"]]"),MATCH(Table4[[#This Row],[---]],INDIRECT($3:$3),0))</f>
        <v>0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4:24" x14ac:dyDescent="0.25">
      <c r="D33" s="85" t="str">
        <f t="shared" ca="1" si="0"/>
        <v/>
      </c>
      <c r="E33" s="85" t="str">
        <f ca="1">IF(pajak[[#This Row],[//]]="","",INDEX(Table1[No. Invoice :],pajak[//]-offset))</f>
        <v/>
      </c>
      <c r="F33" s="88" t="str">
        <f ca="1">IF(pajak[[#This Row],[//]]="","",INDEX(Table1[Tgl Invoice :],pajak[//]-offset))</f>
        <v/>
      </c>
      <c r="G33" s="85" t="str">
        <f ca="1">IF(pajak[[#This Row],[//]]="","",INDEX(Table1[Kode Sales :],pajak[//]-offset))</f>
        <v/>
      </c>
      <c r="H33" s="85" t="str">
        <f ca="1">IF(pajak[[#This Row],[//]]="","",INDEX(Table1[Toko],pajak[//]-offset))</f>
        <v/>
      </c>
      <c r="I33" s="87" t="str">
        <f ca="1">IF(pajak[[#This Row],[//]]="","",SUMIF(Table1[h_id],pajak[[#This Row],[//]],Table1[h_hargasebelumdiskon]))</f>
        <v/>
      </c>
      <c r="J33" s="87" t="str">
        <f ca="1">IF(pajak[[#This Row],[//]]="","",SUMIF(Table1[h_id],pajak[[#This Row],[//]],Table1[h_diskon]))</f>
        <v/>
      </c>
      <c r="K33" s="87" t="str">
        <f ca="1">IF(pajak[[#This Row],[//]]="","",SUMIF(Table1[h_id],pajak[[#This Row],[//]],Table1[h_hargasetelahdiskon]))</f>
        <v/>
      </c>
      <c r="L33" s="87" t="str">
        <f ca="1">IF(pajak[//]="","",pajak[[#This Row],[Sub Total]]/1.11*11%)</f>
        <v/>
      </c>
      <c r="M33" s="87" t="str">
        <f ca="1">pajak[[#This Row],[Sub Total]]</f>
        <v/>
      </c>
      <c r="N33" s="85" t="str">
        <f ca="1">IF(pajak[[#This Row],[//]]="","",INDEX(Table1[pembuat nota :],pajak[//]-offset))</f>
        <v/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23090029</v>
      </c>
      <c r="T33" s="184" t="b">
        <f ca="1">IF(Table4[[#This Row],[AM]]&amp;" "&amp;Table4[[#This Row],[---]]=INDIRECT("pajak[@["&amp;Table4[#Headers]&amp;"]]"),MATCH(Table4[[#This Row],[---]],INDIRECT($3:$3),0))</f>
        <v>0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4:24" x14ac:dyDescent="0.25"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23090030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4:24" x14ac:dyDescent="0.25"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23090031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4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23090032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4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23090033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4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23090034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4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23090035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4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23090036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4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23090037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4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23090038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4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23090039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4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23090040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4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23090041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4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23090042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4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23090043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4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23090044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23090045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23090046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23090047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23090048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23090049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23090050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23090051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23090052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23090053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48</v>
      </c>
      <c r="F58"/>
      <c r="I58" s="87">
        <f ca="1">SUBTOTAL(109,pajak[Total])</f>
        <v>205251050</v>
      </c>
      <c r="J58" s="87">
        <f ca="1">SUBTOTAL(109,pajak[Diskon])</f>
        <v>25925123</v>
      </c>
      <c r="K58" s="87">
        <f ca="1">SUBTOTAL(109,pajak[Sub Total])</f>
        <v>179325927</v>
      </c>
      <c r="L58" s="87">
        <f ca="1">SUBTOTAL(109,pajak[PPN 11%])</f>
        <v>17771037.810810804</v>
      </c>
      <c r="M58" s="87">
        <f ca="1">SUBTOTAL(109,pajak[Total Invoice])</f>
        <v>179325927</v>
      </c>
      <c r="N58"/>
      <c r="O58"/>
      <c r="P58"/>
    </row>
  </sheetData>
  <conditionalFormatting sqref="G59:G1048576 G3:G57">
    <cfRule type="duplicateValues" dxfId="31" priority="9"/>
  </conditionalFormatting>
  <conditionalFormatting sqref="T1:X2 T4:X1048576">
    <cfRule type="containsText" dxfId="30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109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3</v>
      </c>
      <c r="I1" s="312" t="s">
        <v>71</v>
      </c>
      <c r="J1" s="312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23090025</v>
      </c>
      <c r="G3" s="10" t="s">
        <v>16</v>
      </c>
      <c r="H3" s="319" t="str">
        <f ca="1">INDEX(Table2[b],MATCH(kToko,Table2[a],0))</f>
        <v>LILY JULIAWATI</v>
      </c>
      <c r="I3" s="319"/>
      <c r="J3" s="319"/>
      <c r="K3" s="320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23" t="s">
        <v>18</v>
      </c>
      <c r="G4" s="16"/>
      <c r="H4" s="321"/>
      <c r="I4" s="321"/>
      <c r="J4" s="321"/>
      <c r="K4" s="322"/>
      <c r="L4" s="11"/>
    </row>
    <row r="5" spans="1:12" s="9" customFormat="1" ht="16.5" customHeight="1" x14ac:dyDescent="0.3">
      <c r="A5" s="6"/>
      <c r="B5" s="1" t="s">
        <v>2</v>
      </c>
      <c r="C5" s="7"/>
      <c r="D5" s="324">
        <f ca="1">INDEX(Table1[Tgl Invoice :],newestIdRow-offset)</f>
        <v>45199</v>
      </c>
      <c r="E5" s="325"/>
      <c r="F5" s="323"/>
      <c r="G5" s="17"/>
      <c r="H5" s="326" t="str">
        <f ca="1">IF(INDEX(Table2[c],MATCH(kToko,Table2[a],0))="","",INDEX(Table2[c],MATCH(kToko,Table2[a],0)))</f>
        <v>(REJO AGUNG)</v>
      </c>
      <c r="I5" s="326"/>
      <c r="J5" s="326"/>
      <c r="K5" s="327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23"/>
      <c r="G6" s="17"/>
      <c r="H6" s="328" t="str">
        <f ca="1">INDEX(Table2[d],MATCH(kToko,Table2[a],0))</f>
        <v>JOMBANG</v>
      </c>
      <c r="I6" s="328"/>
      <c r="J6" s="328"/>
      <c r="K6" s="329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3962</v>
      </c>
      <c r="E7" s="8"/>
      <c r="F7" s="20"/>
      <c r="G7" s="21"/>
      <c r="H7" s="330"/>
      <c r="I7" s="330"/>
      <c r="J7" s="330"/>
      <c r="K7" s="331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576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PENSIL WARNA JOYKO CP-S12 MINI (PENDEK)</v>
      </c>
      <c r="F11" s="48"/>
      <c r="G11" s="49"/>
      <c r="H11" s="50">
        <f ca="1">IF(A11&gt;jumlahBarang,"",INDEX(Table1[Unit Price],newestIdRow-offset+A11-1))</f>
        <v>6700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3376800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288</v>
      </c>
      <c r="C12" s="45" t="str">
        <f ca="1">IF(A12&gt;jumlahBarang,"",UPPER((INDEX(Table1[Unit],newestIdRow-offset+A12-1))))</f>
        <v>PCS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PENSIL WARNA JOYKO CP-12PB (PANJANG)</v>
      </c>
      <c r="F12" s="48"/>
      <c r="G12" s="49"/>
      <c r="H12" s="50">
        <f ca="1">IF(A12&gt;jumlahBarang,"",INDEX(Table1[Unit Price],newestIdRow-offset+A12-1))</f>
        <v>10600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2671200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144</v>
      </c>
      <c r="C13" s="45" t="str">
        <f ca="1">IF(A13&gt;jumlahBarang,"",UPPER((INDEX(Table1[Unit],newestIdRow-offset+A13-1))))</f>
        <v>PCS</v>
      </c>
      <c r="D13" s="46">
        <f ca="1">IF(A13&gt;jumlahBarang,"",IF(INDEX(Table1[C],newestIdRow-offset+A13-1)="","",INDEX(Table1[C],newestIdRow-offset+A13-1)))</f>
        <v>2</v>
      </c>
      <c r="E13" s="47" t="str">
        <f ca="1">IF(A13&gt;jumlahBarang,"",INDEX(Table1[Item Description],newestIdRow-offset+A13-1))</f>
        <v>PENSIL WARNA JOYKO CP-24PB (PANJANG)</v>
      </c>
      <c r="F13" s="48"/>
      <c r="G13" s="49"/>
      <c r="H13" s="50">
        <f ca="1">IF(A13&gt;jumlahBarang,"",INDEX(Table1[Unit Price],newestIdRow-offset+A13-1))</f>
        <v>21200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2671200</v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18"/>
      <c r="K28" s="318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15">
        <f ca="1">INDEX(pajak[Sub Total],MATCH(newestIdRow,pajak[//],0))</f>
        <v>8719200</v>
      </c>
      <c r="K29" s="316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17"/>
      <c r="K30" s="317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18"/>
      <c r="K32" s="318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15">
        <f ca="1">INDEX(pajak[PPN 11%],MATCH(newestIdRow,pajak[//],0))</f>
        <v>864064.86486486485</v>
      </c>
      <c r="K33" s="316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18"/>
      <c r="K34" s="318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8719200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13" t="str">
        <f ca="1">INDEX(pajak[pembuat nota],MATCH(newestIdRow,pajak[//],0))</f>
        <v>NOVI / CONDRO</v>
      </c>
      <c r="K37" s="314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13" t="str">
        <f ca="1">INDEX(pajak[edited],MATCH(newestIdRow,pajak[//],0))</f>
        <v/>
      </c>
      <c r="K38" s="314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23090025</v>
      </c>
      <c r="F41" s="195"/>
      <c r="G41" s="196" t="s">
        <v>16</v>
      </c>
      <c r="H41" s="332" t="str">
        <f ca="1">H3</f>
        <v>LILY JULIAWATI</v>
      </c>
      <c r="I41" s="332"/>
      <c r="J41" s="332"/>
      <c r="K41" s="333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36" t="s">
        <v>18</v>
      </c>
      <c r="G42" s="202"/>
      <c r="H42" s="334"/>
      <c r="I42" s="334"/>
      <c r="J42" s="334"/>
      <c r="K42" s="335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7">
        <f ca="1">D5</f>
        <v>45199</v>
      </c>
      <c r="E43" s="338"/>
      <c r="F43" s="336"/>
      <c r="G43" s="203"/>
      <c r="H43" s="339" t="str">
        <f ca="1">H5</f>
        <v>(REJO AGUNG)</v>
      </c>
      <c r="I43" s="339"/>
      <c r="J43" s="339"/>
      <c r="K43" s="340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36"/>
      <c r="G44" s="203"/>
      <c r="H44" s="341" t="str">
        <f ca="1">H6</f>
        <v>JOMBANG</v>
      </c>
      <c r="I44" s="341"/>
      <c r="J44" s="341"/>
      <c r="K44" s="342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G 3962</v>
      </c>
      <c r="E45" s="194"/>
      <c r="F45" s="207"/>
      <c r="G45" s="208"/>
      <c r="H45" s="343"/>
      <c r="I45" s="343"/>
      <c r="J45" s="343"/>
      <c r="K45" s="344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576</v>
      </c>
      <c r="C49" s="234" t="str">
        <f t="shared" ca="1" si="0"/>
        <v>PCS</v>
      </c>
      <c r="D49" s="235">
        <f t="shared" ca="1" si="0"/>
        <v>2</v>
      </c>
      <c r="E49" s="236" t="str">
        <f t="shared" ca="1" si="0"/>
        <v>PENSIL WARNA JOYKO CP-S12 MINI (PENDEK)</v>
      </c>
      <c r="F49" s="237"/>
      <c r="G49" s="238"/>
      <c r="H49" s="239">
        <f t="shared" ref="H49:K64" ca="1" si="1">H11</f>
        <v>6700</v>
      </c>
      <c r="I49" s="240">
        <f t="shared" ca="1" si="1"/>
        <v>0.125</v>
      </c>
      <c r="J49" s="240" t="str">
        <f t="shared" ca="1" si="1"/>
        <v/>
      </c>
      <c r="K49" s="241">
        <f t="shared" ca="1" si="1"/>
        <v>3376800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288</v>
      </c>
      <c r="C50" s="234" t="str">
        <f t="shared" ca="1" si="0"/>
        <v>PCS</v>
      </c>
      <c r="D50" s="235">
        <f t="shared" ca="1" si="0"/>
        <v>2</v>
      </c>
      <c r="E50" s="236" t="str">
        <f t="shared" ca="1" si="0"/>
        <v>PENSIL WARNA JOYKO CP-12PB (PANJANG)</v>
      </c>
      <c r="F50" s="237"/>
      <c r="G50" s="238"/>
      <c r="H50" s="239">
        <f t="shared" ca="1" si="1"/>
        <v>10600</v>
      </c>
      <c r="I50" s="240">
        <f t="shared" ca="1" si="1"/>
        <v>0.125</v>
      </c>
      <c r="J50" s="240" t="str">
        <f t="shared" ca="1" si="1"/>
        <v/>
      </c>
      <c r="K50" s="241">
        <f t="shared" ca="1" si="1"/>
        <v>2671200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144</v>
      </c>
      <c r="C51" s="234" t="str">
        <f t="shared" ca="1" si="0"/>
        <v>PCS</v>
      </c>
      <c r="D51" s="235">
        <f t="shared" ca="1" si="0"/>
        <v>2</v>
      </c>
      <c r="E51" s="236" t="str">
        <f t="shared" ca="1" si="0"/>
        <v>PENSIL WARNA JOYKO CP-24PB (PANJANG)</v>
      </c>
      <c r="F51" s="237"/>
      <c r="G51" s="238"/>
      <c r="H51" s="239">
        <f t="shared" ca="1" si="1"/>
        <v>21200</v>
      </c>
      <c r="I51" s="240">
        <f t="shared" ca="1" si="1"/>
        <v>0.125</v>
      </c>
      <c r="J51" s="240" t="str">
        <f t="shared" ca="1" si="1"/>
        <v/>
      </c>
      <c r="K51" s="241">
        <f t="shared" ca="1" si="1"/>
        <v>2671200</v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45"/>
      <c r="K66" s="345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46">
        <f ca="1">J29</f>
        <v>8719200</v>
      </c>
      <c r="K67" s="347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48"/>
      <c r="K68" s="348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45"/>
      <c r="K70" s="345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46">
        <f ca="1">J33</f>
        <v>864064.86486486485</v>
      </c>
      <c r="K71" s="347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45"/>
      <c r="K72" s="345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8719200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49" t="str">
        <f ca="1">J37</f>
        <v>NOVI / CONDRO</v>
      </c>
      <c r="K75" s="350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49" t="str">
        <f ca="1">J38</f>
        <v/>
      </c>
      <c r="K76" s="350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23090025</v>
      </c>
      <c r="F79" s="100"/>
      <c r="G79" s="101" t="s">
        <v>16</v>
      </c>
      <c r="H79" s="351" t="str">
        <f ca="1">H41</f>
        <v>LILY JULIAWATI</v>
      </c>
      <c r="I79" s="351"/>
      <c r="J79" s="351"/>
      <c r="K79" s="352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55" t="s">
        <v>18</v>
      </c>
      <c r="G80" s="107"/>
      <c r="H80" s="353"/>
      <c r="I80" s="353"/>
      <c r="J80" s="353"/>
      <c r="K80" s="354"/>
      <c r="L80" s="102"/>
    </row>
    <row r="81" spans="1:12" s="9" customFormat="1" ht="16.5" customHeight="1" x14ac:dyDescent="0.3">
      <c r="A81" s="95"/>
      <c r="B81" s="96" t="s">
        <v>2</v>
      </c>
      <c r="C81" s="97"/>
      <c r="D81" s="356">
        <f ca="1">D43</f>
        <v>45199</v>
      </c>
      <c r="E81" s="357"/>
      <c r="F81" s="355"/>
      <c r="G81" s="108"/>
      <c r="H81" s="358" t="str">
        <f ca="1">H43</f>
        <v>(REJO AGUNG)</v>
      </c>
      <c r="I81" s="358"/>
      <c r="J81" s="358"/>
      <c r="K81" s="359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55"/>
      <c r="G82" s="108"/>
      <c r="H82" s="360" t="str">
        <f ca="1">H44</f>
        <v>JOMBANG</v>
      </c>
      <c r="I82" s="360"/>
      <c r="J82" s="360"/>
      <c r="K82" s="361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G 3962</v>
      </c>
      <c r="E83" s="99"/>
      <c r="F83" s="112"/>
      <c r="G83" s="113"/>
      <c r="H83" s="362"/>
      <c r="I83" s="362"/>
      <c r="J83" s="362"/>
      <c r="K83" s="363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576</v>
      </c>
      <c r="C87" s="139" t="str">
        <f t="shared" ca="1" si="2"/>
        <v>PCS</v>
      </c>
      <c r="D87" s="140">
        <f t="shared" ca="1" si="2"/>
        <v>2</v>
      </c>
      <c r="E87" s="141" t="str">
        <f t="shared" ca="1" si="2"/>
        <v>PENSIL WARNA JOYKO CP-S12 MINI (PENDEK)</v>
      </c>
      <c r="F87" s="142"/>
      <c r="G87" s="143"/>
      <c r="H87" s="144">
        <f t="shared" ref="H87:K102" ca="1" si="3">H49</f>
        <v>6700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3376800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288</v>
      </c>
      <c r="C88" s="139" t="str">
        <f t="shared" ca="1" si="2"/>
        <v>PCS</v>
      </c>
      <c r="D88" s="140">
        <f t="shared" ca="1" si="2"/>
        <v>2</v>
      </c>
      <c r="E88" s="141" t="str">
        <f t="shared" ca="1" si="2"/>
        <v>PENSIL WARNA JOYKO CP-12PB (PANJANG)</v>
      </c>
      <c r="F88" s="142"/>
      <c r="G88" s="143"/>
      <c r="H88" s="144">
        <f t="shared" ca="1" si="3"/>
        <v>10600</v>
      </c>
      <c r="I88" s="145">
        <f t="shared" ca="1" si="3"/>
        <v>0.125</v>
      </c>
      <c r="J88" s="145" t="str">
        <f t="shared" ca="1" si="3"/>
        <v/>
      </c>
      <c r="K88" s="146">
        <f t="shared" ca="1" si="3"/>
        <v>2671200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144</v>
      </c>
      <c r="C89" s="139" t="str">
        <f t="shared" ca="1" si="2"/>
        <v>PCS</v>
      </c>
      <c r="D89" s="140">
        <f t="shared" ca="1" si="2"/>
        <v>2</v>
      </c>
      <c r="E89" s="141" t="str">
        <f t="shared" ca="1" si="2"/>
        <v>PENSIL WARNA JOYKO CP-24PB (PANJANG)</v>
      </c>
      <c r="F89" s="142"/>
      <c r="G89" s="143"/>
      <c r="H89" s="144">
        <f t="shared" ca="1" si="3"/>
        <v>21200</v>
      </c>
      <c r="I89" s="145">
        <f t="shared" ca="1" si="3"/>
        <v>0.125</v>
      </c>
      <c r="J89" s="145" t="str">
        <f t="shared" ca="1" si="3"/>
        <v/>
      </c>
      <c r="K89" s="146">
        <f t="shared" ca="1" si="3"/>
        <v>2671200</v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64"/>
      <c r="K104" s="364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65">
        <f ca="1">J67</f>
        <v>8719200</v>
      </c>
      <c r="K105" s="366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69"/>
      <c r="K106" s="369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64"/>
      <c r="K108" s="364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65">
        <f ca="1">J71</f>
        <v>864064.86486486485</v>
      </c>
      <c r="K109" s="366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64"/>
      <c r="K110" s="364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8719200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67" t="str">
        <f ca="1">J75</f>
        <v>NOVI / CONDRO</v>
      </c>
      <c r="K113" s="368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67" t="str">
        <f ca="1">J76</f>
        <v/>
      </c>
      <c r="K114" s="368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B29" sqref="B29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32</v>
      </c>
    </row>
    <row r="2" spans="1:5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88</v>
      </c>
      <c r="B3" t="s">
        <v>87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38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77</v>
      </c>
      <c r="B5" t="s">
        <v>78</v>
      </c>
      <c r="D5" t="s">
        <v>79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81</v>
      </c>
      <c r="B6" t="s">
        <v>57</v>
      </c>
      <c r="C6" t="s">
        <v>56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64</v>
      </c>
      <c r="B7" t="s">
        <v>65</v>
      </c>
      <c r="D7" t="s">
        <v>66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72</v>
      </c>
      <c r="B8" t="s">
        <v>73</v>
      </c>
      <c r="D8" t="s">
        <v>74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93</v>
      </c>
      <c r="B10" t="s">
        <v>95</v>
      </c>
      <c r="D10" t="s">
        <v>94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39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89</v>
      </c>
      <c r="B12" t="s">
        <v>62</v>
      </c>
      <c r="D12" t="s">
        <v>63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90</v>
      </c>
      <c r="B14" t="s">
        <v>61</v>
      </c>
      <c r="C14" t="s">
        <v>59</v>
      </c>
      <c r="D14" t="s">
        <v>60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98</v>
      </c>
      <c r="B15" t="s">
        <v>121</v>
      </c>
      <c r="D15" t="s">
        <v>99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84</v>
      </c>
      <c r="B16" t="s">
        <v>85</v>
      </c>
      <c r="C16" t="s">
        <v>86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58</v>
      </c>
      <c r="B17" t="s">
        <v>114</v>
      </c>
      <c r="C17" t="s">
        <v>113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91</v>
      </c>
      <c r="B18" t="s">
        <v>109</v>
      </c>
      <c r="D18" t="s">
        <v>92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103</v>
      </c>
      <c r="B19" t="s">
        <v>104</v>
      </c>
      <c r="D19" t="s">
        <v>105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108</v>
      </c>
      <c r="B20" t="s">
        <v>106</v>
      </c>
      <c r="C20" t="s">
        <v>107</v>
      </c>
      <c r="D20" t="s">
        <v>70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110</v>
      </c>
      <c r="B21" t="s">
        <v>111</v>
      </c>
      <c r="C21" t="s">
        <v>112</v>
      </c>
      <c r="D21" t="s">
        <v>63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122</v>
      </c>
      <c r="B22" t="s">
        <v>123</v>
      </c>
      <c r="C22" t="s">
        <v>125</v>
      </c>
      <c r="D22" t="s">
        <v>124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2023-10-05T04:35:44Z</dcterms:modified>
</cp:coreProperties>
</file>