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1 JAN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52" r:id="rId15"/>
  </pivotCaches>
</workbook>
</file>

<file path=xl/calcChain.xml><?xml version="1.0" encoding="utf-8"?>
<calcChain xmlns="http://schemas.openxmlformats.org/spreadsheetml/2006/main">
  <c r="D3" i="1" l="1"/>
  <c r="D19" i="1"/>
  <c r="D44" i="1"/>
  <c r="D45" i="1"/>
  <c r="D82" i="1"/>
  <c r="D83" i="1"/>
  <c r="D95" i="1"/>
  <c r="D110" i="1"/>
  <c r="D111" i="1"/>
  <c r="D113" i="1"/>
  <c r="D114" i="1"/>
  <c r="D135" i="1"/>
  <c r="D136" i="1"/>
  <c r="D237" i="1"/>
  <c r="D238" i="1"/>
  <c r="D250" i="1"/>
  <c r="D321" i="1"/>
  <c r="D322" i="1"/>
  <c r="D385" i="1"/>
  <c r="D386" i="1"/>
  <c r="D436" i="1"/>
  <c r="D472" i="1"/>
  <c r="D539" i="1"/>
  <c r="D540" i="1"/>
  <c r="D561" i="1"/>
  <c r="D562" i="1"/>
  <c r="D618" i="1"/>
  <c r="D641" i="1"/>
  <c r="D642" i="1"/>
  <c r="D666" i="1"/>
  <c r="D706" i="1"/>
  <c r="D708" i="1"/>
  <c r="D725" i="1"/>
  <c r="D726" i="1"/>
  <c r="D765" i="1"/>
  <c r="D766" i="1"/>
  <c r="D817" i="1"/>
  <c r="D820" i="1"/>
  <c r="D821" i="1"/>
  <c r="D835" i="1"/>
  <c r="D840" i="1"/>
  <c r="D841" i="1"/>
  <c r="AE4" i="1"/>
  <c r="AE6" i="1"/>
  <c r="AE8" i="1"/>
  <c r="AE18" i="1"/>
  <c r="AE20" i="1"/>
  <c r="AE45" i="1"/>
  <c r="AE51" i="1"/>
  <c r="AE53" i="1"/>
  <c r="AE64" i="1"/>
  <c r="AE73" i="1"/>
  <c r="AE84" i="1"/>
  <c r="AE94" i="1"/>
  <c r="AE22" i="1"/>
  <c r="AE26" i="1"/>
  <c r="AE43" i="1"/>
  <c r="AE112" i="1"/>
  <c r="AE97" i="1"/>
  <c r="AE101" i="1"/>
  <c r="AE103" i="1"/>
  <c r="AE105" i="1"/>
  <c r="AE107" i="1"/>
  <c r="AE109" i="1"/>
  <c r="AE76" i="1"/>
  <c r="AE78" i="1"/>
  <c r="AE81" i="1"/>
  <c r="AE122" i="1"/>
  <c r="AE125" i="1"/>
  <c r="AE130" i="1"/>
  <c r="AE132" i="1"/>
  <c r="AE134" i="1"/>
  <c r="AE136" i="1"/>
  <c r="AE141" i="1"/>
  <c r="AE143" i="1"/>
  <c r="AE148" i="1"/>
  <c r="AE157" i="1"/>
  <c r="AE241" i="1"/>
  <c r="AE243" i="1"/>
  <c r="AE245" i="1"/>
  <c r="AE247" i="1"/>
  <c r="AE249" i="1"/>
  <c r="AE164" i="1"/>
  <c r="AE175" i="1"/>
  <c r="AE185" i="1"/>
  <c r="AE196" i="1"/>
  <c r="AE200" i="1"/>
  <c r="AE210" i="1"/>
  <c r="AE212" i="1"/>
  <c r="AE220" i="1"/>
  <c r="AE225" i="1"/>
  <c r="AE236" i="1"/>
  <c r="AE261" i="1"/>
  <c r="AE272" i="1"/>
  <c r="AE284" i="1"/>
  <c r="AE288" i="1"/>
  <c r="AE296" i="1"/>
  <c r="AE306" i="1"/>
  <c r="AE309" i="1"/>
  <c r="AE311" i="1"/>
  <c r="AE313" i="1"/>
  <c r="AE315" i="1"/>
  <c r="AE317" i="1"/>
  <c r="AE320" i="1"/>
  <c r="AE322" i="1"/>
  <c r="AE334" i="1"/>
  <c r="AE344" i="1"/>
  <c r="AE356" i="1"/>
  <c r="AE358" i="1"/>
  <c r="AE369" i="1"/>
  <c r="AE372" i="1"/>
  <c r="AE374" i="1"/>
  <c r="AE379" i="1"/>
  <c r="AE384" i="1"/>
  <c r="AE386" i="1"/>
  <c r="AE391" i="1"/>
  <c r="AE409" i="1"/>
  <c r="AE427" i="1"/>
  <c r="AE430" i="1"/>
  <c r="AE433" i="1"/>
  <c r="AE435" i="1"/>
  <c r="AE252" i="1"/>
  <c r="AE440" i="1"/>
  <c r="AE445" i="1"/>
  <c r="AE448" i="1"/>
  <c r="AE459" i="1"/>
  <c r="AE463" i="1"/>
  <c r="AE466" i="1"/>
  <c r="AE469" i="1"/>
  <c r="AE471" i="1"/>
  <c r="AE483" i="1"/>
  <c r="AE494" i="1"/>
  <c r="AE500" i="1"/>
  <c r="AE508" i="1"/>
  <c r="AE513" i="1"/>
  <c r="AE522" i="1"/>
  <c r="AE525" i="1"/>
  <c r="AE527" i="1"/>
  <c r="AE529" i="1"/>
  <c r="AE531" i="1"/>
  <c r="AE535" i="1"/>
  <c r="AE538" i="1"/>
  <c r="AE542" i="1"/>
  <c r="AE544" i="1"/>
  <c r="AE553" i="1"/>
  <c r="AE560" i="1"/>
  <c r="AE563" i="1"/>
  <c r="AE572" i="1"/>
  <c r="AE584" i="1"/>
  <c r="AE590" i="1"/>
  <c r="AE594" i="1"/>
  <c r="AE598" i="1"/>
  <c r="AE601" i="1"/>
  <c r="AE604" i="1"/>
  <c r="AE606" i="1"/>
  <c r="AE609" i="1"/>
  <c r="AE613" i="1"/>
  <c r="AE615" i="1"/>
  <c r="AE617" i="1"/>
  <c r="AE621" i="1"/>
  <c r="AE623" i="1"/>
  <c r="AE625" i="1"/>
  <c r="AE629" i="1"/>
  <c r="AE631" i="1"/>
  <c r="AE640" i="1"/>
  <c r="AE646" i="1"/>
  <c r="AE653" i="1"/>
  <c r="AE665" i="1"/>
  <c r="AE676" i="1"/>
  <c r="AE682" i="1"/>
  <c r="AE690" i="1"/>
  <c r="AE696" i="1"/>
  <c r="AE703" i="1"/>
  <c r="AE705" i="1"/>
  <c r="AE707" i="1"/>
  <c r="AE710" i="1"/>
  <c r="AE741" i="1"/>
  <c r="AE744" i="1"/>
  <c r="AE749" i="1"/>
  <c r="AE752" i="1"/>
  <c r="AE756" i="1"/>
  <c r="AE764" i="1"/>
  <c r="AE766" i="1"/>
  <c r="AE770" i="1"/>
  <c r="AE714" i="1"/>
  <c r="AE720" i="1"/>
  <c r="AE724" i="1"/>
  <c r="AE739" i="1"/>
  <c r="AE772" i="1"/>
  <c r="AE774" i="1"/>
  <c r="AE781" i="1"/>
  <c r="AE792" i="1"/>
  <c r="AE794" i="1"/>
  <c r="AE801" i="1"/>
  <c r="AE812" i="1"/>
  <c r="AE814" i="1"/>
  <c r="AE816" i="1"/>
  <c r="AE819" i="1"/>
  <c r="AE826" i="1"/>
  <c r="AE834" i="1"/>
  <c r="AE839" i="1"/>
  <c r="AE843" i="1"/>
  <c r="AE845" i="1"/>
  <c r="AE847" i="1"/>
  <c r="AE858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D822" i="1" l="1"/>
  <c r="D727" i="1"/>
  <c r="D709" i="1"/>
  <c r="D619" i="1"/>
  <c r="D563" i="1"/>
  <c r="D541" i="1"/>
  <c r="D387" i="1"/>
  <c r="D842" i="1"/>
  <c r="D836" i="1"/>
  <c r="C836" i="1"/>
  <c r="D818" i="1"/>
  <c r="D767" i="1"/>
  <c r="D707" i="1"/>
  <c r="C708" i="1" s="1"/>
  <c r="D667" i="1"/>
  <c r="D643" i="1"/>
  <c r="D473" i="1"/>
  <c r="D437" i="1"/>
  <c r="C137" i="1"/>
  <c r="C112" i="1"/>
  <c r="D112" i="1"/>
  <c r="C113" i="1" s="1"/>
  <c r="C841" i="1"/>
  <c r="C821" i="1"/>
  <c r="C766" i="1"/>
  <c r="C726" i="1"/>
  <c r="C642" i="1"/>
  <c r="C562" i="1"/>
  <c r="C540" i="1"/>
  <c r="C386" i="1"/>
  <c r="D323" i="1"/>
  <c r="C322" i="1"/>
  <c r="D251" i="1"/>
  <c r="D239" i="1"/>
  <c r="C238" i="1"/>
  <c r="D137" i="1"/>
  <c r="C136" i="1"/>
  <c r="D115" i="1"/>
  <c r="C114" i="1"/>
  <c r="D96" i="1"/>
  <c r="D84" i="1"/>
  <c r="D46" i="1"/>
  <c r="D20" i="1"/>
  <c r="C3" i="1"/>
  <c r="D4" i="1"/>
  <c r="C111" i="1"/>
  <c r="C83" i="1"/>
  <c r="C45" i="1"/>
  <c r="D21" i="1" l="1"/>
  <c r="D47" i="1"/>
  <c r="D85" i="1"/>
  <c r="D97" i="1"/>
  <c r="D252" i="1"/>
  <c r="D324" i="1"/>
  <c r="C251" i="1"/>
  <c r="C438" i="1"/>
  <c r="D438" i="1"/>
  <c r="C474" i="1"/>
  <c r="D474" i="1"/>
  <c r="C644" i="1"/>
  <c r="D644" i="1"/>
  <c r="C668" i="1"/>
  <c r="D668" i="1"/>
  <c r="C768" i="1"/>
  <c r="D768" i="1"/>
  <c r="C819" i="1"/>
  <c r="D819" i="1"/>
  <c r="C820" i="1" s="1"/>
  <c r="C843" i="1"/>
  <c r="D843" i="1"/>
  <c r="C388" i="1"/>
  <c r="D388" i="1"/>
  <c r="C542" i="1"/>
  <c r="D542" i="1"/>
  <c r="C564" i="1"/>
  <c r="D564" i="1"/>
  <c r="C620" i="1"/>
  <c r="D620" i="1"/>
  <c r="C710" i="1"/>
  <c r="D710" i="1"/>
  <c r="C728" i="1"/>
  <c r="D728" i="1"/>
  <c r="C823" i="1"/>
  <c r="D823" i="1"/>
  <c r="C5" i="1"/>
  <c r="D5" i="1"/>
  <c r="C4" i="1"/>
  <c r="C20" i="1"/>
  <c r="C46" i="1"/>
  <c r="C84" i="1"/>
  <c r="C96" i="1"/>
  <c r="D116" i="1"/>
  <c r="D138" i="1"/>
  <c r="D240" i="1"/>
  <c r="C115" i="1"/>
  <c r="C239" i="1"/>
  <c r="C323" i="1"/>
  <c r="C437" i="1"/>
  <c r="C473" i="1"/>
  <c r="C643" i="1"/>
  <c r="C667" i="1"/>
  <c r="C707" i="1"/>
  <c r="C767" i="1"/>
  <c r="C818" i="1"/>
  <c r="D837" i="1"/>
  <c r="C842" i="1"/>
  <c r="C387" i="1"/>
  <c r="C541" i="1"/>
  <c r="C563" i="1"/>
  <c r="C619" i="1"/>
  <c r="C709" i="1"/>
  <c r="C727" i="1"/>
  <c r="C822" i="1"/>
  <c r="D838" i="1" l="1"/>
  <c r="D241" i="1"/>
  <c r="D139" i="1"/>
  <c r="D117" i="1"/>
  <c r="D325" i="1"/>
  <c r="D253" i="1"/>
  <c r="D98" i="1"/>
  <c r="D86" i="1"/>
  <c r="D48" i="1"/>
  <c r="D22" i="1"/>
  <c r="C837" i="1"/>
  <c r="C240" i="1"/>
  <c r="C138" i="1"/>
  <c r="C116" i="1"/>
  <c r="D6" i="1"/>
  <c r="D824" i="1"/>
  <c r="D729" i="1"/>
  <c r="D711" i="1"/>
  <c r="D621" i="1"/>
  <c r="D565" i="1"/>
  <c r="D543" i="1"/>
  <c r="D389" i="1"/>
  <c r="D844" i="1"/>
  <c r="C844" i="1"/>
  <c r="D769" i="1"/>
  <c r="D669" i="1"/>
  <c r="D645" i="1"/>
  <c r="D475" i="1"/>
  <c r="D439" i="1"/>
  <c r="C324" i="1"/>
  <c r="C252" i="1"/>
  <c r="C97" i="1"/>
  <c r="C85" i="1"/>
  <c r="C47" i="1"/>
  <c r="C21" i="1"/>
  <c r="D440" i="1" l="1"/>
  <c r="D476" i="1"/>
  <c r="D646" i="1"/>
  <c r="D670" i="1"/>
  <c r="D770" i="1"/>
  <c r="D390" i="1"/>
  <c r="D544" i="1"/>
  <c r="D566" i="1"/>
  <c r="D622" i="1"/>
  <c r="D712" i="1"/>
  <c r="D730" i="1"/>
  <c r="D825" i="1"/>
  <c r="D7" i="1"/>
  <c r="D23" i="1"/>
  <c r="D49" i="1"/>
  <c r="D87" i="1"/>
  <c r="D99" i="1"/>
  <c r="D254" i="1"/>
  <c r="D326" i="1"/>
  <c r="D118" i="1"/>
  <c r="D140" i="1"/>
  <c r="D242" i="1"/>
  <c r="D839" i="1"/>
  <c r="C840" i="1" s="1"/>
  <c r="C439" i="1"/>
  <c r="C475" i="1"/>
  <c r="C645" i="1"/>
  <c r="C669" i="1"/>
  <c r="C769" i="1"/>
  <c r="C845" i="1"/>
  <c r="D845" i="1"/>
  <c r="C389" i="1"/>
  <c r="C543" i="1"/>
  <c r="C565" i="1"/>
  <c r="C621" i="1"/>
  <c r="C711" i="1"/>
  <c r="C729" i="1"/>
  <c r="C824" i="1"/>
  <c r="C6" i="1"/>
  <c r="C22" i="1"/>
  <c r="C48" i="1"/>
  <c r="C86" i="1"/>
  <c r="C98" i="1"/>
  <c r="C253" i="1"/>
  <c r="C325" i="1"/>
  <c r="C117" i="1"/>
  <c r="C139" i="1"/>
  <c r="C241" i="1"/>
  <c r="C838" i="1"/>
  <c r="D243" i="1" l="1"/>
  <c r="D141" i="1"/>
  <c r="D119" i="1"/>
  <c r="D327" i="1"/>
  <c r="D255" i="1"/>
  <c r="D100" i="1"/>
  <c r="D88" i="1"/>
  <c r="D50" i="1"/>
  <c r="D24" i="1"/>
  <c r="D8" i="1"/>
  <c r="D826" i="1"/>
  <c r="D731" i="1"/>
  <c r="D713" i="1"/>
  <c r="D623" i="1"/>
  <c r="D567" i="1"/>
  <c r="D545" i="1"/>
  <c r="D391" i="1"/>
  <c r="D771" i="1"/>
  <c r="D671" i="1"/>
  <c r="D647" i="1"/>
  <c r="D477" i="1"/>
  <c r="D441" i="1"/>
  <c r="D846" i="1"/>
  <c r="C839" i="1"/>
  <c r="C242" i="1"/>
  <c r="C140" i="1"/>
  <c r="C118" i="1"/>
  <c r="C326" i="1"/>
  <c r="C254" i="1"/>
  <c r="C99" i="1"/>
  <c r="C87" i="1"/>
  <c r="C49" i="1"/>
  <c r="C23" i="1"/>
  <c r="C7" i="1"/>
  <c r="C825" i="1"/>
  <c r="C730" i="1"/>
  <c r="C712" i="1"/>
  <c r="C622" i="1"/>
  <c r="C566" i="1"/>
  <c r="C544" i="1"/>
  <c r="C390" i="1"/>
  <c r="C770" i="1"/>
  <c r="C670" i="1"/>
  <c r="C646" i="1"/>
  <c r="C476" i="1"/>
  <c r="C440" i="1"/>
  <c r="D847" i="1" l="1"/>
  <c r="D442" i="1"/>
  <c r="D478" i="1"/>
  <c r="D648" i="1"/>
  <c r="D672" i="1"/>
  <c r="D772" i="1"/>
  <c r="D392" i="1"/>
  <c r="D546" i="1"/>
  <c r="D568" i="1"/>
  <c r="D624" i="1"/>
  <c r="D714" i="1"/>
  <c r="D732" i="1"/>
  <c r="D827" i="1"/>
  <c r="D9" i="1"/>
  <c r="D25" i="1"/>
  <c r="D51" i="1"/>
  <c r="D89" i="1"/>
  <c r="D101" i="1"/>
  <c r="D256" i="1"/>
  <c r="D328" i="1"/>
  <c r="D120" i="1"/>
  <c r="D142" i="1"/>
  <c r="D244" i="1"/>
  <c r="C846" i="1"/>
  <c r="C441" i="1"/>
  <c r="C477" i="1"/>
  <c r="C647" i="1"/>
  <c r="C671" i="1"/>
  <c r="C771" i="1"/>
  <c r="C391" i="1"/>
  <c r="C545" i="1"/>
  <c r="C567" i="1"/>
  <c r="C623" i="1"/>
  <c r="C713" i="1"/>
  <c r="C731" i="1"/>
  <c r="C826" i="1"/>
  <c r="C8" i="1"/>
  <c r="C24" i="1"/>
  <c r="C50" i="1"/>
  <c r="C88" i="1"/>
  <c r="C100" i="1"/>
  <c r="C255" i="1"/>
  <c r="C327" i="1"/>
  <c r="C119" i="1"/>
  <c r="C141" i="1"/>
  <c r="C243" i="1"/>
  <c r="D245" i="1" l="1"/>
  <c r="D143" i="1"/>
  <c r="D121" i="1"/>
  <c r="D329" i="1"/>
  <c r="D257" i="1"/>
  <c r="D102" i="1"/>
  <c r="D90" i="1"/>
  <c r="D52" i="1"/>
  <c r="D26" i="1"/>
  <c r="D10" i="1"/>
  <c r="D828" i="1"/>
  <c r="C828" i="1"/>
  <c r="D733" i="1"/>
  <c r="D715" i="1"/>
  <c r="D625" i="1"/>
  <c r="D569" i="1"/>
  <c r="D547" i="1"/>
  <c r="D393" i="1"/>
  <c r="D773" i="1"/>
  <c r="D673" i="1"/>
  <c r="D649" i="1"/>
  <c r="D479" i="1"/>
  <c r="D443" i="1"/>
  <c r="D848" i="1"/>
  <c r="C244" i="1"/>
  <c r="C142" i="1"/>
  <c r="C120" i="1"/>
  <c r="C328" i="1"/>
  <c r="C256" i="1"/>
  <c r="C101" i="1"/>
  <c r="C89" i="1"/>
  <c r="C51" i="1"/>
  <c r="C25" i="1"/>
  <c r="C9" i="1"/>
  <c r="C827" i="1"/>
  <c r="C732" i="1"/>
  <c r="C714" i="1"/>
  <c r="C624" i="1"/>
  <c r="C568" i="1"/>
  <c r="C546" i="1"/>
  <c r="C392" i="1"/>
  <c r="C772" i="1"/>
  <c r="C672" i="1"/>
  <c r="C648" i="1"/>
  <c r="C478" i="1"/>
  <c r="C442" i="1"/>
  <c r="C847" i="1"/>
  <c r="D849" i="1" l="1"/>
  <c r="D444" i="1"/>
  <c r="D480" i="1"/>
  <c r="D650" i="1"/>
  <c r="D674" i="1"/>
  <c r="D774" i="1"/>
  <c r="D394" i="1"/>
  <c r="D548" i="1"/>
  <c r="D570" i="1"/>
  <c r="D626" i="1"/>
  <c r="D716" i="1"/>
  <c r="D734" i="1"/>
  <c r="D11" i="1"/>
  <c r="D27" i="1"/>
  <c r="D53" i="1"/>
  <c r="D91" i="1"/>
  <c r="D103" i="1"/>
  <c r="D258" i="1"/>
  <c r="D330" i="1"/>
  <c r="D122" i="1"/>
  <c r="D144" i="1"/>
  <c r="D246" i="1"/>
  <c r="C848" i="1"/>
  <c r="C443" i="1"/>
  <c r="C479" i="1"/>
  <c r="C649" i="1"/>
  <c r="C673" i="1"/>
  <c r="C773" i="1"/>
  <c r="C393" i="1"/>
  <c r="C547" i="1"/>
  <c r="C569" i="1"/>
  <c r="C625" i="1"/>
  <c r="C715" i="1"/>
  <c r="C733" i="1"/>
  <c r="D829" i="1"/>
  <c r="C10" i="1"/>
  <c r="C26" i="1"/>
  <c r="C52" i="1"/>
  <c r="C90" i="1"/>
  <c r="C102" i="1"/>
  <c r="C257" i="1"/>
  <c r="C329" i="1"/>
  <c r="C121" i="1"/>
  <c r="C143" i="1"/>
  <c r="C245" i="1"/>
  <c r="D830" i="1" l="1"/>
  <c r="D247" i="1"/>
  <c r="D145" i="1"/>
  <c r="D123" i="1"/>
  <c r="D331" i="1"/>
  <c r="D259" i="1"/>
  <c r="D104" i="1"/>
  <c r="D92" i="1"/>
  <c r="D54" i="1"/>
  <c r="D28" i="1"/>
  <c r="D12" i="1"/>
  <c r="D735" i="1"/>
  <c r="D717" i="1"/>
  <c r="D627" i="1"/>
  <c r="D571" i="1"/>
  <c r="D549" i="1"/>
  <c r="D395" i="1"/>
  <c r="D775" i="1"/>
  <c r="D675" i="1"/>
  <c r="D651" i="1"/>
  <c r="D481" i="1"/>
  <c r="D445" i="1"/>
  <c r="D850" i="1"/>
  <c r="C829" i="1"/>
  <c r="C246" i="1"/>
  <c r="C144" i="1"/>
  <c r="C122" i="1"/>
  <c r="C330" i="1"/>
  <c r="C258" i="1"/>
  <c r="C103" i="1"/>
  <c r="C91" i="1"/>
  <c r="C53" i="1"/>
  <c r="C27" i="1"/>
  <c r="C11" i="1"/>
  <c r="C734" i="1"/>
  <c r="C716" i="1"/>
  <c r="C626" i="1"/>
  <c r="C570" i="1"/>
  <c r="C548" i="1"/>
  <c r="C394" i="1"/>
  <c r="C774" i="1"/>
  <c r="C674" i="1"/>
  <c r="C650" i="1"/>
  <c r="C480" i="1"/>
  <c r="C444" i="1"/>
  <c r="C849" i="1"/>
  <c r="D851" i="1" l="1"/>
  <c r="D446" i="1"/>
  <c r="D482" i="1"/>
  <c r="D652" i="1"/>
  <c r="D676" i="1"/>
  <c r="D776" i="1"/>
  <c r="D396" i="1"/>
  <c r="D550" i="1"/>
  <c r="D572" i="1"/>
  <c r="D628" i="1"/>
  <c r="D718" i="1"/>
  <c r="D736" i="1"/>
  <c r="D13" i="1"/>
  <c r="D29" i="1"/>
  <c r="D55" i="1"/>
  <c r="D93" i="1"/>
  <c r="D105" i="1"/>
  <c r="D260" i="1"/>
  <c r="D332" i="1"/>
  <c r="D124" i="1"/>
  <c r="D146" i="1"/>
  <c r="D248" i="1"/>
  <c r="D831" i="1"/>
  <c r="C850" i="1"/>
  <c r="C445" i="1"/>
  <c r="C481" i="1"/>
  <c r="C651" i="1"/>
  <c r="C675" i="1"/>
  <c r="C775" i="1"/>
  <c r="C395" i="1"/>
  <c r="C549" i="1"/>
  <c r="C571" i="1"/>
  <c r="C627" i="1"/>
  <c r="C717" i="1"/>
  <c r="C735" i="1"/>
  <c r="C12" i="1"/>
  <c r="C28" i="1"/>
  <c r="C54" i="1"/>
  <c r="C92" i="1"/>
  <c r="C104" i="1"/>
  <c r="C259" i="1"/>
  <c r="C331" i="1"/>
  <c r="C123" i="1"/>
  <c r="C145" i="1"/>
  <c r="C247" i="1"/>
  <c r="C830" i="1"/>
  <c r="O775" i="1"/>
  <c r="O737" i="1"/>
  <c r="O736" i="1"/>
  <c r="O732" i="1"/>
  <c r="O730" i="1"/>
  <c r="O729" i="1"/>
  <c r="O725" i="1"/>
  <c r="O718" i="1"/>
  <c r="O712" i="1"/>
  <c r="O711" i="1"/>
  <c r="D832" i="1" l="1"/>
  <c r="D249" i="1"/>
  <c r="C250" i="1" s="1"/>
  <c r="D147" i="1"/>
  <c r="D125" i="1"/>
  <c r="D333" i="1"/>
  <c r="D261" i="1"/>
  <c r="D106" i="1"/>
  <c r="D94" i="1"/>
  <c r="C95" i="1" s="1"/>
  <c r="D56" i="1"/>
  <c r="D30" i="1"/>
  <c r="D14" i="1"/>
  <c r="D737" i="1"/>
  <c r="D719" i="1"/>
  <c r="D629" i="1"/>
  <c r="D573" i="1"/>
  <c r="D551" i="1"/>
  <c r="D397" i="1"/>
  <c r="D777" i="1"/>
  <c r="D677" i="1"/>
  <c r="D653" i="1"/>
  <c r="D483" i="1"/>
  <c r="D447" i="1"/>
  <c r="D852" i="1"/>
  <c r="C852" i="1"/>
  <c r="C831" i="1"/>
  <c r="C248" i="1"/>
  <c r="C146" i="1"/>
  <c r="C124" i="1"/>
  <c r="C332" i="1"/>
  <c r="C260" i="1"/>
  <c r="C105" i="1"/>
  <c r="C93" i="1"/>
  <c r="C55" i="1"/>
  <c r="C29" i="1"/>
  <c r="C13" i="1"/>
  <c r="C736" i="1"/>
  <c r="C718" i="1"/>
  <c r="C628" i="1"/>
  <c r="C572" i="1"/>
  <c r="C550" i="1"/>
  <c r="C396" i="1"/>
  <c r="C776" i="1"/>
  <c r="C676" i="1"/>
  <c r="C652" i="1"/>
  <c r="C482" i="1"/>
  <c r="C446" i="1"/>
  <c r="C851" i="1"/>
  <c r="AF630" i="1"/>
  <c r="AE630" i="1" s="1"/>
  <c r="D448" i="1" l="1"/>
  <c r="D484" i="1"/>
  <c r="D654" i="1"/>
  <c r="D678" i="1"/>
  <c r="D778" i="1"/>
  <c r="D398" i="1"/>
  <c r="D552" i="1"/>
  <c r="D574" i="1"/>
  <c r="D630" i="1"/>
  <c r="D720" i="1"/>
  <c r="D738" i="1"/>
  <c r="D15" i="1"/>
  <c r="D31" i="1"/>
  <c r="D57" i="1"/>
  <c r="D107" i="1"/>
  <c r="D262" i="1"/>
  <c r="D334" i="1"/>
  <c r="D126" i="1"/>
  <c r="D148" i="1"/>
  <c r="D833" i="1"/>
  <c r="D853" i="1"/>
  <c r="C447" i="1"/>
  <c r="C483" i="1"/>
  <c r="C653" i="1"/>
  <c r="C677" i="1"/>
  <c r="C777" i="1"/>
  <c r="C397" i="1"/>
  <c r="C551" i="1"/>
  <c r="C573" i="1"/>
  <c r="C629" i="1"/>
  <c r="C719" i="1"/>
  <c r="C737" i="1"/>
  <c r="C14" i="1"/>
  <c r="C30" i="1"/>
  <c r="C56" i="1"/>
  <c r="C94" i="1"/>
  <c r="C106" i="1"/>
  <c r="C261" i="1"/>
  <c r="C333" i="1"/>
  <c r="C125" i="1"/>
  <c r="C147" i="1"/>
  <c r="C249" i="1"/>
  <c r="C832" i="1"/>
  <c r="O704" i="1"/>
  <c r="D854" i="1" l="1"/>
  <c r="D834" i="1"/>
  <c r="C835" i="1" s="1"/>
  <c r="D149" i="1"/>
  <c r="D127" i="1"/>
  <c r="D335" i="1"/>
  <c r="D263" i="1"/>
  <c r="D108" i="1"/>
  <c r="D58" i="1"/>
  <c r="D32" i="1"/>
  <c r="D16" i="1"/>
  <c r="D739" i="1"/>
  <c r="D721" i="1"/>
  <c r="D631" i="1"/>
  <c r="D575" i="1"/>
  <c r="D553" i="1"/>
  <c r="D399" i="1"/>
  <c r="D779" i="1"/>
  <c r="D679" i="1"/>
  <c r="D655" i="1"/>
  <c r="D485" i="1"/>
  <c r="D449" i="1"/>
  <c r="C853" i="1"/>
  <c r="C833" i="1"/>
  <c r="C148" i="1"/>
  <c r="C126" i="1"/>
  <c r="C334" i="1"/>
  <c r="C262" i="1"/>
  <c r="C107" i="1"/>
  <c r="C57" i="1"/>
  <c r="C31" i="1"/>
  <c r="C15" i="1"/>
  <c r="C738" i="1"/>
  <c r="C720" i="1"/>
  <c r="C630" i="1"/>
  <c r="C574" i="1"/>
  <c r="C552" i="1"/>
  <c r="C398" i="1"/>
  <c r="C778" i="1"/>
  <c r="C678" i="1"/>
  <c r="C654" i="1"/>
  <c r="C484" i="1"/>
  <c r="C448" i="1"/>
  <c r="B4" i="1"/>
  <c r="B6" i="1"/>
  <c r="B8" i="1"/>
  <c r="B10" i="1"/>
  <c r="B11" i="1"/>
  <c r="B12" i="1"/>
  <c r="B13" i="1"/>
  <c r="B14" i="1"/>
  <c r="B15" i="1"/>
  <c r="B16" i="1"/>
  <c r="B17" i="1"/>
  <c r="B18" i="1"/>
  <c r="B20" i="1"/>
  <c r="B45" i="1"/>
  <c r="B47" i="1"/>
  <c r="B48" i="1"/>
  <c r="B49" i="1"/>
  <c r="B50" i="1"/>
  <c r="B51" i="1"/>
  <c r="B53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83" i="1"/>
  <c r="B84" i="1"/>
  <c r="B86" i="1"/>
  <c r="B87" i="1"/>
  <c r="B88" i="1"/>
  <c r="B89" i="1"/>
  <c r="B90" i="1"/>
  <c r="B91" i="1"/>
  <c r="B92" i="1"/>
  <c r="B93" i="1"/>
  <c r="B94" i="1"/>
  <c r="B22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11" i="1"/>
  <c r="B112" i="1"/>
  <c r="B96" i="1"/>
  <c r="B97" i="1"/>
  <c r="B99" i="1"/>
  <c r="B100" i="1"/>
  <c r="B101" i="1"/>
  <c r="B103" i="1"/>
  <c r="B105" i="1"/>
  <c r="B107" i="1"/>
  <c r="B109" i="1"/>
  <c r="B75" i="1"/>
  <c r="B76" i="1"/>
  <c r="B78" i="1"/>
  <c r="B80" i="1"/>
  <c r="B81" i="1"/>
  <c r="B114" i="1"/>
  <c r="B115" i="1"/>
  <c r="B116" i="1"/>
  <c r="B117" i="1"/>
  <c r="B118" i="1"/>
  <c r="B119" i="1"/>
  <c r="B120" i="1"/>
  <c r="B121" i="1"/>
  <c r="B122" i="1"/>
  <c r="B124" i="1"/>
  <c r="B125" i="1"/>
  <c r="B127" i="1"/>
  <c r="B128" i="1"/>
  <c r="B129" i="1"/>
  <c r="B130" i="1"/>
  <c r="B132" i="1"/>
  <c r="B134" i="1"/>
  <c r="B136" i="1"/>
  <c r="B138" i="1"/>
  <c r="B139" i="1"/>
  <c r="B140" i="1"/>
  <c r="B141" i="1"/>
  <c r="B143" i="1"/>
  <c r="B145" i="1"/>
  <c r="B146" i="1"/>
  <c r="B147" i="1"/>
  <c r="B148" i="1"/>
  <c r="B150" i="1"/>
  <c r="B151" i="1"/>
  <c r="B152" i="1"/>
  <c r="B153" i="1"/>
  <c r="B154" i="1"/>
  <c r="B155" i="1"/>
  <c r="B156" i="1"/>
  <c r="B157" i="1"/>
  <c r="B238" i="1"/>
  <c r="B239" i="1"/>
  <c r="B240" i="1"/>
  <c r="B241" i="1"/>
  <c r="B243" i="1"/>
  <c r="B245" i="1"/>
  <c r="B247" i="1"/>
  <c r="B249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7" i="1"/>
  <c r="B188" i="1"/>
  <c r="B189" i="1"/>
  <c r="B190" i="1"/>
  <c r="B191" i="1"/>
  <c r="B192" i="1"/>
  <c r="B193" i="1"/>
  <c r="B194" i="1"/>
  <c r="B195" i="1"/>
  <c r="B196" i="1"/>
  <c r="B198" i="1"/>
  <c r="B199" i="1"/>
  <c r="B200" i="1"/>
  <c r="B202" i="1"/>
  <c r="B203" i="1"/>
  <c r="B204" i="1"/>
  <c r="B205" i="1"/>
  <c r="B206" i="1"/>
  <c r="B207" i="1"/>
  <c r="B208" i="1"/>
  <c r="B209" i="1"/>
  <c r="B210" i="1"/>
  <c r="B212" i="1"/>
  <c r="B214" i="1"/>
  <c r="B215" i="1"/>
  <c r="B216" i="1"/>
  <c r="B217" i="1"/>
  <c r="B218" i="1"/>
  <c r="B219" i="1"/>
  <c r="B220" i="1"/>
  <c r="B222" i="1"/>
  <c r="B223" i="1"/>
  <c r="B224" i="1"/>
  <c r="B225" i="1"/>
  <c r="B227" i="1"/>
  <c r="B228" i="1"/>
  <c r="B229" i="1"/>
  <c r="B230" i="1"/>
  <c r="B231" i="1"/>
  <c r="B232" i="1"/>
  <c r="B233" i="1"/>
  <c r="B234" i="1"/>
  <c r="B235" i="1"/>
  <c r="B236" i="1"/>
  <c r="B254" i="1"/>
  <c r="B255" i="1"/>
  <c r="B256" i="1"/>
  <c r="B257" i="1"/>
  <c r="B258" i="1"/>
  <c r="B259" i="1"/>
  <c r="B260" i="1"/>
  <c r="B261" i="1"/>
  <c r="B263" i="1"/>
  <c r="B264" i="1"/>
  <c r="B265" i="1"/>
  <c r="B266" i="1"/>
  <c r="B267" i="1"/>
  <c r="B268" i="1"/>
  <c r="B269" i="1"/>
  <c r="B270" i="1"/>
  <c r="B271" i="1"/>
  <c r="B272" i="1"/>
  <c r="B274" i="1"/>
  <c r="B275" i="1"/>
  <c r="B276" i="1"/>
  <c r="B277" i="1"/>
  <c r="B278" i="1"/>
  <c r="B279" i="1"/>
  <c r="B280" i="1"/>
  <c r="B281" i="1"/>
  <c r="B282" i="1"/>
  <c r="B283" i="1"/>
  <c r="B284" i="1"/>
  <c r="B286" i="1"/>
  <c r="B287" i="1"/>
  <c r="B288" i="1"/>
  <c r="B290" i="1"/>
  <c r="B291" i="1"/>
  <c r="B292" i="1"/>
  <c r="B293" i="1"/>
  <c r="B294" i="1"/>
  <c r="B295" i="1"/>
  <c r="B296" i="1"/>
  <c r="B298" i="1"/>
  <c r="B299" i="1"/>
  <c r="B300" i="1"/>
  <c r="B301" i="1"/>
  <c r="B302" i="1"/>
  <c r="B303" i="1"/>
  <c r="B304" i="1"/>
  <c r="B305" i="1"/>
  <c r="B306" i="1"/>
  <c r="B308" i="1"/>
  <c r="B309" i="1"/>
  <c r="B311" i="1"/>
  <c r="B313" i="1"/>
  <c r="B315" i="1"/>
  <c r="B317" i="1"/>
  <c r="B319" i="1"/>
  <c r="B320" i="1"/>
  <c r="B322" i="1"/>
  <c r="B324" i="1"/>
  <c r="B325" i="1"/>
  <c r="B326" i="1"/>
  <c r="B327" i="1"/>
  <c r="B328" i="1"/>
  <c r="B329" i="1"/>
  <c r="B330" i="1"/>
  <c r="B331" i="1"/>
  <c r="B332" i="1"/>
  <c r="B333" i="1"/>
  <c r="B334" i="1"/>
  <c r="B336" i="1"/>
  <c r="B337" i="1"/>
  <c r="B338" i="1"/>
  <c r="B339" i="1"/>
  <c r="B340" i="1"/>
  <c r="B341" i="1"/>
  <c r="B342" i="1"/>
  <c r="B343" i="1"/>
  <c r="B344" i="1"/>
  <c r="B346" i="1"/>
  <c r="B347" i="1"/>
  <c r="B348" i="1"/>
  <c r="B349" i="1"/>
  <c r="B350" i="1"/>
  <c r="B351" i="1"/>
  <c r="B352" i="1"/>
  <c r="B353" i="1"/>
  <c r="B354" i="1"/>
  <c r="B355" i="1"/>
  <c r="B356" i="1"/>
  <c r="B358" i="1"/>
  <c r="B360" i="1"/>
  <c r="B361" i="1"/>
  <c r="B362" i="1"/>
  <c r="B363" i="1"/>
  <c r="B364" i="1"/>
  <c r="B365" i="1"/>
  <c r="B366" i="1"/>
  <c r="B367" i="1"/>
  <c r="B368" i="1"/>
  <c r="B369" i="1"/>
  <c r="B371" i="1"/>
  <c r="B372" i="1"/>
  <c r="B374" i="1"/>
  <c r="B376" i="1"/>
  <c r="B377" i="1"/>
  <c r="B378" i="1"/>
  <c r="B379" i="1"/>
  <c r="B381" i="1"/>
  <c r="B382" i="1"/>
  <c r="B383" i="1"/>
  <c r="B384" i="1"/>
  <c r="B386" i="1"/>
  <c r="B388" i="1"/>
  <c r="B389" i="1"/>
  <c r="B390" i="1"/>
  <c r="B391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9" i="1"/>
  <c r="B430" i="1"/>
  <c r="B432" i="1"/>
  <c r="B433" i="1"/>
  <c r="B435" i="1"/>
  <c r="B251" i="1"/>
  <c r="B252" i="1"/>
  <c r="B437" i="1"/>
  <c r="B438" i="1"/>
  <c r="B439" i="1"/>
  <c r="B440" i="1"/>
  <c r="B442" i="1"/>
  <c r="B443" i="1"/>
  <c r="B444" i="1"/>
  <c r="B445" i="1"/>
  <c r="B447" i="1"/>
  <c r="B448" i="1"/>
  <c r="B450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5" i="1"/>
  <c r="B466" i="1"/>
  <c r="B468" i="1"/>
  <c r="B469" i="1"/>
  <c r="B471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2" i="1"/>
  <c r="B503" i="1"/>
  <c r="B504" i="1"/>
  <c r="B505" i="1"/>
  <c r="B506" i="1"/>
  <c r="B507" i="1"/>
  <c r="B508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4" i="1"/>
  <c r="B525" i="1"/>
  <c r="B527" i="1"/>
  <c r="B529" i="1"/>
  <c r="B531" i="1"/>
  <c r="B533" i="1"/>
  <c r="B534" i="1"/>
  <c r="B535" i="1"/>
  <c r="B537" i="1"/>
  <c r="B538" i="1"/>
  <c r="B540" i="1"/>
  <c r="B541" i="1"/>
  <c r="B542" i="1"/>
  <c r="B544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2" i="1"/>
  <c r="B563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6" i="1"/>
  <c r="B587" i="1"/>
  <c r="B588" i="1"/>
  <c r="B589" i="1"/>
  <c r="B590" i="1"/>
  <c r="B592" i="1"/>
  <c r="B593" i="1"/>
  <c r="B594" i="1"/>
  <c r="B596" i="1"/>
  <c r="B597" i="1"/>
  <c r="B598" i="1"/>
  <c r="B600" i="1"/>
  <c r="B601" i="1"/>
  <c r="B603" i="1"/>
  <c r="B604" i="1"/>
  <c r="B606" i="1"/>
  <c r="B608" i="1"/>
  <c r="B609" i="1"/>
  <c r="B611" i="1"/>
  <c r="B612" i="1"/>
  <c r="B613" i="1"/>
  <c r="B615" i="1"/>
  <c r="B617" i="1"/>
  <c r="B619" i="1"/>
  <c r="B620" i="1"/>
  <c r="B621" i="1"/>
  <c r="B623" i="1"/>
  <c r="B625" i="1"/>
  <c r="B627" i="1"/>
  <c r="B628" i="1"/>
  <c r="B629" i="1"/>
  <c r="B631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8" i="1"/>
  <c r="B649" i="1"/>
  <c r="B650" i="1"/>
  <c r="B651" i="1"/>
  <c r="B652" i="1"/>
  <c r="B653" i="1"/>
  <c r="B655" i="1"/>
  <c r="B656" i="1"/>
  <c r="B657" i="1"/>
  <c r="B658" i="1"/>
  <c r="B659" i="1"/>
  <c r="B660" i="1"/>
  <c r="B661" i="1"/>
  <c r="B662" i="1"/>
  <c r="B663" i="1"/>
  <c r="B664" i="1"/>
  <c r="B665" i="1"/>
  <c r="B667" i="1"/>
  <c r="B668" i="1"/>
  <c r="B669" i="1"/>
  <c r="B670" i="1"/>
  <c r="B671" i="1"/>
  <c r="B672" i="1"/>
  <c r="B673" i="1"/>
  <c r="B674" i="1"/>
  <c r="B675" i="1"/>
  <c r="B676" i="1"/>
  <c r="B678" i="1"/>
  <c r="B679" i="1"/>
  <c r="B680" i="1"/>
  <c r="B681" i="1"/>
  <c r="B682" i="1"/>
  <c r="B684" i="1"/>
  <c r="B685" i="1"/>
  <c r="B686" i="1"/>
  <c r="B687" i="1"/>
  <c r="B688" i="1"/>
  <c r="B689" i="1"/>
  <c r="B690" i="1"/>
  <c r="B692" i="1"/>
  <c r="B693" i="1"/>
  <c r="B694" i="1"/>
  <c r="B695" i="1"/>
  <c r="B696" i="1"/>
  <c r="B698" i="1"/>
  <c r="B699" i="1"/>
  <c r="B700" i="1"/>
  <c r="B701" i="1"/>
  <c r="B702" i="1"/>
  <c r="B703" i="1"/>
  <c r="B705" i="1"/>
  <c r="B707" i="1"/>
  <c r="B709" i="1"/>
  <c r="B710" i="1"/>
  <c r="B741" i="1"/>
  <c r="B768" i="1"/>
  <c r="B769" i="1"/>
  <c r="B770" i="1"/>
  <c r="B743" i="1"/>
  <c r="B744" i="1"/>
  <c r="B746" i="1"/>
  <c r="B747" i="1"/>
  <c r="B748" i="1"/>
  <c r="B749" i="1"/>
  <c r="B751" i="1"/>
  <c r="B752" i="1"/>
  <c r="B754" i="1"/>
  <c r="B755" i="1"/>
  <c r="B756" i="1"/>
  <c r="B758" i="1"/>
  <c r="B759" i="1"/>
  <c r="B760" i="1"/>
  <c r="B761" i="1"/>
  <c r="B762" i="1"/>
  <c r="B763" i="1"/>
  <c r="B764" i="1"/>
  <c r="B766" i="1"/>
  <c r="B712" i="1"/>
  <c r="B713" i="1"/>
  <c r="B714" i="1"/>
  <c r="B716" i="1"/>
  <c r="B717" i="1"/>
  <c r="B718" i="1"/>
  <c r="B719" i="1"/>
  <c r="B720" i="1"/>
  <c r="B722" i="1"/>
  <c r="B723" i="1"/>
  <c r="B724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72" i="1"/>
  <c r="B774" i="1"/>
  <c r="B776" i="1"/>
  <c r="B777" i="1"/>
  <c r="B778" i="1"/>
  <c r="B779" i="1"/>
  <c r="B780" i="1"/>
  <c r="B781" i="1"/>
  <c r="B783" i="1"/>
  <c r="B784" i="1"/>
  <c r="B785" i="1"/>
  <c r="B786" i="1"/>
  <c r="B787" i="1"/>
  <c r="B788" i="1"/>
  <c r="B789" i="1"/>
  <c r="B790" i="1"/>
  <c r="B791" i="1"/>
  <c r="B792" i="1"/>
  <c r="B794" i="1"/>
  <c r="B796" i="1"/>
  <c r="B797" i="1"/>
  <c r="B798" i="1"/>
  <c r="B799" i="1"/>
  <c r="B800" i="1"/>
  <c r="B801" i="1"/>
  <c r="B803" i="1"/>
  <c r="B804" i="1"/>
  <c r="B805" i="1"/>
  <c r="B806" i="1"/>
  <c r="B807" i="1"/>
  <c r="B808" i="1"/>
  <c r="B809" i="1"/>
  <c r="B810" i="1"/>
  <c r="B811" i="1"/>
  <c r="B812" i="1"/>
  <c r="B814" i="1"/>
  <c r="B816" i="1"/>
  <c r="B818" i="1"/>
  <c r="B819" i="1"/>
  <c r="B821" i="1"/>
  <c r="B822" i="1"/>
  <c r="B823" i="1"/>
  <c r="B824" i="1"/>
  <c r="B825" i="1"/>
  <c r="B826" i="1"/>
  <c r="B828" i="1"/>
  <c r="B829" i="1"/>
  <c r="B830" i="1"/>
  <c r="B831" i="1"/>
  <c r="B832" i="1"/>
  <c r="B833" i="1"/>
  <c r="B834" i="1"/>
  <c r="B836" i="1"/>
  <c r="B837" i="1"/>
  <c r="B838" i="1"/>
  <c r="B839" i="1"/>
  <c r="B841" i="1"/>
  <c r="B842" i="1"/>
  <c r="B843" i="1"/>
  <c r="B845" i="1"/>
  <c r="B847" i="1"/>
  <c r="B849" i="1"/>
  <c r="B850" i="1"/>
  <c r="B851" i="1"/>
  <c r="B852" i="1"/>
  <c r="B853" i="1"/>
  <c r="B854" i="1"/>
  <c r="B855" i="1"/>
  <c r="B856" i="1"/>
  <c r="B857" i="1"/>
  <c r="B858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D450" i="1" l="1"/>
  <c r="D486" i="1"/>
  <c r="D656" i="1"/>
  <c r="D680" i="1"/>
  <c r="D780" i="1"/>
  <c r="D400" i="1"/>
  <c r="D554" i="1"/>
  <c r="D576" i="1"/>
  <c r="D632" i="1"/>
  <c r="D722" i="1"/>
  <c r="D740" i="1"/>
  <c r="D17" i="1"/>
  <c r="D33" i="1"/>
  <c r="D59" i="1"/>
  <c r="D109" i="1"/>
  <c r="C110" i="1" s="1"/>
  <c r="D264" i="1"/>
  <c r="D336" i="1"/>
  <c r="D128" i="1"/>
  <c r="D150" i="1"/>
  <c r="D855" i="1"/>
  <c r="C449" i="1"/>
  <c r="C485" i="1"/>
  <c r="C655" i="1"/>
  <c r="C679" i="1"/>
  <c r="C779" i="1"/>
  <c r="C399" i="1"/>
  <c r="C553" i="1"/>
  <c r="C575" i="1"/>
  <c r="C631" i="1"/>
  <c r="C721" i="1"/>
  <c r="C739" i="1"/>
  <c r="C16" i="1"/>
  <c r="C32" i="1"/>
  <c r="C58" i="1"/>
  <c r="C108" i="1"/>
  <c r="C263" i="1"/>
  <c r="C335" i="1"/>
  <c r="C127" i="1"/>
  <c r="C149" i="1"/>
  <c r="C834" i="1"/>
  <c r="C854" i="1"/>
  <c r="E720" i="1"/>
  <c r="AC720" i="1" s="1"/>
  <c r="AF720" i="1"/>
  <c r="X720" i="1" s="1"/>
  <c r="AH720" i="1"/>
  <c r="AK720" i="1" s="1"/>
  <c r="AL720" i="1"/>
  <c r="AM720" i="1" s="1"/>
  <c r="D856" i="1" l="1"/>
  <c r="D151" i="1"/>
  <c r="D129" i="1"/>
  <c r="D337" i="1"/>
  <c r="D265" i="1"/>
  <c r="D60" i="1"/>
  <c r="D34" i="1"/>
  <c r="D18" i="1"/>
  <c r="C19" i="1" s="1"/>
  <c r="D741" i="1"/>
  <c r="D723" i="1"/>
  <c r="D633" i="1"/>
  <c r="D577" i="1"/>
  <c r="D555" i="1"/>
  <c r="D401" i="1"/>
  <c r="D781" i="1"/>
  <c r="D681" i="1"/>
  <c r="D657" i="1"/>
  <c r="D487" i="1"/>
  <c r="D451" i="1"/>
  <c r="C855" i="1"/>
  <c r="C150" i="1"/>
  <c r="C128" i="1"/>
  <c r="C336" i="1"/>
  <c r="C264" i="1"/>
  <c r="C109" i="1"/>
  <c r="C59" i="1"/>
  <c r="C33" i="1"/>
  <c r="C17" i="1"/>
  <c r="C740" i="1"/>
  <c r="C722" i="1"/>
  <c r="C632" i="1"/>
  <c r="C576" i="1"/>
  <c r="C554" i="1"/>
  <c r="C400" i="1"/>
  <c r="C780" i="1"/>
  <c r="C680" i="1"/>
  <c r="C656" i="1"/>
  <c r="C486" i="1"/>
  <c r="C450" i="1"/>
  <c r="AN720" i="1"/>
  <c r="AI720" i="1"/>
  <c r="AG720" i="1"/>
  <c r="AD720" i="1"/>
  <c r="Y720" i="1"/>
  <c r="AA720" i="1"/>
  <c r="Z720" i="1"/>
  <c r="AB720" i="1"/>
  <c r="AF721" i="1"/>
  <c r="AL721" i="1"/>
  <c r="D452" i="1" l="1"/>
  <c r="D658" i="1"/>
  <c r="D682" i="1"/>
  <c r="D402" i="1"/>
  <c r="D556" i="1"/>
  <c r="D578" i="1"/>
  <c r="D634" i="1"/>
  <c r="D724" i="1"/>
  <c r="C725" i="1" s="1"/>
  <c r="D742" i="1"/>
  <c r="D35" i="1"/>
  <c r="D266" i="1"/>
  <c r="D152" i="1"/>
  <c r="D488" i="1"/>
  <c r="D782" i="1"/>
  <c r="D61" i="1"/>
  <c r="D338" i="1"/>
  <c r="D130" i="1"/>
  <c r="D857" i="1"/>
  <c r="C451" i="1"/>
  <c r="C487" i="1"/>
  <c r="C657" i="1"/>
  <c r="C681" i="1"/>
  <c r="C781" i="1"/>
  <c r="C401" i="1"/>
  <c r="C555" i="1"/>
  <c r="C577" i="1"/>
  <c r="C633" i="1"/>
  <c r="C723" i="1"/>
  <c r="C741" i="1"/>
  <c r="C18" i="1"/>
  <c r="C34" i="1"/>
  <c r="C60" i="1"/>
  <c r="C265" i="1"/>
  <c r="C337" i="1"/>
  <c r="C129" i="1"/>
  <c r="C151" i="1"/>
  <c r="C856" i="1"/>
  <c r="X721" i="1"/>
  <c r="Y721" i="1" s="1"/>
  <c r="Z721" i="1" s="1"/>
  <c r="AE721" i="1"/>
  <c r="AM721" i="1"/>
  <c r="AF722" i="1"/>
  <c r="AL722" i="1"/>
  <c r="D858" i="1" l="1"/>
  <c r="D131" i="1"/>
  <c r="D339" i="1"/>
  <c r="D62" i="1"/>
  <c r="D783" i="1"/>
  <c r="D489" i="1"/>
  <c r="D153" i="1"/>
  <c r="D267" i="1"/>
  <c r="D36" i="1"/>
  <c r="D743" i="1"/>
  <c r="D635" i="1"/>
  <c r="D579" i="1"/>
  <c r="D557" i="1"/>
  <c r="D403" i="1"/>
  <c r="D683" i="1"/>
  <c r="D659" i="1"/>
  <c r="D453" i="1"/>
  <c r="C857" i="1"/>
  <c r="C130" i="1"/>
  <c r="C338" i="1"/>
  <c r="C61" i="1"/>
  <c r="C782" i="1"/>
  <c r="C488" i="1"/>
  <c r="C152" i="1"/>
  <c r="C266" i="1"/>
  <c r="C35" i="1"/>
  <c r="C742" i="1"/>
  <c r="C724" i="1"/>
  <c r="C634" i="1"/>
  <c r="C578" i="1"/>
  <c r="C556" i="1"/>
  <c r="C402" i="1"/>
  <c r="C682" i="1"/>
  <c r="C658" i="1"/>
  <c r="C452" i="1"/>
  <c r="X722" i="1"/>
  <c r="AE722" i="1"/>
  <c r="AA721" i="1"/>
  <c r="AB721" i="1" s="1"/>
  <c r="AM722" i="1"/>
  <c r="Y722" i="1"/>
  <c r="Z722" i="1" s="1"/>
  <c r="AF723" i="1"/>
  <c r="D454" i="1" l="1"/>
  <c r="D660" i="1"/>
  <c r="D684" i="1"/>
  <c r="D404" i="1"/>
  <c r="D558" i="1"/>
  <c r="D580" i="1"/>
  <c r="D636" i="1"/>
  <c r="D744" i="1"/>
  <c r="D37" i="1"/>
  <c r="D268" i="1"/>
  <c r="D154" i="1"/>
  <c r="D490" i="1"/>
  <c r="D784" i="1"/>
  <c r="D63" i="1"/>
  <c r="D340" i="1"/>
  <c r="D132" i="1"/>
  <c r="D859" i="1"/>
  <c r="C453" i="1"/>
  <c r="C659" i="1"/>
  <c r="C683" i="1"/>
  <c r="C403" i="1"/>
  <c r="C557" i="1"/>
  <c r="C579" i="1"/>
  <c r="C635" i="1"/>
  <c r="C743" i="1"/>
  <c r="C36" i="1"/>
  <c r="C267" i="1"/>
  <c r="C153" i="1"/>
  <c r="C489" i="1"/>
  <c r="C783" i="1"/>
  <c r="C62" i="1"/>
  <c r="C339" i="1"/>
  <c r="C131" i="1"/>
  <c r="C858" i="1"/>
  <c r="X723" i="1"/>
  <c r="Y723" i="1" s="1"/>
  <c r="Z723" i="1" s="1"/>
  <c r="AA723" i="1" s="1"/>
  <c r="AB723" i="1" s="1"/>
  <c r="AE723" i="1"/>
  <c r="AA722" i="1"/>
  <c r="AB722" i="1" s="1"/>
  <c r="AL723" i="1"/>
  <c r="AF724" i="1"/>
  <c r="X724" i="1" s="1"/>
  <c r="AL724" i="1"/>
  <c r="AM724" i="1" s="1"/>
  <c r="D860" i="1" l="1"/>
  <c r="C860" i="1"/>
  <c r="D133" i="1"/>
  <c r="D341" i="1"/>
  <c r="D64" i="1"/>
  <c r="D785" i="1"/>
  <c r="D491" i="1"/>
  <c r="D155" i="1"/>
  <c r="D269" i="1"/>
  <c r="D38" i="1"/>
  <c r="D745" i="1"/>
  <c r="D637" i="1"/>
  <c r="D581" i="1"/>
  <c r="D559" i="1"/>
  <c r="D405" i="1"/>
  <c r="D685" i="1"/>
  <c r="D661" i="1"/>
  <c r="D455" i="1"/>
  <c r="C859" i="1"/>
  <c r="C132" i="1"/>
  <c r="C340" i="1"/>
  <c r="C63" i="1"/>
  <c r="C784" i="1"/>
  <c r="C490" i="1"/>
  <c r="C154" i="1"/>
  <c r="C268" i="1"/>
  <c r="C37" i="1"/>
  <c r="C744" i="1"/>
  <c r="C636" i="1"/>
  <c r="C580" i="1"/>
  <c r="C558" i="1"/>
  <c r="C404" i="1"/>
  <c r="C684" i="1"/>
  <c r="C660" i="1"/>
  <c r="C454" i="1"/>
  <c r="AM723" i="1"/>
  <c r="Y724" i="1"/>
  <c r="AA724" i="1"/>
  <c r="Z724" i="1"/>
  <c r="AB724" i="1"/>
  <c r="AN724" i="1"/>
  <c r="AF725" i="1"/>
  <c r="AL725" i="1"/>
  <c r="D456" i="1" l="1"/>
  <c r="D662" i="1"/>
  <c r="D686" i="1"/>
  <c r="D406" i="1"/>
  <c r="D560" i="1"/>
  <c r="C561" i="1" s="1"/>
  <c r="D582" i="1"/>
  <c r="D638" i="1"/>
  <c r="D746" i="1"/>
  <c r="D39" i="1"/>
  <c r="D270" i="1"/>
  <c r="D156" i="1"/>
  <c r="D492" i="1"/>
  <c r="D786" i="1"/>
  <c r="D65" i="1"/>
  <c r="D342" i="1"/>
  <c r="D134" i="1"/>
  <c r="C135" i="1" s="1"/>
  <c r="C455" i="1"/>
  <c r="C661" i="1"/>
  <c r="C685" i="1"/>
  <c r="C405" i="1"/>
  <c r="C559" i="1"/>
  <c r="C581" i="1"/>
  <c r="C637" i="1"/>
  <c r="C745" i="1"/>
  <c r="C38" i="1"/>
  <c r="C269" i="1"/>
  <c r="C155" i="1"/>
  <c r="C491" i="1"/>
  <c r="C785" i="1"/>
  <c r="C64" i="1"/>
  <c r="C341" i="1"/>
  <c r="C133" i="1"/>
  <c r="D861" i="1"/>
  <c r="X725" i="1"/>
  <c r="AE725" i="1"/>
  <c r="AM725" i="1" s="1"/>
  <c r="Y725" i="1"/>
  <c r="Z725" i="1" s="1"/>
  <c r="AA725" i="1" s="1"/>
  <c r="AB725" i="1" s="1"/>
  <c r="AF726" i="1"/>
  <c r="AL726" i="1"/>
  <c r="D862" i="1" l="1"/>
  <c r="D343" i="1"/>
  <c r="D66" i="1"/>
  <c r="D787" i="1"/>
  <c r="D493" i="1"/>
  <c r="D157" i="1"/>
  <c r="D271" i="1"/>
  <c r="D40" i="1"/>
  <c r="D747" i="1"/>
  <c r="D639" i="1"/>
  <c r="D583" i="1"/>
  <c r="D407" i="1"/>
  <c r="D687" i="1"/>
  <c r="D663" i="1"/>
  <c r="D457" i="1"/>
  <c r="C861" i="1"/>
  <c r="C134" i="1"/>
  <c r="C342" i="1"/>
  <c r="C65" i="1"/>
  <c r="C786" i="1"/>
  <c r="C492" i="1"/>
  <c r="C156" i="1"/>
  <c r="C270" i="1"/>
  <c r="C39" i="1"/>
  <c r="C746" i="1"/>
  <c r="C638" i="1"/>
  <c r="C582" i="1"/>
  <c r="C560" i="1"/>
  <c r="C406" i="1"/>
  <c r="C686" i="1"/>
  <c r="C662" i="1"/>
  <c r="C456" i="1"/>
  <c r="X726" i="1"/>
  <c r="AE726" i="1"/>
  <c r="Y726" i="1"/>
  <c r="AM726" i="1"/>
  <c r="AF727" i="1"/>
  <c r="AL727" i="1"/>
  <c r="D458" i="1" l="1"/>
  <c r="D664" i="1"/>
  <c r="D688" i="1"/>
  <c r="D408" i="1"/>
  <c r="D584" i="1"/>
  <c r="D640" i="1"/>
  <c r="C641" i="1" s="1"/>
  <c r="D748" i="1"/>
  <c r="D41" i="1"/>
  <c r="D272" i="1"/>
  <c r="D158" i="1"/>
  <c r="D494" i="1"/>
  <c r="D788" i="1"/>
  <c r="D67" i="1"/>
  <c r="D344" i="1"/>
  <c r="D863" i="1"/>
  <c r="C457" i="1"/>
  <c r="C663" i="1"/>
  <c r="C687" i="1"/>
  <c r="C407" i="1"/>
  <c r="C583" i="1"/>
  <c r="C639" i="1"/>
  <c r="C747" i="1"/>
  <c r="C40" i="1"/>
  <c r="C271" i="1"/>
  <c r="C157" i="1"/>
  <c r="C493" i="1"/>
  <c r="C787" i="1"/>
  <c r="C66" i="1"/>
  <c r="C343" i="1"/>
  <c r="C862" i="1"/>
  <c r="X727" i="1"/>
  <c r="AE727" i="1"/>
  <c r="Z726" i="1"/>
  <c r="AA726" i="1" s="1"/>
  <c r="AB726" i="1" s="1"/>
  <c r="AM727" i="1"/>
  <c r="Y727" i="1"/>
  <c r="Z727" i="1" s="1"/>
  <c r="AA727" i="1" s="1"/>
  <c r="AB727" i="1" s="1"/>
  <c r="AF728" i="1"/>
  <c r="AL728" i="1"/>
  <c r="D864" i="1" l="1"/>
  <c r="D345" i="1"/>
  <c r="D68" i="1"/>
  <c r="D789" i="1"/>
  <c r="D495" i="1"/>
  <c r="D159" i="1"/>
  <c r="D273" i="1"/>
  <c r="D42" i="1"/>
  <c r="D749" i="1"/>
  <c r="D585" i="1"/>
  <c r="D409" i="1"/>
  <c r="D689" i="1"/>
  <c r="D665" i="1"/>
  <c r="C666" i="1" s="1"/>
  <c r="D459" i="1"/>
  <c r="C863" i="1"/>
  <c r="C344" i="1"/>
  <c r="C67" i="1"/>
  <c r="C788" i="1"/>
  <c r="C494" i="1"/>
  <c r="C158" i="1"/>
  <c r="C272" i="1"/>
  <c r="C41" i="1"/>
  <c r="C748" i="1"/>
  <c r="C640" i="1"/>
  <c r="C584" i="1"/>
  <c r="C408" i="1"/>
  <c r="C688" i="1"/>
  <c r="C664" i="1"/>
  <c r="C458" i="1"/>
  <c r="X728" i="1"/>
  <c r="Y728" i="1" s="1"/>
  <c r="Z728" i="1" s="1"/>
  <c r="AA728" i="1" s="1"/>
  <c r="AB728" i="1" s="1"/>
  <c r="AE728" i="1"/>
  <c r="AM728" i="1"/>
  <c r="AF729" i="1"/>
  <c r="AL729" i="1"/>
  <c r="D460" i="1" l="1"/>
  <c r="D690" i="1"/>
  <c r="D410" i="1"/>
  <c r="D586" i="1"/>
  <c r="D750" i="1"/>
  <c r="D43" i="1"/>
  <c r="C44" i="1" s="1"/>
  <c r="D274" i="1"/>
  <c r="D160" i="1"/>
  <c r="D496" i="1"/>
  <c r="D790" i="1"/>
  <c r="D69" i="1"/>
  <c r="D346" i="1"/>
  <c r="D865" i="1"/>
  <c r="C459" i="1"/>
  <c r="C665" i="1"/>
  <c r="C689" i="1"/>
  <c r="C409" i="1"/>
  <c r="C585" i="1"/>
  <c r="C749" i="1"/>
  <c r="C42" i="1"/>
  <c r="C273" i="1"/>
  <c r="C159" i="1"/>
  <c r="C495" i="1"/>
  <c r="C789" i="1"/>
  <c r="C68" i="1"/>
  <c r="C345" i="1"/>
  <c r="C864" i="1"/>
  <c r="X729" i="1"/>
  <c r="AE729" i="1"/>
  <c r="AM729" i="1" s="1"/>
  <c r="Y729" i="1"/>
  <c r="Z729" i="1" s="1"/>
  <c r="AA729" i="1" s="1"/>
  <c r="AB729" i="1" s="1"/>
  <c r="AF730" i="1"/>
  <c r="AL730" i="1"/>
  <c r="D866" i="1" l="1"/>
  <c r="D347" i="1"/>
  <c r="D70" i="1"/>
  <c r="D791" i="1"/>
  <c r="D497" i="1"/>
  <c r="D161" i="1"/>
  <c r="D275" i="1"/>
  <c r="D751" i="1"/>
  <c r="D587" i="1"/>
  <c r="D411" i="1"/>
  <c r="D691" i="1"/>
  <c r="D461" i="1"/>
  <c r="C865" i="1"/>
  <c r="C346" i="1"/>
  <c r="C69" i="1"/>
  <c r="C790" i="1"/>
  <c r="C496" i="1"/>
  <c r="C160" i="1"/>
  <c r="C274" i="1"/>
  <c r="C43" i="1"/>
  <c r="C750" i="1"/>
  <c r="C586" i="1"/>
  <c r="C410" i="1"/>
  <c r="C690" i="1"/>
  <c r="C460" i="1"/>
  <c r="X730" i="1"/>
  <c r="Y730" i="1" s="1"/>
  <c r="Z730" i="1" s="1"/>
  <c r="AA730" i="1" s="1"/>
  <c r="AB730" i="1" s="1"/>
  <c r="AE730" i="1"/>
  <c r="AM730" i="1"/>
  <c r="AF731" i="1"/>
  <c r="AL731" i="1"/>
  <c r="D462" i="1" l="1"/>
  <c r="D692" i="1"/>
  <c r="D412" i="1"/>
  <c r="D588" i="1"/>
  <c r="D752" i="1"/>
  <c r="D276" i="1"/>
  <c r="D162" i="1"/>
  <c r="D498" i="1"/>
  <c r="D792" i="1"/>
  <c r="D71" i="1"/>
  <c r="D348" i="1"/>
  <c r="D867" i="1"/>
  <c r="C461" i="1"/>
  <c r="C691" i="1"/>
  <c r="C411" i="1"/>
  <c r="C587" i="1"/>
  <c r="C751" i="1"/>
  <c r="C275" i="1"/>
  <c r="C161" i="1"/>
  <c r="C497" i="1"/>
  <c r="C791" i="1"/>
  <c r="C70" i="1"/>
  <c r="C347" i="1"/>
  <c r="C866" i="1"/>
  <c r="X731" i="1"/>
  <c r="AE731" i="1"/>
  <c r="AM731" i="1"/>
  <c r="Y731" i="1"/>
  <c r="Z731" i="1" s="1"/>
  <c r="AA731" i="1" s="1"/>
  <c r="AB731" i="1" s="1"/>
  <c r="AF732" i="1"/>
  <c r="AL732" i="1"/>
  <c r="D868" i="1" l="1"/>
  <c r="C868" i="1"/>
  <c r="D349" i="1"/>
  <c r="D72" i="1"/>
  <c r="D793" i="1"/>
  <c r="D499" i="1"/>
  <c r="D163" i="1"/>
  <c r="D277" i="1"/>
  <c r="D753" i="1"/>
  <c r="D589" i="1"/>
  <c r="D413" i="1"/>
  <c r="D693" i="1"/>
  <c r="D463" i="1"/>
  <c r="C867" i="1"/>
  <c r="C348" i="1"/>
  <c r="C71" i="1"/>
  <c r="C792" i="1"/>
  <c r="C498" i="1"/>
  <c r="C162" i="1"/>
  <c r="C276" i="1"/>
  <c r="C752" i="1"/>
  <c r="C588" i="1"/>
  <c r="C412" i="1"/>
  <c r="C692" i="1"/>
  <c r="C462" i="1"/>
  <c r="X732" i="1"/>
  <c r="AE732" i="1"/>
  <c r="AM732" i="1" s="1"/>
  <c r="Y732" i="1"/>
  <c r="Z732" i="1" s="1"/>
  <c r="AA732" i="1" s="1"/>
  <c r="AB732" i="1" s="1"/>
  <c r="AF733" i="1"/>
  <c r="AL733" i="1"/>
  <c r="D464" i="1" l="1"/>
  <c r="D694" i="1"/>
  <c r="D414" i="1"/>
  <c r="D590" i="1"/>
  <c r="D754" i="1"/>
  <c r="D278" i="1"/>
  <c r="D164" i="1"/>
  <c r="D500" i="1"/>
  <c r="D794" i="1"/>
  <c r="D73" i="1"/>
  <c r="D350" i="1"/>
  <c r="C463" i="1"/>
  <c r="C693" i="1"/>
  <c r="C413" i="1"/>
  <c r="C589" i="1"/>
  <c r="C753" i="1"/>
  <c r="C277" i="1"/>
  <c r="C163" i="1"/>
  <c r="C499" i="1"/>
  <c r="C793" i="1"/>
  <c r="C72" i="1"/>
  <c r="C349" i="1"/>
  <c r="D869" i="1"/>
  <c r="C869" i="1" s="1"/>
  <c r="X733" i="1"/>
  <c r="Y733" i="1" s="1"/>
  <c r="Z733" i="1" s="1"/>
  <c r="AE733" i="1"/>
  <c r="AM733" i="1"/>
  <c r="AF734" i="1"/>
  <c r="AL734" i="1"/>
  <c r="D351" i="1" l="1"/>
  <c r="D74" i="1"/>
  <c r="D795" i="1"/>
  <c r="D501" i="1"/>
  <c r="D165" i="1"/>
  <c r="D279" i="1"/>
  <c r="D755" i="1"/>
  <c r="D591" i="1"/>
  <c r="D415" i="1"/>
  <c r="D695" i="1"/>
  <c r="D465" i="1"/>
  <c r="D870" i="1"/>
  <c r="C350" i="1"/>
  <c r="C73" i="1"/>
  <c r="C794" i="1"/>
  <c r="C500" i="1"/>
  <c r="C164" i="1"/>
  <c r="C278" i="1"/>
  <c r="C754" i="1"/>
  <c r="C590" i="1"/>
  <c r="C414" i="1"/>
  <c r="C694" i="1"/>
  <c r="C464" i="1"/>
  <c r="X734" i="1"/>
  <c r="AE734" i="1"/>
  <c r="AM734" i="1"/>
  <c r="AA733" i="1"/>
  <c r="AB733" i="1" s="1"/>
  <c r="Y734" i="1"/>
  <c r="AF735" i="1"/>
  <c r="AL735" i="1"/>
  <c r="D871" i="1" l="1"/>
  <c r="D466" i="1"/>
  <c r="D696" i="1"/>
  <c r="D416" i="1"/>
  <c r="D592" i="1"/>
  <c r="D756" i="1"/>
  <c r="D280" i="1"/>
  <c r="D166" i="1"/>
  <c r="D502" i="1"/>
  <c r="D796" i="1"/>
  <c r="D75" i="1"/>
  <c r="D352" i="1"/>
  <c r="C870" i="1"/>
  <c r="C465" i="1"/>
  <c r="C695" i="1"/>
  <c r="C415" i="1"/>
  <c r="C591" i="1"/>
  <c r="C755" i="1"/>
  <c r="C279" i="1"/>
  <c r="C165" i="1"/>
  <c r="C501" i="1"/>
  <c r="C795" i="1"/>
  <c r="C74" i="1"/>
  <c r="C351" i="1"/>
  <c r="X735" i="1"/>
  <c r="AE735" i="1"/>
  <c r="Z734" i="1"/>
  <c r="AA734" i="1" s="1"/>
  <c r="AB734" i="1" s="1"/>
  <c r="AM735" i="1"/>
  <c r="Y735" i="1"/>
  <c r="Z735" i="1" s="1"/>
  <c r="AF736" i="1"/>
  <c r="AL736" i="1"/>
  <c r="D353" i="1" l="1"/>
  <c r="D76" i="1"/>
  <c r="D797" i="1"/>
  <c r="D503" i="1"/>
  <c r="D167" i="1"/>
  <c r="D281" i="1"/>
  <c r="D757" i="1"/>
  <c r="D593" i="1"/>
  <c r="D417" i="1"/>
  <c r="D697" i="1"/>
  <c r="D467" i="1"/>
  <c r="D872" i="1"/>
  <c r="C352" i="1"/>
  <c r="C75" i="1"/>
  <c r="C796" i="1"/>
  <c r="C502" i="1"/>
  <c r="C166" i="1"/>
  <c r="C280" i="1"/>
  <c r="C756" i="1"/>
  <c r="C592" i="1"/>
  <c r="C416" i="1"/>
  <c r="C696" i="1"/>
  <c r="C466" i="1"/>
  <c r="C871" i="1"/>
  <c r="X736" i="1"/>
  <c r="AE736" i="1"/>
  <c r="AA735" i="1"/>
  <c r="AB735" i="1" s="1"/>
  <c r="AM736" i="1"/>
  <c r="Y736" i="1"/>
  <c r="AF737" i="1"/>
  <c r="AL737" i="1"/>
  <c r="D873" i="1" l="1"/>
  <c r="D468" i="1"/>
  <c r="D698" i="1"/>
  <c r="D418" i="1"/>
  <c r="D594" i="1"/>
  <c r="D758" i="1"/>
  <c r="D282" i="1"/>
  <c r="D168" i="1"/>
  <c r="D504" i="1"/>
  <c r="D798" i="1"/>
  <c r="D77" i="1"/>
  <c r="D354" i="1"/>
  <c r="C872" i="1"/>
  <c r="C467" i="1"/>
  <c r="C697" i="1"/>
  <c r="C417" i="1"/>
  <c r="C593" i="1"/>
  <c r="C757" i="1"/>
  <c r="C281" i="1"/>
  <c r="C167" i="1"/>
  <c r="C503" i="1"/>
  <c r="C797" i="1"/>
  <c r="C76" i="1"/>
  <c r="C353" i="1"/>
  <c r="X737" i="1"/>
  <c r="AE737" i="1"/>
  <c r="AM737" i="1" s="1"/>
  <c r="Z736" i="1"/>
  <c r="AA736" i="1" s="1"/>
  <c r="AB736" i="1" s="1"/>
  <c r="Y737" i="1"/>
  <c r="Z737" i="1" s="1"/>
  <c r="AF738" i="1"/>
  <c r="AL738" i="1"/>
  <c r="D355" i="1" l="1"/>
  <c r="D78" i="1"/>
  <c r="D799" i="1"/>
  <c r="D505" i="1"/>
  <c r="D169" i="1"/>
  <c r="D283" i="1"/>
  <c r="D759" i="1"/>
  <c r="D595" i="1"/>
  <c r="D419" i="1"/>
  <c r="D699" i="1"/>
  <c r="D469" i="1"/>
  <c r="D874" i="1"/>
  <c r="C354" i="1"/>
  <c r="C77" i="1"/>
  <c r="C798" i="1"/>
  <c r="C504" i="1"/>
  <c r="C168" i="1"/>
  <c r="C282" i="1"/>
  <c r="C758" i="1"/>
  <c r="C594" i="1"/>
  <c r="C418" i="1"/>
  <c r="C698" i="1"/>
  <c r="C468" i="1"/>
  <c r="C873" i="1"/>
  <c r="X738" i="1"/>
  <c r="AE738" i="1"/>
  <c r="AA737" i="1"/>
  <c r="AB737" i="1" s="1"/>
  <c r="AM738" i="1"/>
  <c r="Y738" i="1"/>
  <c r="Z738" i="1" s="1"/>
  <c r="E739" i="1"/>
  <c r="AC739" i="1" s="1"/>
  <c r="AF739" i="1"/>
  <c r="X739" i="1" s="1"/>
  <c r="AH739" i="1"/>
  <c r="AK739" i="1" s="1"/>
  <c r="AL739" i="1"/>
  <c r="AM739" i="1" s="1"/>
  <c r="D875" i="1" l="1"/>
  <c r="D470" i="1"/>
  <c r="D700" i="1"/>
  <c r="D420" i="1"/>
  <c r="D596" i="1"/>
  <c r="D760" i="1"/>
  <c r="D284" i="1"/>
  <c r="D170" i="1"/>
  <c r="D506" i="1"/>
  <c r="D800" i="1"/>
  <c r="D79" i="1"/>
  <c r="D356" i="1"/>
  <c r="C874" i="1"/>
  <c r="C469" i="1"/>
  <c r="C699" i="1"/>
  <c r="C419" i="1"/>
  <c r="C595" i="1"/>
  <c r="C759" i="1"/>
  <c r="C283" i="1"/>
  <c r="C169" i="1"/>
  <c r="C505" i="1"/>
  <c r="C799" i="1"/>
  <c r="C78" i="1"/>
  <c r="C355" i="1"/>
  <c r="AA738" i="1"/>
  <c r="AB738" i="1" s="1"/>
  <c r="AN739" i="1"/>
  <c r="AD739" i="1"/>
  <c r="AI739" i="1"/>
  <c r="AG739" i="1"/>
  <c r="Y739" i="1"/>
  <c r="AA739" i="1"/>
  <c r="Z739" i="1"/>
  <c r="AB739" i="1"/>
  <c r="AF771" i="1"/>
  <c r="AL771" i="1"/>
  <c r="D357" i="1" l="1"/>
  <c r="D80" i="1"/>
  <c r="D801" i="1"/>
  <c r="D507" i="1"/>
  <c r="D171" i="1"/>
  <c r="D285" i="1"/>
  <c r="D761" i="1"/>
  <c r="D597" i="1"/>
  <c r="D421" i="1"/>
  <c r="D701" i="1"/>
  <c r="D471" i="1"/>
  <c r="C472" i="1" s="1"/>
  <c r="D876" i="1"/>
  <c r="C876" i="1" s="1"/>
  <c r="C356" i="1"/>
  <c r="C79" i="1"/>
  <c r="C800" i="1"/>
  <c r="C506" i="1"/>
  <c r="C170" i="1"/>
  <c r="C284" i="1"/>
  <c r="C760" i="1"/>
  <c r="C596" i="1"/>
  <c r="C420" i="1"/>
  <c r="C700" i="1"/>
  <c r="C470" i="1"/>
  <c r="C875" i="1"/>
  <c r="X771" i="1"/>
  <c r="AE771" i="1"/>
  <c r="AM771" i="1" s="1"/>
  <c r="Y771" i="1"/>
  <c r="AA771" i="1"/>
  <c r="Z771" i="1"/>
  <c r="AB771" i="1"/>
  <c r="E772" i="1"/>
  <c r="AC772" i="1" s="1"/>
  <c r="AF772" i="1"/>
  <c r="X772" i="1" s="1"/>
  <c r="AH772" i="1"/>
  <c r="AK772" i="1" s="1"/>
  <c r="AL772" i="1"/>
  <c r="AM772" i="1" s="1"/>
  <c r="D702" i="1" l="1"/>
  <c r="D422" i="1"/>
  <c r="D598" i="1"/>
  <c r="D762" i="1"/>
  <c r="D286" i="1"/>
  <c r="D172" i="1"/>
  <c r="D508" i="1"/>
  <c r="D802" i="1"/>
  <c r="D81" i="1"/>
  <c r="C82" i="1" s="1"/>
  <c r="D358" i="1"/>
  <c r="D877" i="1"/>
  <c r="C471" i="1"/>
  <c r="C701" i="1"/>
  <c r="C421" i="1"/>
  <c r="C597" i="1"/>
  <c r="C761" i="1"/>
  <c r="C285" i="1"/>
  <c r="C171" i="1"/>
  <c r="C507" i="1"/>
  <c r="C801" i="1"/>
  <c r="C80" i="1"/>
  <c r="C357" i="1"/>
  <c r="AN772" i="1"/>
  <c r="AD772" i="1"/>
  <c r="AI772" i="1"/>
  <c r="AG772" i="1"/>
  <c r="Y772" i="1"/>
  <c r="AA772" i="1"/>
  <c r="Z772" i="1"/>
  <c r="AB772" i="1"/>
  <c r="AF773" i="1"/>
  <c r="AL773" i="1"/>
  <c r="D878" i="1" l="1"/>
  <c r="D359" i="1"/>
  <c r="D803" i="1"/>
  <c r="D509" i="1"/>
  <c r="D173" i="1"/>
  <c r="D287" i="1"/>
  <c r="D763" i="1"/>
  <c r="D599" i="1"/>
  <c r="D423" i="1"/>
  <c r="D703" i="1"/>
  <c r="C877" i="1"/>
  <c r="C358" i="1"/>
  <c r="C81" i="1"/>
  <c r="C802" i="1"/>
  <c r="C508" i="1"/>
  <c r="C172" i="1"/>
  <c r="C286" i="1"/>
  <c r="C762" i="1"/>
  <c r="C598" i="1"/>
  <c r="C422" i="1"/>
  <c r="C702" i="1"/>
  <c r="X773" i="1"/>
  <c r="Y773" i="1" s="1"/>
  <c r="Z773" i="1" s="1"/>
  <c r="AE773" i="1"/>
  <c r="AM773" i="1"/>
  <c r="E774" i="1"/>
  <c r="AC774" i="1" s="1"/>
  <c r="AF774" i="1"/>
  <c r="X774" i="1" s="1"/>
  <c r="AH774" i="1"/>
  <c r="AK774" i="1" s="1"/>
  <c r="AL774" i="1"/>
  <c r="AM774" i="1" s="1"/>
  <c r="D704" i="1" l="1"/>
  <c r="D424" i="1"/>
  <c r="D600" i="1"/>
  <c r="D764" i="1"/>
  <c r="C765" i="1" s="1"/>
  <c r="D288" i="1"/>
  <c r="D174" i="1"/>
  <c r="D510" i="1"/>
  <c r="D804" i="1"/>
  <c r="D360" i="1"/>
  <c r="D879" i="1"/>
  <c r="C703" i="1"/>
  <c r="C423" i="1"/>
  <c r="C599" i="1"/>
  <c r="C763" i="1"/>
  <c r="C287" i="1"/>
  <c r="C173" i="1"/>
  <c r="C509" i="1"/>
  <c r="C803" i="1"/>
  <c r="C359" i="1"/>
  <c r="C878" i="1"/>
  <c r="AA773" i="1"/>
  <c r="AB773" i="1" s="1"/>
  <c r="AN774" i="1"/>
  <c r="AD774" i="1"/>
  <c r="AI774" i="1"/>
  <c r="AG774" i="1"/>
  <c r="Y774" i="1"/>
  <c r="AA774" i="1"/>
  <c r="Z774" i="1"/>
  <c r="AB774" i="1"/>
  <c r="AF775" i="1"/>
  <c r="AL775" i="1"/>
  <c r="D880" i="1" l="1"/>
  <c r="D361" i="1"/>
  <c r="D805" i="1"/>
  <c r="D511" i="1"/>
  <c r="D175" i="1"/>
  <c r="D289" i="1"/>
  <c r="D601" i="1"/>
  <c r="D425" i="1"/>
  <c r="D705" i="1"/>
  <c r="C706" i="1" s="1"/>
  <c r="C879" i="1"/>
  <c r="C360" i="1"/>
  <c r="C804" i="1"/>
  <c r="C510" i="1"/>
  <c r="C174" i="1"/>
  <c r="C288" i="1"/>
  <c r="C764" i="1"/>
  <c r="C600" i="1"/>
  <c r="C424" i="1"/>
  <c r="C704" i="1"/>
  <c r="X775" i="1"/>
  <c r="AE775" i="1"/>
  <c r="AM775" i="1" s="1"/>
  <c r="Y775" i="1"/>
  <c r="Z775" i="1" s="1"/>
  <c r="AF776" i="1"/>
  <c r="AL776" i="1"/>
  <c r="D426" i="1" l="1"/>
  <c r="D602" i="1"/>
  <c r="D290" i="1"/>
  <c r="D176" i="1"/>
  <c r="D512" i="1"/>
  <c r="D806" i="1"/>
  <c r="D362" i="1"/>
  <c r="D881" i="1"/>
  <c r="C705" i="1"/>
  <c r="C425" i="1"/>
  <c r="C601" i="1"/>
  <c r="C289" i="1"/>
  <c r="C175" i="1"/>
  <c r="C511" i="1"/>
  <c r="C805" i="1"/>
  <c r="C361" i="1"/>
  <c r="C880" i="1"/>
  <c r="X776" i="1"/>
  <c r="AE776" i="1"/>
  <c r="AM776" i="1"/>
  <c r="AA775" i="1"/>
  <c r="AB775" i="1" s="1"/>
  <c r="Y776" i="1"/>
  <c r="AF777" i="1"/>
  <c r="AL777" i="1"/>
  <c r="D882" i="1" l="1"/>
  <c r="D363" i="1"/>
  <c r="D807" i="1"/>
  <c r="D513" i="1"/>
  <c r="D177" i="1"/>
  <c r="D291" i="1"/>
  <c r="D603" i="1"/>
  <c r="D427" i="1"/>
  <c r="C881" i="1"/>
  <c r="C362" i="1"/>
  <c r="C806" i="1"/>
  <c r="C512" i="1"/>
  <c r="C176" i="1"/>
  <c r="C290" i="1"/>
  <c r="C602" i="1"/>
  <c r="C426" i="1"/>
  <c r="X777" i="1"/>
  <c r="AE777" i="1"/>
  <c r="AM777" i="1" s="1"/>
  <c r="Z776" i="1"/>
  <c r="AA776" i="1" s="1"/>
  <c r="AB776" i="1" s="1"/>
  <c r="Y777" i="1"/>
  <c r="Z777" i="1" s="1"/>
  <c r="AF778" i="1"/>
  <c r="AL778" i="1"/>
  <c r="D428" i="1" l="1"/>
  <c r="D604" i="1"/>
  <c r="D292" i="1"/>
  <c r="D178" i="1"/>
  <c r="D514" i="1"/>
  <c r="D808" i="1"/>
  <c r="D364" i="1"/>
  <c r="D883" i="1"/>
  <c r="C427" i="1"/>
  <c r="C603" i="1"/>
  <c r="C291" i="1"/>
  <c r="C177" i="1"/>
  <c r="C513" i="1"/>
  <c r="C807" i="1"/>
  <c r="C363" i="1"/>
  <c r="C882" i="1"/>
  <c r="X778" i="1"/>
  <c r="AE778" i="1"/>
  <c r="AM778" i="1" s="1"/>
  <c r="AA777" i="1"/>
  <c r="AB777" i="1" s="1"/>
  <c r="Y778" i="1"/>
  <c r="AF779" i="1"/>
  <c r="AL779" i="1"/>
  <c r="D884" i="1" l="1"/>
  <c r="C884" i="1"/>
  <c r="D365" i="1"/>
  <c r="D809" i="1"/>
  <c r="C809" i="1"/>
  <c r="D515" i="1"/>
  <c r="D179" i="1"/>
  <c r="D293" i="1"/>
  <c r="D605" i="1"/>
  <c r="D429" i="1"/>
  <c r="C883" i="1"/>
  <c r="C364" i="1"/>
  <c r="C808" i="1"/>
  <c r="C514" i="1"/>
  <c r="C178" i="1"/>
  <c r="C292" i="1"/>
  <c r="C604" i="1"/>
  <c r="C428" i="1"/>
  <c r="X779" i="1"/>
  <c r="AE779" i="1"/>
  <c r="AM779" i="1" s="1"/>
  <c r="Z778" i="1"/>
  <c r="AA778" i="1" s="1"/>
  <c r="AB778" i="1" s="1"/>
  <c r="Y779" i="1"/>
  <c r="Z779" i="1" s="1"/>
  <c r="AF780" i="1"/>
  <c r="AL780" i="1"/>
  <c r="D430" i="1" l="1"/>
  <c r="D606" i="1"/>
  <c r="D294" i="1"/>
  <c r="D180" i="1"/>
  <c r="D516" i="1"/>
  <c r="D366" i="1"/>
  <c r="C429" i="1"/>
  <c r="C605" i="1"/>
  <c r="C293" i="1"/>
  <c r="C179" i="1"/>
  <c r="C515" i="1"/>
  <c r="D810" i="1"/>
  <c r="C365" i="1"/>
  <c r="D885" i="1"/>
  <c r="X780" i="1"/>
  <c r="AE780" i="1"/>
  <c r="AM780" i="1" s="1"/>
  <c r="AA779" i="1"/>
  <c r="AB779" i="1" s="1"/>
  <c r="Y780" i="1"/>
  <c r="E781" i="1"/>
  <c r="AC781" i="1" s="1"/>
  <c r="AF781" i="1"/>
  <c r="X781" i="1" s="1"/>
  <c r="AH781" i="1"/>
  <c r="AK781" i="1" s="1"/>
  <c r="AL781" i="1"/>
  <c r="AM781" i="1" s="1"/>
  <c r="D886" i="1" l="1"/>
  <c r="D811" i="1"/>
  <c r="D367" i="1"/>
  <c r="D517" i="1"/>
  <c r="D181" i="1"/>
  <c r="D295" i="1"/>
  <c r="D607" i="1"/>
  <c r="D431" i="1"/>
  <c r="C885" i="1"/>
  <c r="C810" i="1"/>
  <c r="C366" i="1"/>
  <c r="C516" i="1"/>
  <c r="C180" i="1"/>
  <c r="C294" i="1"/>
  <c r="C606" i="1"/>
  <c r="C430" i="1"/>
  <c r="Z780" i="1"/>
  <c r="AA780" i="1" s="1"/>
  <c r="AB780" i="1" s="1"/>
  <c r="AN781" i="1"/>
  <c r="AD781" i="1"/>
  <c r="AI781" i="1"/>
  <c r="AG781" i="1"/>
  <c r="Y781" i="1"/>
  <c r="AA781" i="1"/>
  <c r="Z781" i="1"/>
  <c r="AB781" i="1"/>
  <c r="AF782" i="1"/>
  <c r="AL782" i="1"/>
  <c r="D432" i="1" l="1"/>
  <c r="D608" i="1"/>
  <c r="D296" i="1"/>
  <c r="D182" i="1"/>
  <c r="D518" i="1"/>
  <c r="D368" i="1"/>
  <c r="D812" i="1"/>
  <c r="D887" i="1"/>
  <c r="C431" i="1"/>
  <c r="C607" i="1"/>
  <c r="C295" i="1"/>
  <c r="C181" i="1"/>
  <c r="C517" i="1"/>
  <c r="C367" i="1"/>
  <c r="C811" i="1"/>
  <c r="C886" i="1"/>
  <c r="X782" i="1"/>
  <c r="AE782" i="1"/>
  <c r="AM782" i="1" s="1"/>
  <c r="Y782" i="1"/>
  <c r="Z782" i="1" s="1"/>
  <c r="AF783" i="1"/>
  <c r="AL783" i="1"/>
  <c r="D888" i="1" l="1"/>
  <c r="D813" i="1"/>
  <c r="D369" i="1"/>
  <c r="D519" i="1"/>
  <c r="D183" i="1"/>
  <c r="D297" i="1"/>
  <c r="D609" i="1"/>
  <c r="D433" i="1"/>
  <c r="C887" i="1"/>
  <c r="C812" i="1"/>
  <c r="C368" i="1"/>
  <c r="C518" i="1"/>
  <c r="C182" i="1"/>
  <c r="C296" i="1"/>
  <c r="C608" i="1"/>
  <c r="C432" i="1"/>
  <c r="X783" i="1"/>
  <c r="AE783" i="1"/>
  <c r="AM783" i="1" s="1"/>
  <c r="AA782" i="1"/>
  <c r="AB782" i="1" s="1"/>
  <c r="Y783" i="1"/>
  <c r="Z783" i="1" s="1"/>
  <c r="AF784" i="1"/>
  <c r="AL784" i="1"/>
  <c r="D434" i="1" l="1"/>
  <c r="D610" i="1"/>
  <c r="D298" i="1"/>
  <c r="D184" i="1"/>
  <c r="D520" i="1"/>
  <c r="D370" i="1"/>
  <c r="D814" i="1"/>
  <c r="D889" i="1"/>
  <c r="C433" i="1"/>
  <c r="C609" i="1"/>
  <c r="C297" i="1"/>
  <c r="C183" i="1"/>
  <c r="C519" i="1"/>
  <c r="C369" i="1"/>
  <c r="C813" i="1"/>
  <c r="C888" i="1"/>
  <c r="X784" i="1"/>
  <c r="AE784" i="1"/>
  <c r="AM784" i="1" s="1"/>
  <c r="AA783" i="1"/>
  <c r="AB783" i="1" s="1"/>
  <c r="Y784" i="1"/>
  <c r="Z784" i="1" s="1"/>
  <c r="AF785" i="1"/>
  <c r="AL785" i="1"/>
  <c r="D890" i="1" l="1"/>
  <c r="D815" i="1"/>
  <c r="C815" i="1"/>
  <c r="D371" i="1"/>
  <c r="D521" i="1"/>
  <c r="D185" i="1"/>
  <c r="D299" i="1"/>
  <c r="D611" i="1"/>
  <c r="D435" i="1"/>
  <c r="C436" i="1" s="1"/>
  <c r="C889" i="1"/>
  <c r="C814" i="1"/>
  <c r="C370" i="1"/>
  <c r="C520" i="1"/>
  <c r="C184" i="1"/>
  <c r="C298" i="1"/>
  <c r="C610" i="1"/>
  <c r="C434" i="1"/>
  <c r="X785" i="1"/>
  <c r="AE785" i="1"/>
  <c r="AM785" i="1" s="1"/>
  <c r="AA784" i="1"/>
  <c r="AB784" i="1" s="1"/>
  <c r="Y785" i="1"/>
  <c r="Z785" i="1" s="1"/>
  <c r="AF786" i="1"/>
  <c r="AL786" i="1"/>
  <c r="D612" i="1" l="1"/>
  <c r="D300" i="1"/>
  <c r="D186" i="1"/>
  <c r="D522" i="1"/>
  <c r="D372" i="1"/>
  <c r="D891" i="1"/>
  <c r="C435" i="1"/>
  <c r="C611" i="1"/>
  <c r="C299" i="1"/>
  <c r="C185" i="1"/>
  <c r="C521" i="1"/>
  <c r="C371" i="1"/>
  <c r="D816" i="1"/>
  <c r="C817" i="1" s="1"/>
  <c r="C890" i="1"/>
  <c r="X786" i="1"/>
  <c r="AE786" i="1"/>
  <c r="AM786" i="1"/>
  <c r="AA785" i="1"/>
  <c r="AB785" i="1" s="1"/>
  <c r="Y786" i="1"/>
  <c r="Z786" i="1" s="1"/>
  <c r="AA786" i="1" s="1"/>
  <c r="AB786" i="1" s="1"/>
  <c r="AF787" i="1"/>
  <c r="AL787" i="1"/>
  <c r="D892" i="1" l="1"/>
  <c r="C892" i="1"/>
  <c r="D373" i="1"/>
  <c r="D523" i="1"/>
  <c r="D187" i="1"/>
  <c r="D301" i="1"/>
  <c r="D613" i="1"/>
  <c r="C816" i="1"/>
  <c r="C891" i="1"/>
  <c r="C372" i="1"/>
  <c r="C522" i="1"/>
  <c r="C186" i="1"/>
  <c r="C300" i="1"/>
  <c r="C612" i="1"/>
  <c r="X787" i="1"/>
  <c r="Y787" i="1" s="1"/>
  <c r="Z787" i="1" s="1"/>
  <c r="AE787" i="1"/>
  <c r="AM787" i="1"/>
  <c r="AF788" i="1"/>
  <c r="AL788" i="1"/>
  <c r="D614" i="1" l="1"/>
  <c r="D302" i="1"/>
  <c r="D188" i="1"/>
  <c r="D524" i="1"/>
  <c r="D374" i="1"/>
  <c r="C613" i="1"/>
  <c r="C301" i="1"/>
  <c r="C187" i="1"/>
  <c r="C523" i="1"/>
  <c r="C373" i="1"/>
  <c r="D893" i="1"/>
  <c r="C893" i="1" s="1"/>
  <c r="X788" i="1"/>
  <c r="AE788" i="1"/>
  <c r="AM788" i="1"/>
  <c r="AA787" i="1"/>
  <c r="AB787" i="1" s="1"/>
  <c r="Y788" i="1"/>
  <c r="AF789" i="1"/>
  <c r="AL789" i="1"/>
  <c r="D375" i="1" l="1"/>
  <c r="D525" i="1"/>
  <c r="D189" i="1"/>
  <c r="D303" i="1"/>
  <c r="D615" i="1"/>
  <c r="D894" i="1"/>
  <c r="C374" i="1"/>
  <c r="C524" i="1"/>
  <c r="C188" i="1"/>
  <c r="C302" i="1"/>
  <c r="C614" i="1"/>
  <c r="X789" i="1"/>
  <c r="AE789" i="1"/>
  <c r="AM789" i="1"/>
  <c r="Z788" i="1"/>
  <c r="AA788" i="1" s="1"/>
  <c r="AB788" i="1" s="1"/>
  <c r="Y789" i="1"/>
  <c r="AF790" i="1"/>
  <c r="AL790" i="1"/>
  <c r="D895" i="1" l="1"/>
  <c r="D616" i="1"/>
  <c r="D304" i="1"/>
  <c r="D190" i="1"/>
  <c r="D526" i="1"/>
  <c r="D376" i="1"/>
  <c r="C894" i="1"/>
  <c r="C615" i="1"/>
  <c r="C303" i="1"/>
  <c r="C189" i="1"/>
  <c r="C525" i="1"/>
  <c r="C375" i="1"/>
  <c r="X790" i="1"/>
  <c r="AE790" i="1"/>
  <c r="Z789" i="1"/>
  <c r="AA789" i="1" s="1"/>
  <c r="AB789" i="1" s="1"/>
  <c r="AM790" i="1"/>
  <c r="Y790" i="1"/>
  <c r="Z790" i="1" s="1"/>
  <c r="AA790" i="1" s="1"/>
  <c r="AB790" i="1" s="1"/>
  <c r="AF791" i="1"/>
  <c r="AL791" i="1"/>
  <c r="D377" i="1" l="1"/>
  <c r="D527" i="1"/>
  <c r="D191" i="1"/>
  <c r="D305" i="1"/>
  <c r="D617" i="1"/>
  <c r="C618" i="1" s="1"/>
  <c r="D896" i="1"/>
  <c r="C376" i="1"/>
  <c r="C526" i="1"/>
  <c r="C190" i="1"/>
  <c r="C304" i="1"/>
  <c r="C616" i="1"/>
  <c r="C895" i="1"/>
  <c r="X791" i="1"/>
  <c r="AE791" i="1"/>
  <c r="AM791" i="1" s="1"/>
  <c r="Y791" i="1"/>
  <c r="Z791" i="1" s="1"/>
  <c r="AA791" i="1" s="1"/>
  <c r="AB791" i="1" s="1"/>
  <c r="E792" i="1"/>
  <c r="AD792" i="1" s="1"/>
  <c r="AF792" i="1"/>
  <c r="X792" i="1" s="1"/>
  <c r="AH792" i="1"/>
  <c r="AK792" i="1" s="1"/>
  <c r="AL792" i="1"/>
  <c r="AM792" i="1" s="1"/>
  <c r="D897" i="1" l="1"/>
  <c r="D306" i="1"/>
  <c r="D192" i="1"/>
  <c r="D528" i="1"/>
  <c r="D378" i="1"/>
  <c r="C896" i="1"/>
  <c r="C617" i="1"/>
  <c r="C305" i="1"/>
  <c r="C191" i="1"/>
  <c r="C527" i="1"/>
  <c r="C377" i="1"/>
  <c r="AN792" i="1"/>
  <c r="AI792" i="1"/>
  <c r="AG792" i="1"/>
  <c r="AC792" i="1"/>
  <c r="Z792" i="1"/>
  <c r="AB792" i="1"/>
  <c r="Y792" i="1"/>
  <c r="AA792" i="1"/>
  <c r="AF793" i="1"/>
  <c r="AL793" i="1"/>
  <c r="D379" i="1" l="1"/>
  <c r="D529" i="1"/>
  <c r="D193" i="1"/>
  <c r="D307" i="1"/>
  <c r="D898" i="1"/>
  <c r="C378" i="1"/>
  <c r="C528" i="1"/>
  <c r="C192" i="1"/>
  <c r="C306" i="1"/>
  <c r="C897" i="1"/>
  <c r="X793" i="1"/>
  <c r="Y793" i="1" s="1"/>
  <c r="AE793" i="1"/>
  <c r="AM793" i="1"/>
  <c r="E794" i="1"/>
  <c r="AD794" i="1" s="1"/>
  <c r="AF794" i="1"/>
  <c r="X794" i="1" s="1"/>
  <c r="AH794" i="1"/>
  <c r="AK794" i="1" s="1"/>
  <c r="AL794" i="1"/>
  <c r="AM794" i="1" s="1"/>
  <c r="D899" i="1" l="1"/>
  <c r="D308" i="1"/>
  <c r="D194" i="1"/>
  <c r="D530" i="1"/>
  <c r="D380" i="1"/>
  <c r="C898" i="1"/>
  <c r="C307" i="1"/>
  <c r="C193" i="1"/>
  <c r="C529" i="1"/>
  <c r="C379" i="1"/>
  <c r="Z793" i="1"/>
  <c r="AA793" i="1" s="1"/>
  <c r="AB793" i="1" s="1"/>
  <c r="AI794" i="1"/>
  <c r="AG794" i="1"/>
  <c r="AC794" i="1"/>
  <c r="Z794" i="1"/>
  <c r="AB794" i="1"/>
  <c r="Y794" i="1"/>
  <c r="AA794" i="1"/>
  <c r="AN794" i="1"/>
  <c r="AF795" i="1"/>
  <c r="AL795" i="1"/>
  <c r="D381" i="1" l="1"/>
  <c r="D531" i="1"/>
  <c r="D195" i="1"/>
  <c r="D309" i="1"/>
  <c r="D900" i="1"/>
  <c r="C900" i="1"/>
  <c r="C380" i="1"/>
  <c r="C530" i="1"/>
  <c r="C194" i="1"/>
  <c r="C308" i="1"/>
  <c r="C899" i="1"/>
  <c r="X795" i="1"/>
  <c r="Y795" i="1" s="1"/>
  <c r="AE795" i="1"/>
  <c r="AM795" i="1"/>
  <c r="AF796" i="1"/>
  <c r="AL796" i="1"/>
  <c r="D310" i="1" l="1"/>
  <c r="D196" i="1"/>
  <c r="D532" i="1"/>
  <c r="D382" i="1"/>
  <c r="D901" i="1"/>
  <c r="C309" i="1"/>
  <c r="C195" i="1"/>
  <c r="C531" i="1"/>
  <c r="C381" i="1"/>
  <c r="X796" i="1"/>
  <c r="AE796" i="1"/>
  <c r="AM796" i="1" s="1"/>
  <c r="Z795" i="1"/>
  <c r="AA795" i="1" s="1"/>
  <c r="AB795" i="1" s="1"/>
  <c r="Y796" i="1"/>
  <c r="AF797" i="1"/>
  <c r="AL797" i="1"/>
  <c r="D902" i="1" l="1"/>
  <c r="D383" i="1"/>
  <c r="D533" i="1"/>
  <c r="D197" i="1"/>
  <c r="D311" i="1"/>
  <c r="C901" i="1"/>
  <c r="C382" i="1"/>
  <c r="C532" i="1"/>
  <c r="C196" i="1"/>
  <c r="C310" i="1"/>
  <c r="X797" i="1"/>
  <c r="AE797" i="1"/>
  <c r="AM797" i="1"/>
  <c r="Z796" i="1"/>
  <c r="AA796" i="1" s="1"/>
  <c r="AB796" i="1" s="1"/>
  <c r="Y797" i="1"/>
  <c r="AF798" i="1"/>
  <c r="AL798" i="1"/>
  <c r="D312" i="1" l="1"/>
  <c r="D198" i="1"/>
  <c r="D534" i="1"/>
  <c r="D384" i="1"/>
  <c r="C385" i="1" s="1"/>
  <c r="D903" i="1"/>
  <c r="C311" i="1"/>
  <c r="C197" i="1"/>
  <c r="C533" i="1"/>
  <c r="C383" i="1"/>
  <c r="C902" i="1"/>
  <c r="X798" i="1"/>
  <c r="AE798" i="1"/>
  <c r="AM798" i="1"/>
  <c r="Z797" i="1"/>
  <c r="AA797" i="1" s="1"/>
  <c r="AB797" i="1" s="1"/>
  <c r="Y798" i="1"/>
  <c r="AF799" i="1"/>
  <c r="AL799" i="1"/>
  <c r="D904" i="1" l="1"/>
  <c r="D535" i="1"/>
  <c r="D199" i="1"/>
  <c r="D313" i="1"/>
  <c r="C903" i="1"/>
  <c r="C384" i="1"/>
  <c r="C534" i="1"/>
  <c r="C198" i="1"/>
  <c r="C312" i="1"/>
  <c r="X799" i="1"/>
  <c r="AE799" i="1"/>
  <c r="AM799" i="1"/>
  <c r="Z798" i="1"/>
  <c r="AA798" i="1" s="1"/>
  <c r="AB798" i="1" s="1"/>
  <c r="Y799" i="1"/>
  <c r="Z799" i="1" s="1"/>
  <c r="AA799" i="1" s="1"/>
  <c r="AB799" i="1" s="1"/>
  <c r="AF800" i="1"/>
  <c r="AL800" i="1"/>
  <c r="D314" i="1" l="1"/>
  <c r="D200" i="1"/>
  <c r="D536" i="1"/>
  <c r="D905" i="1"/>
  <c r="C313" i="1"/>
  <c r="C199" i="1"/>
  <c r="C535" i="1"/>
  <c r="C904" i="1"/>
  <c r="X800" i="1"/>
  <c r="AE800" i="1"/>
  <c r="AM800" i="1" s="1"/>
  <c r="Y800" i="1"/>
  <c r="Z800" i="1" s="1"/>
  <c r="AA800" i="1" s="1"/>
  <c r="AB800" i="1" s="1"/>
  <c r="E801" i="1"/>
  <c r="AD801" i="1" s="1"/>
  <c r="AF801" i="1"/>
  <c r="X801" i="1" s="1"/>
  <c r="AH801" i="1"/>
  <c r="AK801" i="1" s="1"/>
  <c r="AL801" i="1"/>
  <c r="AM801" i="1" s="1"/>
  <c r="D906" i="1" l="1"/>
  <c r="D537" i="1"/>
  <c r="D201" i="1"/>
  <c r="D315" i="1"/>
  <c r="C905" i="1"/>
  <c r="C536" i="1"/>
  <c r="C200" i="1"/>
  <c r="C314" i="1"/>
  <c r="AN801" i="1"/>
  <c r="AI801" i="1"/>
  <c r="AG801" i="1"/>
  <c r="AC801" i="1"/>
  <c r="Z801" i="1"/>
  <c r="AB801" i="1"/>
  <c r="Y801" i="1"/>
  <c r="AA801" i="1"/>
  <c r="AF802" i="1"/>
  <c r="AL802" i="1"/>
  <c r="D316" i="1" l="1"/>
  <c r="D202" i="1"/>
  <c r="D538" i="1"/>
  <c r="C539" i="1" s="1"/>
  <c r="D907" i="1"/>
  <c r="C315" i="1"/>
  <c r="C201" i="1"/>
  <c r="C537" i="1"/>
  <c r="C906" i="1"/>
  <c r="X802" i="1"/>
  <c r="AE802" i="1"/>
  <c r="AM802" i="1" s="1"/>
  <c r="Y802" i="1"/>
  <c r="AF803" i="1"/>
  <c r="AL803" i="1"/>
  <c r="D908" i="1" l="1"/>
  <c r="C908" i="1"/>
  <c r="D203" i="1"/>
  <c r="D317" i="1"/>
  <c r="C907" i="1"/>
  <c r="C538" i="1"/>
  <c r="C202" i="1"/>
  <c r="C316" i="1"/>
  <c r="X803" i="1"/>
  <c r="AE803" i="1"/>
  <c r="AM803" i="1" s="1"/>
  <c r="Z802" i="1"/>
  <c r="AA802" i="1" s="1"/>
  <c r="AB802" i="1" s="1"/>
  <c r="Y803" i="1"/>
  <c r="Z803" i="1" s="1"/>
  <c r="AA803" i="1" s="1"/>
  <c r="AB803" i="1" s="1"/>
  <c r="AF804" i="1"/>
  <c r="AL804" i="1"/>
  <c r="D318" i="1" l="1"/>
  <c r="D204" i="1"/>
  <c r="C317" i="1"/>
  <c r="C203" i="1"/>
  <c r="D909" i="1"/>
  <c r="X804" i="1"/>
  <c r="AE804" i="1"/>
  <c r="AM804" i="1" s="1"/>
  <c r="Y804" i="1"/>
  <c r="AF805" i="1"/>
  <c r="AL805" i="1"/>
  <c r="D910" i="1" l="1"/>
  <c r="D205" i="1"/>
  <c r="D319" i="1"/>
  <c r="C909" i="1"/>
  <c r="C204" i="1"/>
  <c r="C318" i="1"/>
  <c r="X805" i="1"/>
  <c r="Y805" i="1" s="1"/>
  <c r="Z805" i="1" s="1"/>
  <c r="AE805" i="1"/>
  <c r="AM805" i="1" s="1"/>
  <c r="Z804" i="1"/>
  <c r="AA804" i="1" s="1"/>
  <c r="AB804" i="1" s="1"/>
  <c r="AF806" i="1"/>
  <c r="AL806" i="1"/>
  <c r="D320" i="1" l="1"/>
  <c r="C321" i="1" s="1"/>
  <c r="D206" i="1"/>
  <c r="D911" i="1"/>
  <c r="C319" i="1"/>
  <c r="C205" i="1"/>
  <c r="C910" i="1"/>
  <c r="X806" i="1"/>
  <c r="AE806" i="1"/>
  <c r="AA805" i="1"/>
  <c r="AB805" i="1" s="1"/>
  <c r="AM806" i="1"/>
  <c r="Y806" i="1"/>
  <c r="AF807" i="1"/>
  <c r="AL807" i="1"/>
  <c r="D912" i="1" l="1"/>
  <c r="D207" i="1"/>
  <c r="C911" i="1"/>
  <c r="C206" i="1"/>
  <c r="C320" i="1"/>
  <c r="X807" i="1"/>
  <c r="AE807" i="1"/>
  <c r="AM807" i="1"/>
  <c r="Z806" i="1"/>
  <c r="AA806" i="1" s="1"/>
  <c r="AB806" i="1" s="1"/>
  <c r="Y807" i="1"/>
  <c r="AF808" i="1"/>
  <c r="AL808" i="1"/>
  <c r="D208" i="1" l="1"/>
  <c r="D913" i="1"/>
  <c r="C207" i="1"/>
  <c r="C912" i="1"/>
  <c r="X808" i="1"/>
  <c r="AE808" i="1"/>
  <c r="Z807" i="1"/>
  <c r="AA807" i="1" s="1"/>
  <c r="AB807" i="1" s="1"/>
  <c r="AM808" i="1"/>
  <c r="Y808" i="1"/>
  <c r="Z808" i="1"/>
  <c r="AF809" i="1"/>
  <c r="AL809" i="1"/>
  <c r="D914" i="1" l="1"/>
  <c r="D209" i="1"/>
  <c r="C913" i="1"/>
  <c r="C208" i="1"/>
  <c r="X809" i="1"/>
  <c r="AE809" i="1"/>
  <c r="AM809" i="1" s="1"/>
  <c r="AA808" i="1"/>
  <c r="AB808" i="1" s="1"/>
  <c r="Y809" i="1"/>
  <c r="Z809" i="1" s="1"/>
  <c r="AF810" i="1"/>
  <c r="AL810" i="1"/>
  <c r="D210" i="1" l="1"/>
  <c r="D915" i="1"/>
  <c r="C209" i="1"/>
  <c r="C914" i="1"/>
  <c r="X810" i="1"/>
  <c r="AE810" i="1"/>
  <c r="AM810" i="1" s="1"/>
  <c r="AA809" i="1"/>
  <c r="AB809" i="1" s="1"/>
  <c r="Y810" i="1"/>
  <c r="AF811" i="1"/>
  <c r="AL811" i="1"/>
  <c r="D916" i="1" l="1"/>
  <c r="C916" i="1"/>
  <c r="D211" i="1"/>
  <c r="C915" i="1"/>
  <c r="C210" i="1"/>
  <c r="X811" i="1"/>
  <c r="AE811" i="1"/>
  <c r="AM811" i="1" s="1"/>
  <c r="Z810" i="1"/>
  <c r="AA810" i="1" s="1"/>
  <c r="AB810" i="1" s="1"/>
  <c r="Y811" i="1"/>
  <c r="E812" i="1"/>
  <c r="AC812" i="1" s="1"/>
  <c r="AF812" i="1"/>
  <c r="X812" i="1" s="1"/>
  <c r="AH812" i="1"/>
  <c r="AK812" i="1" s="1"/>
  <c r="AL812" i="1"/>
  <c r="AM812" i="1" s="1"/>
  <c r="D212" i="1" l="1"/>
  <c r="C211" i="1"/>
  <c r="D917" i="1"/>
  <c r="C917" i="1" s="1"/>
  <c r="Z811" i="1"/>
  <c r="AA811" i="1" s="1"/>
  <c r="AB811" i="1" s="1"/>
  <c r="AN812" i="1"/>
  <c r="AD812" i="1"/>
  <c r="AI812" i="1"/>
  <c r="AG812" i="1"/>
  <c r="Y812" i="1"/>
  <c r="AA812" i="1"/>
  <c r="Z812" i="1"/>
  <c r="AB812" i="1"/>
  <c r="AF813" i="1"/>
  <c r="AL813" i="1"/>
  <c r="AM813" i="1" s="1"/>
  <c r="D213" i="1" l="1"/>
  <c r="D918" i="1"/>
  <c r="C212" i="1"/>
  <c r="X813" i="1"/>
  <c r="AE813" i="1"/>
  <c r="Y813" i="1"/>
  <c r="Z813" i="1" s="1"/>
  <c r="E814" i="1"/>
  <c r="AC814" i="1" s="1"/>
  <c r="AF814" i="1"/>
  <c r="X814" i="1" s="1"/>
  <c r="AH814" i="1"/>
  <c r="AK814" i="1" s="1"/>
  <c r="AL814" i="1"/>
  <c r="AM814" i="1" s="1"/>
  <c r="D919" i="1" l="1"/>
  <c r="D214" i="1"/>
  <c r="C918" i="1"/>
  <c r="C213" i="1"/>
  <c r="AA813" i="1"/>
  <c r="AB813" i="1" s="1"/>
  <c r="AN814" i="1"/>
  <c r="AD814" i="1"/>
  <c r="AI814" i="1"/>
  <c r="AG814" i="1"/>
  <c r="Y814" i="1"/>
  <c r="AA814" i="1"/>
  <c r="Z814" i="1"/>
  <c r="AB814" i="1"/>
  <c r="D215" i="1" l="1"/>
  <c r="D920" i="1"/>
  <c r="C214" i="1"/>
  <c r="C919" i="1"/>
  <c r="AF815" i="1"/>
  <c r="AL815" i="1"/>
  <c r="D921" i="1" l="1"/>
  <c r="D216" i="1"/>
  <c r="C920" i="1"/>
  <c r="C215" i="1"/>
  <c r="X815" i="1"/>
  <c r="AE815" i="1"/>
  <c r="AM815" i="1" s="1"/>
  <c r="Y815" i="1"/>
  <c r="AA815" i="1" s="1"/>
  <c r="AB815" i="1" s="1"/>
  <c r="Z815" i="1"/>
  <c r="E816" i="1"/>
  <c r="AC816" i="1" s="1"/>
  <c r="AF816" i="1"/>
  <c r="X816" i="1" s="1"/>
  <c r="AH816" i="1"/>
  <c r="AK816" i="1" s="1"/>
  <c r="AL816" i="1"/>
  <c r="AM816" i="1" s="1"/>
  <c r="D217" i="1" l="1"/>
  <c r="D922" i="1"/>
  <c r="C216" i="1"/>
  <c r="C921" i="1"/>
  <c r="AN816" i="1"/>
  <c r="AD816" i="1"/>
  <c r="AI816" i="1"/>
  <c r="AG816" i="1"/>
  <c r="Y816" i="1"/>
  <c r="AA816" i="1"/>
  <c r="Z816" i="1"/>
  <c r="AB816" i="1"/>
  <c r="AF817" i="1"/>
  <c r="AL817" i="1"/>
  <c r="D923" i="1" l="1"/>
  <c r="D218" i="1"/>
  <c r="C922" i="1"/>
  <c r="C217" i="1"/>
  <c r="X817" i="1"/>
  <c r="AE817" i="1"/>
  <c r="AM817" i="1" s="1"/>
  <c r="Y817" i="1"/>
  <c r="Z817" i="1" s="1"/>
  <c r="AA817" i="1" s="1"/>
  <c r="AB817" i="1" s="1"/>
  <c r="AF818" i="1"/>
  <c r="AL818" i="1"/>
  <c r="D219" i="1" l="1"/>
  <c r="D924" i="1"/>
  <c r="C924" i="1" s="1"/>
  <c r="C218" i="1"/>
  <c r="C923" i="1"/>
  <c r="X818" i="1"/>
  <c r="AE818" i="1"/>
  <c r="AM818" i="1" s="1"/>
  <c r="Y818" i="1"/>
  <c r="E819" i="1"/>
  <c r="AC819" i="1" s="1"/>
  <c r="AF819" i="1"/>
  <c r="X819" i="1" s="1"/>
  <c r="AH819" i="1"/>
  <c r="AK819" i="1" s="1"/>
  <c r="AL819" i="1"/>
  <c r="AM819" i="1" s="1"/>
  <c r="D220" i="1" l="1"/>
  <c r="D925" i="1"/>
  <c r="C219" i="1"/>
  <c r="Z818" i="1"/>
  <c r="AA818" i="1" s="1"/>
  <c r="AB818" i="1" s="1"/>
  <c r="AN819" i="1"/>
  <c r="AD819" i="1"/>
  <c r="AI819" i="1"/>
  <c r="AG819" i="1"/>
  <c r="Y819" i="1"/>
  <c r="AA819" i="1"/>
  <c r="Z819" i="1"/>
  <c r="AB819" i="1"/>
  <c r="AF820" i="1"/>
  <c r="AL820" i="1"/>
  <c r="D926" i="1" l="1"/>
  <c r="D221" i="1"/>
  <c r="C925" i="1"/>
  <c r="C220" i="1"/>
  <c r="X820" i="1"/>
  <c r="AE820" i="1"/>
  <c r="AM820" i="1" s="1"/>
  <c r="Y820" i="1"/>
  <c r="Z820" i="1" s="1"/>
  <c r="AF821" i="1"/>
  <c r="AL821" i="1"/>
  <c r="D222" i="1" l="1"/>
  <c r="D927" i="1"/>
  <c r="C221" i="1"/>
  <c r="C926" i="1"/>
  <c r="X821" i="1"/>
  <c r="AE821" i="1"/>
  <c r="AM821" i="1" s="1"/>
  <c r="AA820" i="1"/>
  <c r="AB820" i="1" s="1"/>
  <c r="Y821" i="1"/>
  <c r="AF822" i="1"/>
  <c r="AL822" i="1"/>
  <c r="D928" i="1" l="1"/>
  <c r="D223" i="1"/>
  <c r="C927" i="1"/>
  <c r="C222" i="1"/>
  <c r="X822" i="1"/>
  <c r="AE822" i="1"/>
  <c r="AM822" i="1" s="1"/>
  <c r="Z821" i="1"/>
  <c r="AA821" i="1" s="1"/>
  <c r="AB821" i="1" s="1"/>
  <c r="Y822" i="1"/>
  <c r="Z822" i="1" s="1"/>
  <c r="AF823" i="1"/>
  <c r="AL823" i="1"/>
  <c r="D224" i="1" l="1"/>
  <c r="D929" i="1"/>
  <c r="C223" i="1"/>
  <c r="C928" i="1"/>
  <c r="X823" i="1"/>
  <c r="AE823" i="1"/>
  <c r="AM823" i="1" s="1"/>
  <c r="AA822" i="1"/>
  <c r="AB822" i="1" s="1"/>
  <c r="Y823" i="1"/>
  <c r="Z823" i="1" s="1"/>
  <c r="AA823" i="1" s="1"/>
  <c r="AB823" i="1" s="1"/>
  <c r="AF824" i="1"/>
  <c r="AL824" i="1"/>
  <c r="D930" i="1" l="1"/>
  <c r="D225" i="1"/>
  <c r="C929" i="1"/>
  <c r="C224" i="1"/>
  <c r="X824" i="1"/>
  <c r="AE824" i="1"/>
  <c r="AM824" i="1" s="1"/>
  <c r="Y824" i="1"/>
  <c r="AF825" i="1"/>
  <c r="AL825" i="1"/>
  <c r="D226" i="1" l="1"/>
  <c r="D931" i="1"/>
  <c r="C225" i="1"/>
  <c r="C930" i="1"/>
  <c r="X825" i="1"/>
  <c r="AE825" i="1"/>
  <c r="AM825" i="1" s="1"/>
  <c r="Z824" i="1"/>
  <c r="AA824" i="1" s="1"/>
  <c r="AB824" i="1" s="1"/>
  <c r="Y825" i="1"/>
  <c r="E826" i="1"/>
  <c r="AC826" i="1" s="1"/>
  <c r="AF826" i="1"/>
  <c r="X826" i="1" s="1"/>
  <c r="AH826" i="1"/>
  <c r="AK826" i="1" s="1"/>
  <c r="AL826" i="1"/>
  <c r="AM826" i="1" s="1"/>
  <c r="D932" i="1" l="1"/>
  <c r="C932" i="1"/>
  <c r="D227" i="1"/>
  <c r="C931" i="1"/>
  <c r="C226" i="1"/>
  <c r="Z825" i="1"/>
  <c r="AA825" i="1" s="1"/>
  <c r="AB825" i="1" s="1"/>
  <c r="AD826" i="1"/>
  <c r="AI826" i="1"/>
  <c r="AG826" i="1"/>
  <c r="Y826" i="1"/>
  <c r="AA826" i="1"/>
  <c r="Z826" i="1"/>
  <c r="AB826" i="1"/>
  <c r="AN826" i="1"/>
  <c r="AF827" i="1"/>
  <c r="AL827" i="1"/>
  <c r="D228" i="1" l="1"/>
  <c r="C227" i="1"/>
  <c r="D933" i="1"/>
  <c r="C933" i="1" s="1"/>
  <c r="X827" i="1"/>
  <c r="Y827" i="1" s="1"/>
  <c r="AE827" i="1"/>
  <c r="AM827" i="1"/>
  <c r="AF828" i="1"/>
  <c r="AL828" i="1"/>
  <c r="D229" i="1" l="1"/>
  <c r="D934" i="1"/>
  <c r="C228" i="1"/>
  <c r="X828" i="1"/>
  <c r="AE828" i="1"/>
  <c r="AM828" i="1"/>
  <c r="Z827" i="1"/>
  <c r="AA827" i="1" s="1"/>
  <c r="AB827" i="1" s="1"/>
  <c r="Y828" i="1"/>
  <c r="AF829" i="1"/>
  <c r="AL829" i="1"/>
  <c r="D935" i="1" l="1"/>
  <c r="D230" i="1"/>
  <c r="C934" i="1"/>
  <c r="C229" i="1"/>
  <c r="X829" i="1"/>
  <c r="AE829" i="1"/>
  <c r="AM829" i="1" s="1"/>
  <c r="Z828" i="1"/>
  <c r="AA828" i="1" s="1"/>
  <c r="AB828" i="1" s="1"/>
  <c r="Y829" i="1"/>
  <c r="Z829" i="1" s="1"/>
  <c r="AA829" i="1" s="1"/>
  <c r="AB829" i="1" s="1"/>
  <c r="AF830" i="1"/>
  <c r="AL830" i="1"/>
  <c r="D231" i="1" l="1"/>
  <c r="D936" i="1"/>
  <c r="C230" i="1"/>
  <c r="C935" i="1"/>
  <c r="X830" i="1"/>
  <c r="AE830" i="1"/>
  <c r="AM830" i="1" s="1"/>
  <c r="Y830" i="1"/>
  <c r="Z830" i="1" s="1"/>
  <c r="AF831" i="1"/>
  <c r="AL831" i="1"/>
  <c r="D937" i="1" l="1"/>
  <c r="D232" i="1"/>
  <c r="C936" i="1"/>
  <c r="C231" i="1"/>
  <c r="X831" i="1"/>
  <c r="AE831" i="1"/>
  <c r="AM831" i="1" s="1"/>
  <c r="AA830" i="1"/>
  <c r="AB830" i="1" s="1"/>
  <c r="Y831" i="1"/>
  <c r="AF832" i="1"/>
  <c r="AL832" i="1"/>
  <c r="D233" i="1" l="1"/>
  <c r="D938" i="1"/>
  <c r="C938" i="1" s="1"/>
  <c r="C232" i="1"/>
  <c r="C937" i="1"/>
  <c r="X832" i="1"/>
  <c r="AE832" i="1"/>
  <c r="AM832" i="1" s="1"/>
  <c r="Z831" i="1"/>
  <c r="AA831" i="1" s="1"/>
  <c r="AB831" i="1" s="1"/>
  <c r="Y832" i="1"/>
  <c r="AF833" i="1"/>
  <c r="AL833" i="1"/>
  <c r="D234" i="1" l="1"/>
  <c r="D939" i="1"/>
  <c r="C233" i="1"/>
  <c r="X833" i="1"/>
  <c r="AE833" i="1"/>
  <c r="AM833" i="1"/>
  <c r="Z832" i="1"/>
  <c r="AA832" i="1" s="1"/>
  <c r="AB832" i="1" s="1"/>
  <c r="Y833" i="1"/>
  <c r="Z833" i="1" s="1"/>
  <c r="E834" i="1"/>
  <c r="AD834" i="1" s="1"/>
  <c r="AF834" i="1"/>
  <c r="X834" i="1" s="1"/>
  <c r="AH834" i="1"/>
  <c r="AK834" i="1" s="1"/>
  <c r="AL834" i="1"/>
  <c r="AM834" i="1" s="1"/>
  <c r="D940" i="1" l="1"/>
  <c r="D235" i="1"/>
  <c r="C939" i="1"/>
  <c r="C234" i="1"/>
  <c r="AA833" i="1"/>
  <c r="AB833" i="1" s="1"/>
  <c r="AI834" i="1"/>
  <c r="AG834" i="1"/>
  <c r="AC834" i="1"/>
  <c r="Z834" i="1"/>
  <c r="AB834" i="1"/>
  <c r="Y834" i="1"/>
  <c r="AA834" i="1"/>
  <c r="AN834" i="1"/>
  <c r="D236" i="1" l="1"/>
  <c r="C237" i="1" s="1"/>
  <c r="D941" i="1"/>
  <c r="C235" i="1"/>
  <c r="C940" i="1"/>
  <c r="AF835" i="1"/>
  <c r="AL835" i="1"/>
  <c r="AM835" i="1" s="1"/>
  <c r="D942" i="1" l="1"/>
  <c r="C942" i="1"/>
  <c r="C941" i="1"/>
  <c r="C236" i="1"/>
  <c r="X835" i="1"/>
  <c r="AE835" i="1"/>
  <c r="Y835" i="1"/>
  <c r="Z835" i="1" s="1"/>
  <c r="AF836" i="1"/>
  <c r="AL836" i="1"/>
  <c r="AM836" i="1" s="1"/>
  <c r="D943" i="1" l="1"/>
  <c r="X836" i="1"/>
  <c r="AE836" i="1"/>
  <c r="AA835" i="1"/>
  <c r="AB835" i="1" s="1"/>
  <c r="Y836" i="1"/>
  <c r="Z836" i="1" s="1"/>
  <c r="AF837" i="1"/>
  <c r="AL837" i="1"/>
  <c r="AM837" i="1" s="1"/>
  <c r="D944" i="1" l="1"/>
  <c r="C943" i="1"/>
  <c r="X837" i="1"/>
  <c r="Y837" i="1" s="1"/>
  <c r="AE837" i="1"/>
  <c r="AA836" i="1"/>
  <c r="AB836" i="1" s="1"/>
  <c r="AF838" i="1"/>
  <c r="AL838" i="1"/>
  <c r="AM838" i="1" s="1"/>
  <c r="D945" i="1" l="1"/>
  <c r="C944" i="1"/>
  <c r="X838" i="1"/>
  <c r="Y838" i="1" s="1"/>
  <c r="AE838" i="1"/>
  <c r="Z837" i="1"/>
  <c r="AA837" i="1" s="1"/>
  <c r="AB837" i="1" s="1"/>
  <c r="E839" i="1"/>
  <c r="AC839" i="1" s="1"/>
  <c r="AF839" i="1"/>
  <c r="X839" i="1" s="1"/>
  <c r="AH839" i="1"/>
  <c r="AK839" i="1" s="1"/>
  <c r="AL839" i="1"/>
  <c r="AM839" i="1" s="1"/>
  <c r="D946" i="1" l="1"/>
  <c r="C946" i="1"/>
  <c r="C945" i="1"/>
  <c r="Z838" i="1"/>
  <c r="AA838" i="1" s="1"/>
  <c r="AB838" i="1" s="1"/>
  <c r="AD839" i="1"/>
  <c r="AI839" i="1"/>
  <c r="AG839" i="1"/>
  <c r="Y839" i="1"/>
  <c r="AA839" i="1"/>
  <c r="Z839" i="1"/>
  <c r="AB839" i="1"/>
  <c r="AN839" i="1"/>
  <c r="AF840" i="1"/>
  <c r="AL840" i="1"/>
  <c r="D947" i="1" l="1"/>
  <c r="X840" i="1"/>
  <c r="AE840" i="1"/>
  <c r="AM840" i="1" s="1"/>
  <c r="Y840" i="1"/>
  <c r="Z840" i="1" s="1"/>
  <c r="AA840" i="1" s="1"/>
  <c r="AB840" i="1" s="1"/>
  <c r="AF841" i="1"/>
  <c r="AL841" i="1"/>
  <c r="D948" i="1" l="1"/>
  <c r="C947" i="1"/>
  <c r="X841" i="1"/>
  <c r="Y841" i="1" s="1"/>
  <c r="Z841" i="1" s="1"/>
  <c r="AE841" i="1"/>
  <c r="AM841" i="1"/>
  <c r="AF842" i="1"/>
  <c r="AL842" i="1"/>
  <c r="D949" i="1" l="1"/>
  <c r="C948" i="1"/>
  <c r="X842" i="1"/>
  <c r="AE842" i="1"/>
  <c r="AM842" i="1"/>
  <c r="AA841" i="1"/>
  <c r="AB841" i="1" s="1"/>
  <c r="Y842" i="1"/>
  <c r="E843" i="1"/>
  <c r="AD843" i="1" s="1"/>
  <c r="AF843" i="1"/>
  <c r="X843" i="1" s="1"/>
  <c r="AH843" i="1"/>
  <c r="AK843" i="1" s="1"/>
  <c r="AL843" i="1"/>
  <c r="AM843" i="1" s="1"/>
  <c r="D950" i="1" l="1"/>
  <c r="C950" i="1"/>
  <c r="C949" i="1"/>
  <c r="Z842" i="1"/>
  <c r="AA842" i="1" s="1"/>
  <c r="AB842" i="1" s="1"/>
  <c r="AI843" i="1"/>
  <c r="AG843" i="1"/>
  <c r="AC843" i="1"/>
  <c r="Z843" i="1"/>
  <c r="AB843" i="1"/>
  <c r="Y843" i="1"/>
  <c r="AA843" i="1"/>
  <c r="AN843" i="1"/>
  <c r="D951" i="1" l="1"/>
  <c r="AF844" i="1"/>
  <c r="AL844" i="1"/>
  <c r="D952" i="1" l="1"/>
  <c r="C951" i="1"/>
  <c r="X844" i="1"/>
  <c r="Y844" i="1" s="1"/>
  <c r="Z844" i="1" s="1"/>
  <c r="AE844" i="1"/>
  <c r="AM844" i="1"/>
  <c r="E845" i="1"/>
  <c r="AC845" i="1" s="1"/>
  <c r="AF845" i="1"/>
  <c r="X845" i="1" s="1"/>
  <c r="AH845" i="1"/>
  <c r="AK845" i="1" s="1"/>
  <c r="AL845" i="1"/>
  <c r="AM845" i="1" s="1"/>
  <c r="D953" i="1" l="1"/>
  <c r="C952" i="1"/>
  <c r="AA844" i="1"/>
  <c r="AB844" i="1" s="1"/>
  <c r="AN845" i="1"/>
  <c r="AD845" i="1"/>
  <c r="AI845" i="1"/>
  <c r="AG845" i="1"/>
  <c r="Y845" i="1"/>
  <c r="AA845" i="1"/>
  <c r="Z845" i="1"/>
  <c r="AB845" i="1"/>
  <c r="AF846" i="1"/>
  <c r="AL846" i="1"/>
  <c r="X846" i="1" l="1"/>
  <c r="AE846" i="1"/>
  <c r="AM846" i="1" s="1"/>
  <c r="D954" i="1"/>
  <c r="C954" i="1"/>
  <c r="C953" i="1"/>
  <c r="E847" i="1"/>
  <c r="AC847" i="1" s="1"/>
  <c r="AF847" i="1"/>
  <c r="X847" i="1" s="1"/>
  <c r="AH847" i="1"/>
  <c r="AK847" i="1" s="1"/>
  <c r="AL847" i="1"/>
  <c r="AM847" i="1" s="1"/>
  <c r="Y846" i="1" l="1"/>
  <c r="Z846" i="1" s="1"/>
  <c r="AA846" i="1" s="1"/>
  <c r="AB846" i="1" s="1"/>
  <c r="D955" i="1"/>
  <c r="AD847" i="1"/>
  <c r="AI847" i="1"/>
  <c r="AG847" i="1"/>
  <c r="Y847" i="1"/>
  <c r="AA847" i="1"/>
  <c r="Z847" i="1"/>
  <c r="AB847" i="1"/>
  <c r="AN847" i="1"/>
  <c r="AF848" i="1"/>
  <c r="AL848" i="1"/>
  <c r="X848" i="1" l="1"/>
  <c r="AE848" i="1"/>
  <c r="AM848" i="1" s="1"/>
  <c r="D956" i="1"/>
  <c r="C955" i="1"/>
  <c r="Y848" i="1"/>
  <c r="Z848" i="1" s="1"/>
  <c r="AA848" i="1" s="1"/>
  <c r="AB848" i="1" s="1"/>
  <c r="AF849" i="1"/>
  <c r="AL849" i="1"/>
  <c r="X849" i="1" l="1"/>
  <c r="AE849" i="1"/>
  <c r="AM849" i="1" s="1"/>
  <c r="D957" i="1"/>
  <c r="C956" i="1"/>
  <c r="AF850" i="1"/>
  <c r="AL850" i="1"/>
  <c r="X850" i="1" l="1"/>
  <c r="AE850" i="1"/>
  <c r="AM850" i="1" s="1"/>
  <c r="Y849" i="1"/>
  <c r="Z849" i="1" s="1"/>
  <c r="AA849" i="1"/>
  <c r="AB849" i="1" s="1"/>
  <c r="D958" i="1"/>
  <c r="C958" i="1"/>
  <c r="C957" i="1"/>
  <c r="Y850" i="1"/>
  <c r="Z850" i="1" s="1"/>
  <c r="AA850" i="1" s="1"/>
  <c r="AB850" i="1" s="1"/>
  <c r="AF851" i="1"/>
  <c r="AL851" i="1"/>
  <c r="X851" i="1" l="1"/>
  <c r="AE851" i="1"/>
  <c r="AM851" i="1" s="1"/>
  <c r="D959" i="1"/>
  <c r="Y851" i="1"/>
  <c r="Z851" i="1"/>
  <c r="AF852" i="1"/>
  <c r="AL852" i="1"/>
  <c r="X852" i="1" l="1"/>
  <c r="Y852" i="1" s="1"/>
  <c r="AE852" i="1"/>
  <c r="AM852" i="1" s="1"/>
  <c r="AA851" i="1"/>
  <c r="AB851" i="1" s="1"/>
  <c r="D960" i="1"/>
  <c r="C959" i="1"/>
  <c r="AF853" i="1"/>
  <c r="AL853" i="1"/>
  <c r="X853" i="1" l="1"/>
  <c r="AE853" i="1"/>
  <c r="AM853" i="1" s="1"/>
  <c r="Z852" i="1"/>
  <c r="AA852" i="1" s="1"/>
  <c r="AB852" i="1" s="1"/>
  <c r="D961" i="1"/>
  <c r="C960" i="1"/>
  <c r="Y853" i="1"/>
  <c r="Z853" i="1" s="1"/>
  <c r="AF854" i="1"/>
  <c r="AL854" i="1"/>
  <c r="X854" i="1" l="1"/>
  <c r="AE854" i="1"/>
  <c r="AM854" i="1" s="1"/>
  <c r="AA853" i="1"/>
  <c r="AB853" i="1" s="1"/>
  <c r="D962" i="1"/>
  <c r="C962" i="1"/>
  <c r="C961" i="1"/>
  <c r="Y854" i="1"/>
  <c r="AA854" i="1"/>
  <c r="Z854" i="1"/>
  <c r="AB854" i="1"/>
  <c r="AF855" i="1"/>
  <c r="AL855" i="1"/>
  <c r="X855" i="1" l="1"/>
  <c r="AE855" i="1"/>
  <c r="AM855" i="1" s="1"/>
  <c r="D963" i="1"/>
  <c r="Y855" i="1"/>
  <c r="Z855" i="1" s="1"/>
  <c r="AA855" i="1" s="1"/>
  <c r="AB855" i="1" s="1"/>
  <c r="AF856" i="1"/>
  <c r="AL856" i="1"/>
  <c r="X856" i="1" l="1"/>
  <c r="AE856" i="1"/>
  <c r="AM856" i="1" s="1"/>
  <c r="D964" i="1"/>
  <c r="C963" i="1"/>
  <c r="Y856" i="1"/>
  <c r="Z856" i="1"/>
  <c r="AF857" i="1"/>
  <c r="AL857" i="1"/>
  <c r="X857" i="1" l="1"/>
  <c r="AE857" i="1"/>
  <c r="AM857" i="1" s="1"/>
  <c r="AA856" i="1"/>
  <c r="AB856" i="1"/>
  <c r="D965" i="1"/>
  <c r="C964" i="1"/>
  <c r="Y857" i="1"/>
  <c r="E858" i="1"/>
  <c r="AC858" i="1" s="1"/>
  <c r="AF858" i="1"/>
  <c r="X858" i="1" s="1"/>
  <c r="AH858" i="1"/>
  <c r="AK858" i="1" s="1"/>
  <c r="AL858" i="1"/>
  <c r="AM858" i="1" s="1"/>
  <c r="Z857" i="1" l="1"/>
  <c r="AA857" i="1" s="1"/>
  <c r="AB857" i="1" s="1"/>
  <c r="D966" i="1"/>
  <c r="C966" i="1"/>
  <c r="C965" i="1"/>
  <c r="AN858" i="1"/>
  <c r="AD858" i="1"/>
  <c r="AI858" i="1"/>
  <c r="AG858" i="1"/>
  <c r="Y858" i="1"/>
  <c r="AA858" i="1"/>
  <c r="Z858" i="1"/>
  <c r="AB858" i="1"/>
  <c r="AF859" i="1"/>
  <c r="AL859" i="1"/>
  <c r="X859" i="1" l="1"/>
  <c r="AE859" i="1"/>
  <c r="AM859" i="1" s="1"/>
  <c r="D967" i="1"/>
  <c r="Y859" i="1"/>
  <c r="AA859" i="1"/>
  <c r="Z859" i="1"/>
  <c r="AB859" i="1"/>
  <c r="AF860" i="1"/>
  <c r="AL860" i="1"/>
  <c r="X860" i="1" l="1"/>
  <c r="Y860" i="1" s="1"/>
  <c r="AE860" i="1"/>
  <c r="AM860" i="1" s="1"/>
  <c r="D968" i="1"/>
  <c r="C967" i="1"/>
  <c r="AF861" i="1"/>
  <c r="AL861" i="1"/>
  <c r="X861" i="1" l="1"/>
  <c r="AE861" i="1"/>
  <c r="AM861" i="1" s="1"/>
  <c r="Z860" i="1"/>
  <c r="AA860" i="1" s="1"/>
  <c r="AB860" i="1" s="1"/>
  <c r="D969" i="1"/>
  <c r="C968" i="1"/>
  <c r="Y861" i="1"/>
  <c r="AA861" i="1"/>
  <c r="Z861" i="1"/>
  <c r="AB861" i="1"/>
  <c r="AF862" i="1"/>
  <c r="AL862" i="1"/>
  <c r="X862" i="1" l="1"/>
  <c r="AE862" i="1"/>
  <c r="AM862" i="1" s="1"/>
  <c r="D970" i="1"/>
  <c r="C970" i="1"/>
  <c r="C969" i="1"/>
  <c r="Y862" i="1"/>
  <c r="Z862" i="1"/>
  <c r="AF863" i="1"/>
  <c r="AL863" i="1"/>
  <c r="X863" i="1" l="1"/>
  <c r="AE863" i="1"/>
  <c r="AM863" i="1" s="1"/>
  <c r="AA862" i="1"/>
  <c r="AB862" i="1"/>
  <c r="D971" i="1"/>
  <c r="Y863" i="1"/>
  <c r="AA863" i="1"/>
  <c r="Z863" i="1"/>
  <c r="AB863" i="1"/>
  <c r="E864" i="1"/>
  <c r="AC864" i="1" s="1"/>
  <c r="AF864" i="1"/>
  <c r="X864" i="1" s="1"/>
  <c r="AH864" i="1"/>
  <c r="AK864" i="1" s="1"/>
  <c r="AL864" i="1"/>
  <c r="AM864" i="1" s="1"/>
  <c r="D972" i="1" l="1"/>
  <c r="C971" i="1"/>
  <c r="AN864" i="1"/>
  <c r="AI864" i="1"/>
  <c r="AG864" i="1"/>
  <c r="AD864" i="1"/>
  <c r="Y864" i="1"/>
  <c r="AA864" i="1"/>
  <c r="Z864" i="1"/>
  <c r="AB864" i="1"/>
  <c r="E865" i="1"/>
  <c r="AC865" i="1" s="1"/>
  <c r="AF865" i="1"/>
  <c r="X865" i="1" s="1"/>
  <c r="AH865" i="1"/>
  <c r="AK865" i="1" s="1"/>
  <c r="AL865" i="1"/>
  <c r="AM865" i="1" s="1"/>
  <c r="D973" i="1" l="1"/>
  <c r="C972" i="1"/>
  <c r="AN865" i="1"/>
  <c r="AD865" i="1"/>
  <c r="AI865" i="1"/>
  <c r="AG865" i="1"/>
  <c r="Y865" i="1"/>
  <c r="AA865" i="1"/>
  <c r="Z865" i="1"/>
  <c r="AB865" i="1"/>
  <c r="E866" i="1"/>
  <c r="AC866" i="1" s="1"/>
  <c r="AF866" i="1"/>
  <c r="X866" i="1" s="1"/>
  <c r="AH866" i="1"/>
  <c r="AK866" i="1" s="1"/>
  <c r="AL866" i="1"/>
  <c r="AM866" i="1" s="1"/>
  <c r="D974" i="1" l="1"/>
  <c r="C974" i="1"/>
  <c r="C973" i="1"/>
  <c r="AN866" i="1"/>
  <c r="AD866" i="1"/>
  <c r="AI866" i="1"/>
  <c r="AG866" i="1"/>
  <c r="Y866" i="1"/>
  <c r="AA866" i="1"/>
  <c r="Z866" i="1"/>
  <c r="AB866" i="1"/>
  <c r="E867" i="1"/>
  <c r="AC867" i="1" s="1"/>
  <c r="AF867" i="1"/>
  <c r="X867" i="1" s="1"/>
  <c r="AH867" i="1"/>
  <c r="AK867" i="1" s="1"/>
  <c r="AL867" i="1"/>
  <c r="AM867" i="1" s="1"/>
  <c r="D975" i="1" l="1"/>
  <c r="AN867" i="1"/>
  <c r="AD867" i="1"/>
  <c r="AI867" i="1"/>
  <c r="AG867" i="1"/>
  <c r="Y867" i="1"/>
  <c r="AA867" i="1"/>
  <c r="Z867" i="1"/>
  <c r="AB867" i="1"/>
  <c r="E868" i="1"/>
  <c r="AC868" i="1" s="1"/>
  <c r="AF868" i="1"/>
  <c r="X868" i="1" s="1"/>
  <c r="AH868" i="1"/>
  <c r="AK868" i="1" s="1"/>
  <c r="AL868" i="1"/>
  <c r="AM868" i="1" s="1"/>
  <c r="D976" i="1" l="1"/>
  <c r="C975" i="1"/>
  <c r="AN868" i="1"/>
  <c r="AD868" i="1"/>
  <c r="AI868" i="1"/>
  <c r="AG868" i="1"/>
  <c r="Y868" i="1"/>
  <c r="AA868" i="1"/>
  <c r="Z868" i="1"/>
  <c r="AB868" i="1"/>
  <c r="E869" i="1"/>
  <c r="AC869" i="1" s="1"/>
  <c r="AF869" i="1"/>
  <c r="X869" i="1" s="1"/>
  <c r="AH869" i="1"/>
  <c r="AK869" i="1" s="1"/>
  <c r="AL869" i="1"/>
  <c r="AM869" i="1" s="1"/>
  <c r="D977" i="1" l="1"/>
  <c r="C976" i="1"/>
  <c r="AN869" i="1"/>
  <c r="AD869" i="1"/>
  <c r="AI869" i="1"/>
  <c r="AG869" i="1"/>
  <c r="Y869" i="1"/>
  <c r="AA869" i="1"/>
  <c r="Z869" i="1"/>
  <c r="AB869" i="1"/>
  <c r="E870" i="1"/>
  <c r="AC870" i="1" s="1"/>
  <c r="AF870" i="1"/>
  <c r="X870" i="1" s="1"/>
  <c r="AH870" i="1"/>
  <c r="AK870" i="1" s="1"/>
  <c r="AL870" i="1"/>
  <c r="AM870" i="1" s="1"/>
  <c r="D978" i="1" l="1"/>
  <c r="C978" i="1"/>
  <c r="C977" i="1"/>
  <c r="AN870" i="1"/>
  <c r="AD870" i="1"/>
  <c r="AI870" i="1"/>
  <c r="AG870" i="1"/>
  <c r="Y870" i="1"/>
  <c r="AA870" i="1"/>
  <c r="Z870" i="1"/>
  <c r="AB870" i="1"/>
  <c r="E871" i="1"/>
  <c r="AC871" i="1" s="1"/>
  <c r="AF871" i="1"/>
  <c r="X871" i="1" s="1"/>
  <c r="AH871" i="1"/>
  <c r="AK871" i="1" s="1"/>
  <c r="AL871" i="1"/>
  <c r="AM871" i="1" s="1"/>
  <c r="D979" i="1" l="1"/>
  <c r="C979" i="1" s="1"/>
  <c r="AN871" i="1"/>
  <c r="AD871" i="1"/>
  <c r="AI871" i="1"/>
  <c r="AG871" i="1"/>
  <c r="Y871" i="1"/>
  <c r="AA871" i="1"/>
  <c r="Z871" i="1"/>
  <c r="AB871" i="1"/>
  <c r="E872" i="1"/>
  <c r="AC872" i="1" s="1"/>
  <c r="AF872" i="1"/>
  <c r="X872" i="1" s="1"/>
  <c r="AH872" i="1"/>
  <c r="AK872" i="1" s="1"/>
  <c r="AL872" i="1"/>
  <c r="AM872" i="1" s="1"/>
  <c r="AN872" i="1" l="1"/>
  <c r="AD872" i="1"/>
  <c r="AI872" i="1"/>
  <c r="AG872" i="1"/>
  <c r="Y872" i="1"/>
  <c r="AA872" i="1"/>
  <c r="Z872" i="1"/>
  <c r="AB872" i="1"/>
  <c r="E873" i="1"/>
  <c r="AC873" i="1" s="1"/>
  <c r="AF873" i="1"/>
  <c r="X873" i="1" s="1"/>
  <c r="AH873" i="1"/>
  <c r="AK873" i="1" s="1"/>
  <c r="AL873" i="1"/>
  <c r="AM873" i="1" s="1"/>
  <c r="AN873" i="1" l="1"/>
  <c r="AD873" i="1"/>
  <c r="AI873" i="1"/>
  <c r="AG873" i="1"/>
  <c r="Y873" i="1"/>
  <c r="AA873" i="1"/>
  <c r="Z873" i="1"/>
  <c r="AB873" i="1"/>
  <c r="E874" i="1"/>
  <c r="AC874" i="1" s="1"/>
  <c r="AF874" i="1"/>
  <c r="X874" i="1" s="1"/>
  <c r="AH874" i="1"/>
  <c r="AK874" i="1" s="1"/>
  <c r="AL874" i="1"/>
  <c r="AM874" i="1" s="1"/>
  <c r="AN874" i="1" l="1"/>
  <c r="AD874" i="1"/>
  <c r="AI874" i="1"/>
  <c r="AG874" i="1"/>
  <c r="Y874" i="1"/>
  <c r="AA874" i="1"/>
  <c r="Z874" i="1"/>
  <c r="AB874" i="1"/>
  <c r="E875" i="1"/>
  <c r="AC875" i="1" s="1"/>
  <c r="AF875" i="1"/>
  <c r="X875" i="1" s="1"/>
  <c r="AH875" i="1"/>
  <c r="AK875" i="1" s="1"/>
  <c r="AL875" i="1"/>
  <c r="AM875" i="1" s="1"/>
  <c r="AN875" i="1" l="1"/>
  <c r="AD875" i="1"/>
  <c r="AI875" i="1"/>
  <c r="AG875" i="1"/>
  <c r="Y875" i="1"/>
  <c r="AA875" i="1"/>
  <c r="Z875" i="1"/>
  <c r="AB875" i="1"/>
  <c r="E876" i="1"/>
  <c r="AC876" i="1" s="1"/>
  <c r="AF876" i="1"/>
  <c r="X876" i="1" s="1"/>
  <c r="AH876" i="1"/>
  <c r="AK876" i="1" s="1"/>
  <c r="AL876" i="1"/>
  <c r="AM876" i="1" s="1"/>
  <c r="AN876" i="1" l="1"/>
  <c r="AD876" i="1"/>
  <c r="AI876" i="1"/>
  <c r="AG876" i="1"/>
  <c r="Y876" i="1"/>
  <c r="AA876" i="1"/>
  <c r="Z876" i="1"/>
  <c r="AB876" i="1"/>
  <c r="E877" i="1"/>
  <c r="AC877" i="1" s="1"/>
  <c r="AF877" i="1"/>
  <c r="X877" i="1" s="1"/>
  <c r="AH877" i="1"/>
  <c r="AK877" i="1" s="1"/>
  <c r="AL877" i="1"/>
  <c r="AM877" i="1" s="1"/>
  <c r="AN877" i="1" l="1"/>
  <c r="AD877" i="1"/>
  <c r="AI877" i="1"/>
  <c r="AG877" i="1"/>
  <c r="Y877" i="1"/>
  <c r="AA877" i="1"/>
  <c r="Z877" i="1"/>
  <c r="AB877" i="1"/>
  <c r="E878" i="1"/>
  <c r="AC878" i="1" s="1"/>
  <c r="AF878" i="1"/>
  <c r="X878" i="1" s="1"/>
  <c r="AH878" i="1"/>
  <c r="AK878" i="1" s="1"/>
  <c r="AL878" i="1"/>
  <c r="AM878" i="1" s="1"/>
  <c r="AN878" i="1" l="1"/>
  <c r="AD878" i="1"/>
  <c r="AI878" i="1"/>
  <c r="AG878" i="1"/>
  <c r="Y878" i="1"/>
  <c r="AA878" i="1"/>
  <c r="Z878" i="1"/>
  <c r="AB878" i="1"/>
  <c r="E879" i="1"/>
  <c r="AC879" i="1" s="1"/>
  <c r="AF879" i="1"/>
  <c r="X879" i="1" s="1"/>
  <c r="AH879" i="1"/>
  <c r="AK879" i="1" s="1"/>
  <c r="AL879" i="1"/>
  <c r="AM879" i="1" s="1"/>
  <c r="AN879" i="1" l="1"/>
  <c r="AD879" i="1"/>
  <c r="AI879" i="1"/>
  <c r="AG879" i="1"/>
  <c r="Y879" i="1"/>
  <c r="AA879" i="1"/>
  <c r="Z879" i="1"/>
  <c r="AB879" i="1"/>
  <c r="E880" i="1"/>
  <c r="AC880" i="1" s="1"/>
  <c r="AF880" i="1"/>
  <c r="X880" i="1" s="1"/>
  <c r="AH880" i="1"/>
  <c r="AK880" i="1" s="1"/>
  <c r="AL880" i="1"/>
  <c r="AM880" i="1" s="1"/>
  <c r="AN880" i="1" l="1"/>
  <c r="AD880" i="1"/>
  <c r="AI880" i="1"/>
  <c r="AG880" i="1"/>
  <c r="Y880" i="1"/>
  <c r="AA880" i="1"/>
  <c r="Z880" i="1"/>
  <c r="AB880" i="1"/>
  <c r="E881" i="1"/>
  <c r="AC881" i="1" s="1"/>
  <c r="AF881" i="1"/>
  <c r="X881" i="1" s="1"/>
  <c r="AH881" i="1"/>
  <c r="AK881" i="1" s="1"/>
  <c r="AL881" i="1"/>
  <c r="AM881" i="1" s="1"/>
  <c r="AD881" i="1" l="1"/>
  <c r="AI881" i="1"/>
  <c r="AG881" i="1"/>
  <c r="Y881" i="1"/>
  <c r="AA881" i="1"/>
  <c r="Z881" i="1"/>
  <c r="AB881" i="1"/>
  <c r="AN881" i="1"/>
  <c r="E882" i="1"/>
  <c r="AD882" i="1" s="1"/>
  <c r="AF882" i="1"/>
  <c r="X882" i="1" s="1"/>
  <c r="AH882" i="1"/>
  <c r="AK882" i="1" s="1"/>
  <c r="AL882" i="1"/>
  <c r="AM882" i="1" s="1"/>
  <c r="AN882" i="1" l="1"/>
  <c r="AI882" i="1"/>
  <c r="AG882" i="1"/>
  <c r="AC882" i="1"/>
  <c r="Z882" i="1"/>
  <c r="AB882" i="1"/>
  <c r="Y882" i="1"/>
  <c r="AA882" i="1"/>
  <c r="E883" i="1"/>
  <c r="AC883" i="1" s="1"/>
  <c r="AF883" i="1"/>
  <c r="X883" i="1" s="1"/>
  <c r="AH883" i="1"/>
  <c r="AK883" i="1" s="1"/>
  <c r="AL883" i="1"/>
  <c r="AM883" i="1" s="1"/>
  <c r="AI883" i="1" l="1"/>
  <c r="AD883" i="1"/>
  <c r="AG883" i="1"/>
  <c r="Y883" i="1"/>
  <c r="AA883" i="1"/>
  <c r="Z883" i="1"/>
  <c r="AB883" i="1"/>
  <c r="AN883" i="1"/>
  <c r="E884" i="1"/>
  <c r="AD884" i="1" s="1"/>
  <c r="AF884" i="1"/>
  <c r="X884" i="1" s="1"/>
  <c r="AH884" i="1"/>
  <c r="AK884" i="1" s="1"/>
  <c r="AL884" i="1"/>
  <c r="AM884" i="1" s="1"/>
  <c r="AN884" i="1" l="1"/>
  <c r="AI884" i="1"/>
  <c r="AG884" i="1"/>
  <c r="AC884" i="1"/>
  <c r="Z884" i="1"/>
  <c r="AB884" i="1"/>
  <c r="Y884" i="1"/>
  <c r="AA884" i="1"/>
  <c r="E885" i="1"/>
  <c r="AC885" i="1" s="1"/>
  <c r="AF885" i="1"/>
  <c r="X885" i="1" s="1"/>
  <c r="AH885" i="1"/>
  <c r="AK885" i="1" s="1"/>
  <c r="AL885" i="1"/>
  <c r="AM885" i="1" s="1"/>
  <c r="AD885" i="1" l="1"/>
  <c r="AI885" i="1"/>
  <c r="AG885" i="1"/>
  <c r="Y885" i="1"/>
  <c r="AA885" i="1"/>
  <c r="Z885" i="1"/>
  <c r="AB885" i="1"/>
  <c r="AN885" i="1"/>
  <c r="E886" i="1"/>
  <c r="AD886" i="1" s="1"/>
  <c r="AF886" i="1"/>
  <c r="X886" i="1" s="1"/>
  <c r="AH886" i="1"/>
  <c r="AK886" i="1" s="1"/>
  <c r="AL886" i="1"/>
  <c r="AM886" i="1" s="1"/>
  <c r="AN886" i="1" l="1"/>
  <c r="AI886" i="1"/>
  <c r="AG886" i="1"/>
  <c r="AC886" i="1"/>
  <c r="Z886" i="1"/>
  <c r="AB886" i="1"/>
  <c r="Y886" i="1"/>
  <c r="AA886" i="1"/>
  <c r="E887" i="1"/>
  <c r="AC887" i="1" s="1"/>
  <c r="AF887" i="1"/>
  <c r="X887" i="1" s="1"/>
  <c r="AH887" i="1"/>
  <c r="AK887" i="1" s="1"/>
  <c r="AL887" i="1"/>
  <c r="AM887" i="1" s="1"/>
  <c r="AD887" i="1" l="1"/>
  <c r="AI887" i="1"/>
  <c r="AG887" i="1"/>
  <c r="Y887" i="1"/>
  <c r="AA887" i="1"/>
  <c r="Z887" i="1"/>
  <c r="AB887" i="1"/>
  <c r="AN887" i="1"/>
  <c r="E888" i="1"/>
  <c r="AD888" i="1" s="1"/>
  <c r="AF888" i="1"/>
  <c r="X888" i="1" s="1"/>
  <c r="AH888" i="1"/>
  <c r="AK888" i="1" s="1"/>
  <c r="AL888" i="1"/>
  <c r="AM888" i="1" s="1"/>
  <c r="AI888" i="1" l="1"/>
  <c r="AG888" i="1"/>
  <c r="AC888" i="1"/>
  <c r="Z888" i="1"/>
  <c r="AB888" i="1"/>
  <c r="Y888" i="1"/>
  <c r="AA888" i="1"/>
  <c r="AN888" i="1"/>
  <c r="E889" i="1"/>
  <c r="AD889" i="1" s="1"/>
  <c r="AF889" i="1"/>
  <c r="X889" i="1" s="1"/>
  <c r="AH889" i="1"/>
  <c r="AK889" i="1" s="1"/>
  <c r="AL889" i="1"/>
  <c r="AM889" i="1" s="1"/>
  <c r="AN889" i="1" l="1"/>
  <c r="AI889" i="1"/>
  <c r="AG889" i="1"/>
  <c r="AC889" i="1"/>
  <c r="Z889" i="1"/>
  <c r="AB889" i="1"/>
  <c r="Y889" i="1"/>
  <c r="AA889" i="1"/>
  <c r="E890" i="1"/>
  <c r="AC890" i="1" s="1"/>
  <c r="AF890" i="1"/>
  <c r="X890" i="1" s="1"/>
  <c r="AH890" i="1"/>
  <c r="AK890" i="1" s="1"/>
  <c r="AL890" i="1"/>
  <c r="AM890" i="1" s="1"/>
  <c r="AD890" i="1" l="1"/>
  <c r="AI890" i="1"/>
  <c r="AG890" i="1"/>
  <c r="Y890" i="1"/>
  <c r="AA890" i="1"/>
  <c r="Z890" i="1"/>
  <c r="AB890" i="1"/>
  <c r="AN890" i="1"/>
  <c r="E891" i="1"/>
  <c r="AD891" i="1" s="1"/>
  <c r="AF891" i="1"/>
  <c r="X891" i="1" s="1"/>
  <c r="AH891" i="1"/>
  <c r="AK891" i="1" s="1"/>
  <c r="AL891" i="1"/>
  <c r="AM891" i="1" s="1"/>
  <c r="AI891" i="1" l="1"/>
  <c r="AG891" i="1"/>
  <c r="AC891" i="1"/>
  <c r="Z891" i="1"/>
  <c r="AB891" i="1"/>
  <c r="Y891" i="1"/>
  <c r="AA891" i="1"/>
  <c r="AN891" i="1"/>
  <c r="E892" i="1"/>
  <c r="AD892" i="1" s="1"/>
  <c r="AF892" i="1"/>
  <c r="X892" i="1" s="1"/>
  <c r="AH892" i="1"/>
  <c r="AK892" i="1" s="1"/>
  <c r="AL892" i="1"/>
  <c r="AM892" i="1" s="1"/>
  <c r="AN892" i="1" l="1"/>
  <c r="AI892" i="1"/>
  <c r="AG892" i="1"/>
  <c r="AC892" i="1"/>
  <c r="Z892" i="1"/>
  <c r="AB892" i="1"/>
  <c r="Y892" i="1"/>
  <c r="AA892" i="1"/>
  <c r="E893" i="1"/>
  <c r="AC893" i="1" s="1"/>
  <c r="AF893" i="1"/>
  <c r="X893" i="1" s="1"/>
  <c r="AH893" i="1"/>
  <c r="AK893" i="1" s="1"/>
  <c r="AL893" i="1"/>
  <c r="AM893" i="1" s="1"/>
  <c r="AD893" i="1" l="1"/>
  <c r="AI893" i="1"/>
  <c r="AG893" i="1"/>
  <c r="Y893" i="1"/>
  <c r="AA893" i="1"/>
  <c r="Z893" i="1"/>
  <c r="AB893" i="1"/>
  <c r="AN893" i="1"/>
  <c r="E894" i="1"/>
  <c r="AD894" i="1" s="1"/>
  <c r="AF894" i="1"/>
  <c r="X894" i="1" s="1"/>
  <c r="AH894" i="1"/>
  <c r="AK894" i="1" s="1"/>
  <c r="AL894" i="1"/>
  <c r="AM894" i="1" s="1"/>
  <c r="AI894" i="1" l="1"/>
  <c r="AG894" i="1"/>
  <c r="AC894" i="1"/>
  <c r="Z894" i="1"/>
  <c r="AB894" i="1"/>
  <c r="Y894" i="1"/>
  <c r="AA894" i="1"/>
  <c r="AN894" i="1"/>
  <c r="E895" i="1"/>
  <c r="AD895" i="1" s="1"/>
  <c r="AF895" i="1"/>
  <c r="X895" i="1" s="1"/>
  <c r="AH895" i="1"/>
  <c r="AK895" i="1" s="1"/>
  <c r="AL895" i="1"/>
  <c r="AM895" i="1" s="1"/>
  <c r="AN895" i="1" l="1"/>
  <c r="AI895" i="1"/>
  <c r="AG895" i="1"/>
  <c r="AC895" i="1"/>
  <c r="Z895" i="1"/>
  <c r="AB895" i="1"/>
  <c r="Y895" i="1"/>
  <c r="AA895" i="1"/>
  <c r="E896" i="1"/>
  <c r="AC896" i="1" s="1"/>
  <c r="AF896" i="1"/>
  <c r="X896" i="1" s="1"/>
  <c r="AH896" i="1"/>
  <c r="AK896" i="1" s="1"/>
  <c r="AL896" i="1"/>
  <c r="AM896" i="1" s="1"/>
  <c r="AD896" i="1" l="1"/>
  <c r="AI896" i="1"/>
  <c r="AG896" i="1"/>
  <c r="Y896" i="1"/>
  <c r="AA896" i="1"/>
  <c r="Z896" i="1"/>
  <c r="AB896" i="1"/>
  <c r="AN896" i="1"/>
  <c r="E897" i="1"/>
  <c r="AD897" i="1" s="1"/>
  <c r="AF897" i="1"/>
  <c r="X897" i="1" s="1"/>
  <c r="AH897" i="1"/>
  <c r="AK897" i="1" s="1"/>
  <c r="AL897" i="1"/>
  <c r="AM897" i="1" s="1"/>
  <c r="AI897" i="1" l="1"/>
  <c r="AG897" i="1"/>
  <c r="AC897" i="1"/>
  <c r="Z897" i="1"/>
  <c r="AB897" i="1"/>
  <c r="Y897" i="1"/>
  <c r="AA897" i="1"/>
  <c r="AN897" i="1"/>
  <c r="E898" i="1"/>
  <c r="AD898" i="1" s="1"/>
  <c r="AF898" i="1"/>
  <c r="X898" i="1" s="1"/>
  <c r="AH898" i="1"/>
  <c r="AK898" i="1" s="1"/>
  <c r="AL898" i="1"/>
  <c r="AM898" i="1" s="1"/>
  <c r="AN898" i="1" l="1"/>
  <c r="AI898" i="1"/>
  <c r="AG898" i="1"/>
  <c r="AC898" i="1"/>
  <c r="Z898" i="1"/>
  <c r="AB898" i="1"/>
  <c r="Y898" i="1"/>
  <c r="AA898" i="1"/>
  <c r="E899" i="1"/>
  <c r="AC899" i="1" s="1"/>
  <c r="AF899" i="1"/>
  <c r="X899" i="1" s="1"/>
  <c r="AH899" i="1"/>
  <c r="AK899" i="1" s="1"/>
  <c r="AL899" i="1"/>
  <c r="AM899" i="1" s="1"/>
  <c r="AD899" i="1" l="1"/>
  <c r="AI899" i="1"/>
  <c r="AG899" i="1"/>
  <c r="Y899" i="1"/>
  <c r="AA899" i="1"/>
  <c r="Z899" i="1"/>
  <c r="AB899" i="1"/>
  <c r="AN899" i="1"/>
  <c r="E900" i="1"/>
  <c r="AD900" i="1" s="1"/>
  <c r="AF900" i="1"/>
  <c r="X900" i="1" s="1"/>
  <c r="AH900" i="1"/>
  <c r="AK900" i="1" s="1"/>
  <c r="AL900" i="1"/>
  <c r="AM900" i="1" s="1"/>
  <c r="AN900" i="1" l="1"/>
  <c r="AI900" i="1"/>
  <c r="AG900" i="1"/>
  <c r="AC900" i="1"/>
  <c r="Z900" i="1"/>
  <c r="AB900" i="1"/>
  <c r="Y900" i="1"/>
  <c r="AA900" i="1"/>
  <c r="E901" i="1"/>
  <c r="AC901" i="1" s="1"/>
  <c r="AF901" i="1"/>
  <c r="X901" i="1" s="1"/>
  <c r="AH901" i="1"/>
  <c r="AK901" i="1" s="1"/>
  <c r="AL901" i="1"/>
  <c r="AM901" i="1" s="1"/>
  <c r="AD901" i="1" l="1"/>
  <c r="AI901" i="1"/>
  <c r="AG901" i="1"/>
  <c r="Y901" i="1"/>
  <c r="AA901" i="1"/>
  <c r="Z901" i="1"/>
  <c r="AB901" i="1"/>
  <c r="AN901" i="1"/>
  <c r="E902" i="1"/>
  <c r="AD902" i="1" s="1"/>
  <c r="AF902" i="1"/>
  <c r="X902" i="1" s="1"/>
  <c r="AH902" i="1"/>
  <c r="AK902" i="1" s="1"/>
  <c r="AL902" i="1"/>
  <c r="AM902" i="1" s="1"/>
  <c r="AI902" i="1" l="1"/>
  <c r="AG902" i="1"/>
  <c r="AC902" i="1"/>
  <c r="Z902" i="1"/>
  <c r="AB902" i="1"/>
  <c r="Y902" i="1"/>
  <c r="AA902" i="1"/>
  <c r="AN902" i="1"/>
  <c r="E903" i="1"/>
  <c r="AD903" i="1" s="1"/>
  <c r="AF903" i="1"/>
  <c r="X903" i="1" s="1"/>
  <c r="AH903" i="1"/>
  <c r="AK903" i="1" s="1"/>
  <c r="AL903" i="1"/>
  <c r="AM903" i="1" s="1"/>
  <c r="AN903" i="1" l="1"/>
  <c r="AI903" i="1"/>
  <c r="AG903" i="1"/>
  <c r="AC903" i="1"/>
  <c r="Z903" i="1"/>
  <c r="AB903" i="1"/>
  <c r="Y903" i="1"/>
  <c r="AA903" i="1"/>
  <c r="E904" i="1"/>
  <c r="AC904" i="1" s="1"/>
  <c r="AF904" i="1"/>
  <c r="X904" i="1" s="1"/>
  <c r="AH904" i="1"/>
  <c r="AK904" i="1" s="1"/>
  <c r="AL904" i="1"/>
  <c r="AM904" i="1" s="1"/>
  <c r="AD904" i="1" l="1"/>
  <c r="AI904" i="1"/>
  <c r="AG904" i="1"/>
  <c r="Y904" i="1"/>
  <c r="AA904" i="1"/>
  <c r="Z904" i="1"/>
  <c r="AB904" i="1"/>
  <c r="AN904" i="1"/>
  <c r="E905" i="1"/>
  <c r="AD905" i="1" s="1"/>
  <c r="AF905" i="1"/>
  <c r="X905" i="1" s="1"/>
  <c r="AH905" i="1"/>
  <c r="AK905" i="1" s="1"/>
  <c r="AL905" i="1"/>
  <c r="AM905" i="1" s="1"/>
  <c r="AN905" i="1" l="1"/>
  <c r="AI905" i="1"/>
  <c r="AG905" i="1"/>
  <c r="AC905" i="1"/>
  <c r="Z905" i="1"/>
  <c r="AB905" i="1"/>
  <c r="Y905" i="1"/>
  <c r="AA905" i="1"/>
  <c r="E906" i="1"/>
  <c r="AC906" i="1" s="1"/>
  <c r="AF906" i="1"/>
  <c r="X906" i="1" s="1"/>
  <c r="AH906" i="1"/>
  <c r="AK906" i="1" s="1"/>
  <c r="AL906" i="1"/>
  <c r="AM906" i="1" s="1"/>
  <c r="AD906" i="1" l="1"/>
  <c r="AI906" i="1"/>
  <c r="AG906" i="1"/>
  <c r="Y906" i="1"/>
  <c r="AA906" i="1"/>
  <c r="Z906" i="1"/>
  <c r="AB906" i="1"/>
  <c r="AN906" i="1"/>
  <c r="E907" i="1"/>
  <c r="AD907" i="1" s="1"/>
  <c r="AF907" i="1"/>
  <c r="X907" i="1" s="1"/>
  <c r="AH907" i="1"/>
  <c r="AK907" i="1" s="1"/>
  <c r="AL907" i="1"/>
  <c r="AM907" i="1" s="1"/>
  <c r="AN907" i="1" l="1"/>
  <c r="AI907" i="1"/>
  <c r="AG907" i="1"/>
  <c r="AC907" i="1"/>
  <c r="Z907" i="1"/>
  <c r="AB907" i="1"/>
  <c r="Y907" i="1"/>
  <c r="AA907" i="1"/>
  <c r="E908" i="1"/>
  <c r="AC908" i="1" s="1"/>
  <c r="AF908" i="1"/>
  <c r="X908" i="1" s="1"/>
  <c r="AH908" i="1"/>
  <c r="AK908" i="1" s="1"/>
  <c r="AL908" i="1"/>
  <c r="AM908" i="1" s="1"/>
  <c r="AD908" i="1" l="1"/>
  <c r="AI908" i="1"/>
  <c r="AG908" i="1"/>
  <c r="Y908" i="1"/>
  <c r="AA908" i="1"/>
  <c r="Z908" i="1"/>
  <c r="AB908" i="1"/>
  <c r="AN908" i="1"/>
  <c r="E909" i="1"/>
  <c r="AD909" i="1" s="1"/>
  <c r="AF909" i="1"/>
  <c r="X909" i="1" s="1"/>
  <c r="AH909" i="1"/>
  <c r="AK909" i="1" s="1"/>
  <c r="AL909" i="1"/>
  <c r="AM909" i="1" s="1"/>
  <c r="AI909" i="1" l="1"/>
  <c r="AG909" i="1"/>
  <c r="AC909" i="1"/>
  <c r="Z909" i="1"/>
  <c r="AB909" i="1"/>
  <c r="Y909" i="1"/>
  <c r="AA909" i="1"/>
  <c r="AN909" i="1"/>
  <c r="E910" i="1"/>
  <c r="AD910" i="1" s="1"/>
  <c r="AF910" i="1"/>
  <c r="X910" i="1" s="1"/>
  <c r="AH910" i="1"/>
  <c r="AK910" i="1" s="1"/>
  <c r="AL910" i="1"/>
  <c r="AM910" i="1" s="1"/>
  <c r="AN910" i="1" l="1"/>
  <c r="AI910" i="1"/>
  <c r="AG910" i="1"/>
  <c r="AC910" i="1"/>
  <c r="Z910" i="1"/>
  <c r="AB910" i="1"/>
  <c r="Y910" i="1"/>
  <c r="AA910" i="1"/>
  <c r="E911" i="1"/>
  <c r="AC911" i="1" s="1"/>
  <c r="AF911" i="1"/>
  <c r="X911" i="1" s="1"/>
  <c r="AH911" i="1"/>
  <c r="AK911" i="1" s="1"/>
  <c r="AL911" i="1"/>
  <c r="AM911" i="1" s="1"/>
  <c r="AD911" i="1" l="1"/>
  <c r="AI911" i="1"/>
  <c r="AG911" i="1"/>
  <c r="Y911" i="1"/>
  <c r="AA911" i="1"/>
  <c r="Z911" i="1"/>
  <c r="AB911" i="1"/>
  <c r="AN911" i="1"/>
  <c r="E912" i="1"/>
  <c r="AD912" i="1" s="1"/>
  <c r="AF912" i="1"/>
  <c r="X912" i="1" s="1"/>
  <c r="AH912" i="1"/>
  <c r="AK912" i="1" s="1"/>
  <c r="AL912" i="1"/>
  <c r="AM912" i="1" s="1"/>
  <c r="AN912" i="1" l="1"/>
  <c r="AI912" i="1"/>
  <c r="AG912" i="1"/>
  <c r="AC912" i="1"/>
  <c r="Z912" i="1"/>
  <c r="AB912" i="1"/>
  <c r="Y912" i="1"/>
  <c r="AA912" i="1"/>
  <c r="E913" i="1"/>
  <c r="AC913" i="1" s="1"/>
  <c r="AF913" i="1"/>
  <c r="X913" i="1" s="1"/>
  <c r="AH913" i="1"/>
  <c r="AK913" i="1" s="1"/>
  <c r="AL913" i="1"/>
  <c r="AM913" i="1" s="1"/>
  <c r="AD913" i="1" l="1"/>
  <c r="AI913" i="1"/>
  <c r="AG913" i="1"/>
  <c r="Y913" i="1"/>
  <c r="AA913" i="1"/>
  <c r="AB913" i="1"/>
  <c r="Z913" i="1"/>
  <c r="AN913" i="1"/>
  <c r="E914" i="1"/>
  <c r="AD914" i="1" s="1"/>
  <c r="AF914" i="1"/>
  <c r="X914" i="1" s="1"/>
  <c r="AH914" i="1"/>
  <c r="AK914" i="1" s="1"/>
  <c r="AL914" i="1"/>
  <c r="AM914" i="1" s="1"/>
  <c r="AN914" i="1" l="1"/>
  <c r="AI914" i="1"/>
  <c r="AG914" i="1"/>
  <c r="AC914" i="1"/>
  <c r="Z914" i="1"/>
  <c r="AB914" i="1"/>
  <c r="Y914" i="1"/>
  <c r="AA914" i="1"/>
  <c r="E915" i="1"/>
  <c r="AC915" i="1" s="1"/>
  <c r="AF915" i="1"/>
  <c r="X915" i="1" s="1"/>
  <c r="AH915" i="1"/>
  <c r="AK915" i="1" s="1"/>
  <c r="AL915" i="1"/>
  <c r="AM915" i="1" s="1"/>
  <c r="AD915" i="1" l="1"/>
  <c r="AI915" i="1"/>
  <c r="AG915" i="1"/>
  <c r="Y915" i="1"/>
  <c r="AA915" i="1"/>
  <c r="Z915" i="1"/>
  <c r="AB915" i="1"/>
  <c r="AN915" i="1"/>
  <c r="E916" i="1"/>
  <c r="AD916" i="1" s="1"/>
  <c r="AF916" i="1"/>
  <c r="X916" i="1" s="1"/>
  <c r="AH916" i="1"/>
  <c r="AK916" i="1" s="1"/>
  <c r="AL916" i="1"/>
  <c r="AM916" i="1" s="1"/>
  <c r="AN916" i="1" l="1"/>
  <c r="AI916" i="1"/>
  <c r="AG916" i="1"/>
  <c r="AC916" i="1"/>
  <c r="Z916" i="1"/>
  <c r="AB916" i="1"/>
  <c r="Y916" i="1"/>
  <c r="AA916" i="1"/>
  <c r="E917" i="1"/>
  <c r="AC917" i="1" s="1"/>
  <c r="AF917" i="1"/>
  <c r="X917" i="1" s="1"/>
  <c r="AH917" i="1"/>
  <c r="AK917" i="1" s="1"/>
  <c r="AL917" i="1"/>
  <c r="AM917" i="1" s="1"/>
  <c r="AD917" i="1" l="1"/>
  <c r="AI917" i="1"/>
  <c r="AG917" i="1"/>
  <c r="Y917" i="1"/>
  <c r="AA917" i="1"/>
  <c r="Z917" i="1"/>
  <c r="AB917" i="1"/>
  <c r="AN917" i="1"/>
  <c r="E918" i="1"/>
  <c r="AD918" i="1" s="1"/>
  <c r="AF918" i="1"/>
  <c r="X918" i="1" s="1"/>
  <c r="AH918" i="1"/>
  <c r="AK918" i="1" s="1"/>
  <c r="AL918" i="1"/>
  <c r="AM918" i="1" s="1"/>
  <c r="AI918" i="1" l="1"/>
  <c r="AG918" i="1"/>
  <c r="AC918" i="1"/>
  <c r="Z918" i="1"/>
  <c r="AB918" i="1"/>
  <c r="Y918" i="1"/>
  <c r="AA918" i="1"/>
  <c r="AN918" i="1"/>
  <c r="E919" i="1"/>
  <c r="AD919" i="1" s="1"/>
  <c r="AF919" i="1"/>
  <c r="X919" i="1" s="1"/>
  <c r="AH919" i="1"/>
  <c r="AK919" i="1" s="1"/>
  <c r="AL919" i="1"/>
  <c r="AM919" i="1" s="1"/>
  <c r="AN919" i="1" l="1"/>
  <c r="AI919" i="1"/>
  <c r="AG919" i="1"/>
  <c r="AC919" i="1"/>
  <c r="Z919" i="1"/>
  <c r="AB919" i="1"/>
  <c r="Y919" i="1"/>
  <c r="AA919" i="1"/>
  <c r="E920" i="1"/>
  <c r="AC920" i="1" s="1"/>
  <c r="AF920" i="1"/>
  <c r="X920" i="1" s="1"/>
  <c r="AH920" i="1"/>
  <c r="AK920" i="1" s="1"/>
  <c r="AL920" i="1"/>
  <c r="AM920" i="1" s="1"/>
  <c r="AI920" i="1" l="1"/>
  <c r="AG920" i="1"/>
  <c r="AD920" i="1"/>
  <c r="Y920" i="1"/>
  <c r="AA920" i="1"/>
  <c r="Z920" i="1"/>
  <c r="AB920" i="1"/>
  <c r="AN920" i="1"/>
  <c r="E921" i="1"/>
  <c r="AD921" i="1" s="1"/>
  <c r="AF921" i="1"/>
  <c r="X921" i="1" s="1"/>
  <c r="AH921" i="1"/>
  <c r="AK921" i="1" s="1"/>
  <c r="AL921" i="1"/>
  <c r="AM921" i="1" s="1"/>
  <c r="AI921" i="1" l="1"/>
  <c r="AG921" i="1"/>
  <c r="AC921" i="1"/>
  <c r="Z921" i="1"/>
  <c r="AB921" i="1"/>
  <c r="Y921" i="1"/>
  <c r="AA921" i="1"/>
  <c r="AN921" i="1"/>
  <c r="E922" i="1"/>
  <c r="AD922" i="1" s="1"/>
  <c r="AF922" i="1"/>
  <c r="X922" i="1" s="1"/>
  <c r="AH922" i="1"/>
  <c r="AK922" i="1" s="1"/>
  <c r="AL922" i="1"/>
  <c r="AM922" i="1" s="1"/>
  <c r="AN922" i="1" l="1"/>
  <c r="AI922" i="1"/>
  <c r="AG922" i="1"/>
  <c r="AC922" i="1"/>
  <c r="Z922" i="1"/>
  <c r="AB922" i="1"/>
  <c r="Y922" i="1"/>
  <c r="AA922" i="1"/>
  <c r="E923" i="1"/>
  <c r="AC923" i="1" s="1"/>
  <c r="AF923" i="1"/>
  <c r="X923" i="1" s="1"/>
  <c r="AH923" i="1"/>
  <c r="AK923" i="1" s="1"/>
  <c r="AL923" i="1"/>
  <c r="AM923" i="1" s="1"/>
  <c r="AD923" i="1" l="1"/>
  <c r="AI923" i="1"/>
  <c r="AG923" i="1"/>
  <c r="Y923" i="1"/>
  <c r="AA923" i="1"/>
  <c r="Z923" i="1"/>
  <c r="AB923" i="1"/>
  <c r="AN923" i="1"/>
  <c r="E924" i="1"/>
  <c r="AD924" i="1" s="1"/>
  <c r="AF924" i="1"/>
  <c r="X924" i="1" s="1"/>
  <c r="AH924" i="1"/>
  <c r="AK924" i="1" s="1"/>
  <c r="AL924" i="1"/>
  <c r="AM924" i="1" s="1"/>
  <c r="AN924" i="1" l="1"/>
  <c r="AI924" i="1"/>
  <c r="AG924" i="1"/>
  <c r="AC924" i="1"/>
  <c r="Z924" i="1"/>
  <c r="AB924" i="1"/>
  <c r="Y924" i="1"/>
  <c r="AA924" i="1"/>
  <c r="E925" i="1"/>
  <c r="AC925" i="1" s="1"/>
  <c r="AF925" i="1"/>
  <c r="X925" i="1" s="1"/>
  <c r="AH925" i="1"/>
  <c r="AK925" i="1" s="1"/>
  <c r="AL925" i="1"/>
  <c r="AM925" i="1" s="1"/>
  <c r="AD925" i="1" l="1"/>
  <c r="AI925" i="1"/>
  <c r="AG925" i="1"/>
  <c r="Y925" i="1"/>
  <c r="AA925" i="1"/>
  <c r="Z925" i="1"/>
  <c r="AB925" i="1"/>
  <c r="AN925" i="1"/>
  <c r="E926" i="1"/>
  <c r="AD926" i="1" s="1"/>
  <c r="AF926" i="1"/>
  <c r="X926" i="1" s="1"/>
  <c r="AH926" i="1"/>
  <c r="AK926" i="1" s="1"/>
  <c r="AL926" i="1"/>
  <c r="AM926" i="1" s="1"/>
  <c r="AI926" i="1" l="1"/>
  <c r="AG926" i="1"/>
  <c r="AC926" i="1"/>
  <c r="Z926" i="1"/>
  <c r="AB926" i="1"/>
  <c r="Y926" i="1"/>
  <c r="AA926" i="1"/>
  <c r="AN926" i="1"/>
  <c r="E927" i="1"/>
  <c r="AD927" i="1" s="1"/>
  <c r="AF927" i="1"/>
  <c r="X927" i="1" s="1"/>
  <c r="AH927" i="1"/>
  <c r="AK927" i="1" s="1"/>
  <c r="AL927" i="1"/>
  <c r="AM927" i="1" s="1"/>
  <c r="AI927" i="1" l="1"/>
  <c r="AG927" i="1"/>
  <c r="AC927" i="1"/>
  <c r="Z927" i="1"/>
  <c r="AB927" i="1"/>
  <c r="Y927" i="1"/>
  <c r="AA927" i="1"/>
  <c r="AN927" i="1"/>
  <c r="E928" i="1"/>
  <c r="AD928" i="1" s="1"/>
  <c r="AF928" i="1"/>
  <c r="X928" i="1" s="1"/>
  <c r="AH928" i="1"/>
  <c r="AK928" i="1" s="1"/>
  <c r="AL928" i="1"/>
  <c r="AM928" i="1" s="1"/>
  <c r="AN928" i="1" l="1"/>
  <c r="AI928" i="1"/>
  <c r="AG928" i="1"/>
  <c r="AC928" i="1"/>
  <c r="Z928" i="1"/>
  <c r="AB928" i="1"/>
  <c r="Y928" i="1"/>
  <c r="AA928" i="1"/>
  <c r="E929" i="1"/>
  <c r="AC929" i="1" s="1"/>
  <c r="AF929" i="1"/>
  <c r="X929" i="1" s="1"/>
  <c r="AH929" i="1"/>
  <c r="AK929" i="1" s="1"/>
  <c r="AL929" i="1"/>
  <c r="AM929" i="1" s="1"/>
  <c r="AD929" i="1" l="1"/>
  <c r="AI929" i="1"/>
  <c r="AG929" i="1"/>
  <c r="Y929" i="1"/>
  <c r="AA929" i="1"/>
  <c r="Z929" i="1"/>
  <c r="AB929" i="1"/>
  <c r="AN929" i="1"/>
  <c r="E930" i="1"/>
  <c r="AD930" i="1" s="1"/>
  <c r="AF930" i="1"/>
  <c r="X930" i="1" s="1"/>
  <c r="AH930" i="1"/>
  <c r="AK930" i="1" s="1"/>
  <c r="AL930" i="1"/>
  <c r="AM930" i="1" s="1"/>
  <c r="AN930" i="1" l="1"/>
  <c r="AI930" i="1"/>
  <c r="AG930" i="1"/>
  <c r="AC930" i="1"/>
  <c r="Z930" i="1"/>
  <c r="AB930" i="1"/>
  <c r="Y930" i="1"/>
  <c r="AA930" i="1"/>
  <c r="E931" i="1"/>
  <c r="AC931" i="1" s="1"/>
  <c r="AF931" i="1"/>
  <c r="X931" i="1" s="1"/>
  <c r="AH931" i="1"/>
  <c r="AK931" i="1" s="1"/>
  <c r="AL931" i="1"/>
  <c r="AM931" i="1" s="1"/>
  <c r="AD931" i="1" l="1"/>
  <c r="AI931" i="1"/>
  <c r="AG931" i="1"/>
  <c r="Y931" i="1"/>
  <c r="AA931" i="1"/>
  <c r="Z931" i="1"/>
  <c r="AB931" i="1"/>
  <c r="AN931" i="1"/>
  <c r="E932" i="1"/>
  <c r="AD932" i="1" s="1"/>
  <c r="AF932" i="1"/>
  <c r="X932" i="1" s="1"/>
  <c r="AH932" i="1"/>
  <c r="AK932" i="1" s="1"/>
  <c r="AL932" i="1"/>
  <c r="AM932" i="1" s="1"/>
  <c r="AI932" i="1" l="1"/>
  <c r="AG932" i="1"/>
  <c r="AC932" i="1"/>
  <c r="Z932" i="1"/>
  <c r="AB932" i="1"/>
  <c r="Y932" i="1"/>
  <c r="AA932" i="1"/>
  <c r="AN932" i="1"/>
  <c r="E933" i="1"/>
  <c r="AD933" i="1" s="1"/>
  <c r="AF933" i="1"/>
  <c r="X933" i="1" s="1"/>
  <c r="AH933" i="1"/>
  <c r="AK933" i="1" s="1"/>
  <c r="AL933" i="1"/>
  <c r="AM933" i="1" s="1"/>
  <c r="AI933" i="1" l="1"/>
  <c r="AG933" i="1"/>
  <c r="AC933" i="1"/>
  <c r="Z933" i="1"/>
  <c r="AB933" i="1"/>
  <c r="Y933" i="1"/>
  <c r="AA933" i="1"/>
  <c r="AN933" i="1"/>
  <c r="E934" i="1"/>
  <c r="AD934" i="1" s="1"/>
  <c r="AF934" i="1"/>
  <c r="X934" i="1" s="1"/>
  <c r="AH934" i="1"/>
  <c r="AK934" i="1" s="1"/>
  <c r="AL934" i="1"/>
  <c r="AM934" i="1" s="1"/>
  <c r="AI934" i="1" l="1"/>
  <c r="AG934" i="1"/>
  <c r="AC934" i="1"/>
  <c r="Z934" i="1"/>
  <c r="AB934" i="1"/>
  <c r="Y934" i="1"/>
  <c r="AA934" i="1"/>
  <c r="AN934" i="1"/>
  <c r="E935" i="1"/>
  <c r="AD935" i="1" s="1"/>
  <c r="AF935" i="1"/>
  <c r="X935" i="1" s="1"/>
  <c r="AH935" i="1"/>
  <c r="AK935" i="1" s="1"/>
  <c r="AL935" i="1"/>
  <c r="AM935" i="1" s="1"/>
  <c r="AN935" i="1" l="1"/>
  <c r="AI935" i="1"/>
  <c r="AG935" i="1"/>
  <c r="AC935" i="1"/>
  <c r="Z935" i="1"/>
  <c r="AB935" i="1"/>
  <c r="Y935" i="1"/>
  <c r="AA935" i="1"/>
  <c r="E936" i="1"/>
  <c r="AC936" i="1" s="1"/>
  <c r="AF936" i="1"/>
  <c r="X936" i="1" s="1"/>
  <c r="AH936" i="1"/>
  <c r="AK936" i="1" s="1"/>
  <c r="AL936" i="1"/>
  <c r="AM936" i="1" s="1"/>
  <c r="AD936" i="1" l="1"/>
  <c r="AI936" i="1"/>
  <c r="AG936" i="1"/>
  <c r="Y936" i="1"/>
  <c r="AA936" i="1"/>
  <c r="Z936" i="1"/>
  <c r="AB936" i="1"/>
  <c r="AN936" i="1"/>
  <c r="E937" i="1"/>
  <c r="AD937" i="1" s="1"/>
  <c r="AF937" i="1"/>
  <c r="X937" i="1" s="1"/>
  <c r="AH937" i="1"/>
  <c r="AK937" i="1" s="1"/>
  <c r="AL937" i="1"/>
  <c r="AM937" i="1" s="1"/>
  <c r="AI937" i="1" l="1"/>
  <c r="AG937" i="1"/>
  <c r="AC937" i="1"/>
  <c r="Z937" i="1"/>
  <c r="AB937" i="1"/>
  <c r="Y937" i="1"/>
  <c r="AA937" i="1"/>
  <c r="AN937" i="1"/>
  <c r="E938" i="1"/>
  <c r="AD938" i="1" s="1"/>
  <c r="AF938" i="1"/>
  <c r="X938" i="1" s="1"/>
  <c r="AH938" i="1"/>
  <c r="AK938" i="1" s="1"/>
  <c r="AL938" i="1"/>
  <c r="AM938" i="1" s="1"/>
  <c r="AN938" i="1" l="1"/>
  <c r="AI938" i="1"/>
  <c r="AG938" i="1"/>
  <c r="AC938" i="1"/>
  <c r="Z938" i="1"/>
  <c r="AB938" i="1"/>
  <c r="Y938" i="1"/>
  <c r="AA938" i="1"/>
  <c r="E939" i="1"/>
  <c r="AC939" i="1" s="1"/>
  <c r="AF939" i="1"/>
  <c r="X939" i="1" s="1"/>
  <c r="AH939" i="1"/>
  <c r="AK939" i="1" s="1"/>
  <c r="AL939" i="1"/>
  <c r="AM939" i="1" s="1"/>
  <c r="AD939" i="1" l="1"/>
  <c r="AI939" i="1"/>
  <c r="AG939" i="1"/>
  <c r="Y939" i="1"/>
  <c r="AA939" i="1"/>
  <c r="Z939" i="1"/>
  <c r="AB939" i="1"/>
  <c r="AN939" i="1"/>
  <c r="E940" i="1"/>
  <c r="AD940" i="1" s="1"/>
  <c r="AF940" i="1"/>
  <c r="X940" i="1" s="1"/>
  <c r="AH940" i="1"/>
  <c r="AK940" i="1" s="1"/>
  <c r="AL940" i="1"/>
  <c r="AM940" i="1" s="1"/>
  <c r="AN940" i="1" l="1"/>
  <c r="AI940" i="1"/>
  <c r="AG940" i="1"/>
  <c r="AC940" i="1"/>
  <c r="Z940" i="1"/>
  <c r="AB940" i="1"/>
  <c r="Y940" i="1"/>
  <c r="AA940" i="1"/>
  <c r="E941" i="1"/>
  <c r="AC941" i="1" s="1"/>
  <c r="AF941" i="1"/>
  <c r="X941" i="1" s="1"/>
  <c r="AH941" i="1"/>
  <c r="AK941" i="1" s="1"/>
  <c r="AL941" i="1"/>
  <c r="AM941" i="1" s="1"/>
  <c r="AD941" i="1" l="1"/>
  <c r="AI941" i="1"/>
  <c r="AG941" i="1"/>
  <c r="Y941" i="1"/>
  <c r="AA941" i="1"/>
  <c r="Z941" i="1"/>
  <c r="AB941" i="1"/>
  <c r="AN941" i="1"/>
  <c r="E942" i="1"/>
  <c r="AD942" i="1" s="1"/>
  <c r="AF942" i="1"/>
  <c r="X942" i="1" s="1"/>
  <c r="AH942" i="1"/>
  <c r="AK942" i="1" s="1"/>
  <c r="AL942" i="1"/>
  <c r="AM942" i="1" s="1"/>
  <c r="AI942" i="1" l="1"/>
  <c r="AG942" i="1"/>
  <c r="AC942" i="1"/>
  <c r="Z942" i="1"/>
  <c r="AB942" i="1"/>
  <c r="Y942" i="1"/>
  <c r="AA942" i="1"/>
  <c r="AN942" i="1"/>
  <c r="E943" i="1"/>
  <c r="AD943" i="1" s="1"/>
  <c r="AF943" i="1"/>
  <c r="X943" i="1" s="1"/>
  <c r="AH943" i="1"/>
  <c r="AK943" i="1" s="1"/>
  <c r="AL943" i="1"/>
  <c r="AM943" i="1" s="1"/>
  <c r="AI943" i="1" l="1"/>
  <c r="AG943" i="1"/>
  <c r="AC943" i="1"/>
  <c r="Z943" i="1"/>
  <c r="AB943" i="1"/>
  <c r="Y943" i="1"/>
  <c r="AA943" i="1"/>
  <c r="AN943" i="1"/>
  <c r="E944" i="1"/>
  <c r="AD944" i="1" s="1"/>
  <c r="AF944" i="1"/>
  <c r="X944" i="1" s="1"/>
  <c r="AH944" i="1"/>
  <c r="AK944" i="1" s="1"/>
  <c r="AL944" i="1"/>
  <c r="AM944" i="1" s="1"/>
  <c r="AN944" i="1" l="1"/>
  <c r="AI944" i="1"/>
  <c r="AG944" i="1"/>
  <c r="AC944" i="1"/>
  <c r="Z944" i="1"/>
  <c r="AB944" i="1"/>
  <c r="Y944" i="1"/>
  <c r="AA944" i="1"/>
  <c r="E945" i="1"/>
  <c r="AC945" i="1" s="1"/>
  <c r="AF945" i="1"/>
  <c r="X945" i="1" s="1"/>
  <c r="AH945" i="1"/>
  <c r="AK945" i="1" s="1"/>
  <c r="AL945" i="1"/>
  <c r="AM945" i="1" s="1"/>
  <c r="AD945" i="1" l="1"/>
  <c r="AI945" i="1"/>
  <c r="AG945" i="1"/>
  <c r="Y945" i="1"/>
  <c r="AA945" i="1"/>
  <c r="Z945" i="1"/>
  <c r="AB945" i="1"/>
  <c r="AN945" i="1"/>
  <c r="E946" i="1"/>
  <c r="AC946" i="1" s="1"/>
  <c r="AF946" i="1"/>
  <c r="X946" i="1" s="1"/>
  <c r="AH946" i="1"/>
  <c r="AK946" i="1" s="1"/>
  <c r="AL946" i="1"/>
  <c r="AM946" i="1" s="1"/>
  <c r="AD946" i="1" l="1"/>
  <c r="AI946" i="1"/>
  <c r="AG946" i="1"/>
  <c r="Z946" i="1"/>
  <c r="AB946" i="1"/>
  <c r="Y946" i="1"/>
  <c r="AA946" i="1"/>
  <c r="AN946" i="1"/>
  <c r="E947" i="1"/>
  <c r="AD947" i="1" s="1"/>
  <c r="AF947" i="1"/>
  <c r="X947" i="1" s="1"/>
  <c r="AH947" i="1"/>
  <c r="AK947" i="1" s="1"/>
  <c r="AL947" i="1"/>
  <c r="AM947" i="1" s="1"/>
  <c r="AI947" i="1" l="1"/>
  <c r="AG947" i="1"/>
  <c r="AC947" i="1"/>
  <c r="Z947" i="1"/>
  <c r="AB947" i="1"/>
  <c r="Y947" i="1"/>
  <c r="AA947" i="1"/>
  <c r="AN947" i="1"/>
  <c r="E948" i="1"/>
  <c r="AD948" i="1" s="1"/>
  <c r="AF948" i="1"/>
  <c r="X948" i="1" s="1"/>
  <c r="AH948" i="1"/>
  <c r="AK948" i="1" s="1"/>
  <c r="AL948" i="1"/>
  <c r="AM948" i="1" s="1"/>
  <c r="AN948" i="1" l="1"/>
  <c r="AI948" i="1"/>
  <c r="AG948" i="1"/>
  <c r="AC948" i="1"/>
  <c r="Z948" i="1"/>
  <c r="AB948" i="1"/>
  <c r="Y948" i="1"/>
  <c r="AA948" i="1"/>
  <c r="E949" i="1"/>
  <c r="AC949" i="1" s="1"/>
  <c r="AF949" i="1"/>
  <c r="X949" i="1" s="1"/>
  <c r="AH949" i="1"/>
  <c r="AK949" i="1" s="1"/>
  <c r="AL949" i="1"/>
  <c r="AM949" i="1" s="1"/>
  <c r="AD949" i="1" l="1"/>
  <c r="AI949" i="1"/>
  <c r="AG949" i="1"/>
  <c r="Y949" i="1"/>
  <c r="AA949" i="1"/>
  <c r="Z949" i="1"/>
  <c r="AB949" i="1"/>
  <c r="AN949" i="1"/>
  <c r="E950" i="1"/>
  <c r="AD950" i="1" s="1"/>
  <c r="AF950" i="1"/>
  <c r="X950" i="1" s="1"/>
  <c r="AH950" i="1"/>
  <c r="AK950" i="1" s="1"/>
  <c r="AL950" i="1"/>
  <c r="AM950" i="1" s="1"/>
  <c r="AI950" i="1" l="1"/>
  <c r="AG950" i="1"/>
  <c r="AC950" i="1"/>
  <c r="Z950" i="1"/>
  <c r="AB950" i="1"/>
  <c r="Y950" i="1"/>
  <c r="AA950" i="1"/>
  <c r="AN950" i="1"/>
  <c r="E951" i="1"/>
  <c r="AD951" i="1" s="1"/>
  <c r="AF951" i="1"/>
  <c r="X951" i="1" s="1"/>
  <c r="AH951" i="1"/>
  <c r="AK951" i="1" s="1"/>
  <c r="AL951" i="1"/>
  <c r="AM951" i="1" s="1"/>
  <c r="AI951" i="1" l="1"/>
  <c r="AG951" i="1"/>
  <c r="AC951" i="1"/>
  <c r="Z951" i="1"/>
  <c r="AB951" i="1"/>
  <c r="Y951" i="1"/>
  <c r="AA951" i="1"/>
  <c r="AN951" i="1"/>
  <c r="E952" i="1"/>
  <c r="AD952" i="1" s="1"/>
  <c r="AF952" i="1"/>
  <c r="X952" i="1" s="1"/>
  <c r="AH952" i="1"/>
  <c r="AK952" i="1" s="1"/>
  <c r="AL952" i="1"/>
  <c r="AM952" i="1" s="1"/>
  <c r="AN952" i="1" l="1"/>
  <c r="AI952" i="1"/>
  <c r="AG952" i="1"/>
  <c r="AC952" i="1"/>
  <c r="Z952" i="1"/>
  <c r="AB952" i="1"/>
  <c r="Y952" i="1"/>
  <c r="AA952" i="1"/>
  <c r="E953" i="1"/>
  <c r="AC953" i="1" s="1"/>
  <c r="AF953" i="1"/>
  <c r="X953" i="1" s="1"/>
  <c r="AH953" i="1"/>
  <c r="AK953" i="1" s="1"/>
  <c r="AL953" i="1"/>
  <c r="AM953" i="1" s="1"/>
  <c r="AD953" i="1" l="1"/>
  <c r="AI953" i="1"/>
  <c r="AG953" i="1"/>
  <c r="Y953" i="1"/>
  <c r="AA953" i="1"/>
  <c r="Z953" i="1"/>
  <c r="AB953" i="1"/>
  <c r="AN953" i="1"/>
  <c r="E954" i="1"/>
  <c r="AD954" i="1" s="1"/>
  <c r="AF954" i="1"/>
  <c r="X954" i="1" s="1"/>
  <c r="AH954" i="1"/>
  <c r="AK954" i="1" s="1"/>
  <c r="AL954" i="1"/>
  <c r="AM954" i="1" s="1"/>
  <c r="AN954" i="1" l="1"/>
  <c r="AI954" i="1"/>
  <c r="AG954" i="1"/>
  <c r="AC954" i="1"/>
  <c r="Z954" i="1"/>
  <c r="AB954" i="1"/>
  <c r="Y954" i="1"/>
  <c r="AA954" i="1"/>
  <c r="E955" i="1"/>
  <c r="AC955" i="1" s="1"/>
  <c r="AF955" i="1"/>
  <c r="X955" i="1" s="1"/>
  <c r="AH955" i="1"/>
  <c r="AK955" i="1" s="1"/>
  <c r="AL955" i="1"/>
  <c r="AM955" i="1" s="1"/>
  <c r="AD955" i="1" l="1"/>
  <c r="AI955" i="1"/>
  <c r="AG955" i="1"/>
  <c r="Y955" i="1"/>
  <c r="AA955" i="1"/>
  <c r="Z955" i="1"/>
  <c r="AB955" i="1"/>
  <c r="AN955" i="1"/>
  <c r="E956" i="1"/>
  <c r="AD956" i="1" s="1"/>
  <c r="AF956" i="1"/>
  <c r="X956" i="1" s="1"/>
  <c r="AH956" i="1"/>
  <c r="AK956" i="1" s="1"/>
  <c r="AL956" i="1"/>
  <c r="AM956" i="1" s="1"/>
  <c r="AN956" i="1" l="1"/>
  <c r="AI956" i="1"/>
  <c r="AG956" i="1"/>
  <c r="AC956" i="1"/>
  <c r="Z956" i="1"/>
  <c r="AB956" i="1"/>
  <c r="Y956" i="1"/>
  <c r="AA956" i="1"/>
  <c r="E957" i="1"/>
  <c r="AC957" i="1" s="1"/>
  <c r="AF957" i="1"/>
  <c r="X957" i="1" s="1"/>
  <c r="AH957" i="1"/>
  <c r="AK957" i="1" s="1"/>
  <c r="AL957" i="1"/>
  <c r="AM957" i="1" s="1"/>
  <c r="AD957" i="1" l="1"/>
  <c r="AI957" i="1"/>
  <c r="AG957" i="1"/>
  <c r="Y957" i="1"/>
  <c r="AA957" i="1"/>
  <c r="Z957" i="1"/>
  <c r="AB957" i="1"/>
  <c r="AN957" i="1"/>
  <c r="E958" i="1"/>
  <c r="AD958" i="1" s="1"/>
  <c r="AF958" i="1"/>
  <c r="X958" i="1" s="1"/>
  <c r="AH958" i="1"/>
  <c r="AK958" i="1" s="1"/>
  <c r="AL958" i="1"/>
  <c r="AM958" i="1" s="1"/>
  <c r="AN958" i="1" l="1"/>
  <c r="AI958" i="1"/>
  <c r="AG958" i="1"/>
  <c r="AC958" i="1"/>
  <c r="Z958" i="1"/>
  <c r="AB958" i="1"/>
  <c r="Y958" i="1"/>
  <c r="AA958" i="1"/>
  <c r="E959" i="1"/>
  <c r="AC959" i="1" s="1"/>
  <c r="AF959" i="1"/>
  <c r="X959" i="1" s="1"/>
  <c r="AH959" i="1"/>
  <c r="AK959" i="1" s="1"/>
  <c r="AL959" i="1"/>
  <c r="AM959" i="1" s="1"/>
  <c r="AI959" i="1" l="1"/>
  <c r="AD959" i="1"/>
  <c r="AG959" i="1"/>
  <c r="Y959" i="1"/>
  <c r="AA959" i="1"/>
  <c r="Z959" i="1"/>
  <c r="AB959" i="1"/>
  <c r="AN959" i="1"/>
  <c r="E960" i="1"/>
  <c r="AD960" i="1" s="1"/>
  <c r="AF960" i="1"/>
  <c r="X960" i="1" s="1"/>
  <c r="AH960" i="1"/>
  <c r="AK960" i="1" s="1"/>
  <c r="AL960" i="1"/>
  <c r="AM960" i="1" s="1"/>
  <c r="AN960" i="1" l="1"/>
  <c r="AI960" i="1"/>
  <c r="AG960" i="1"/>
  <c r="AC960" i="1"/>
  <c r="Z960" i="1"/>
  <c r="AB960" i="1"/>
  <c r="Y960" i="1"/>
  <c r="AA960" i="1"/>
  <c r="E961" i="1"/>
  <c r="AC961" i="1" s="1"/>
  <c r="AF961" i="1"/>
  <c r="X961" i="1" s="1"/>
  <c r="AH961" i="1"/>
  <c r="AK961" i="1" s="1"/>
  <c r="AL961" i="1"/>
  <c r="AM961" i="1" s="1"/>
  <c r="AD961" i="1" l="1"/>
  <c r="AI961" i="1"/>
  <c r="AG961" i="1"/>
  <c r="Y961" i="1"/>
  <c r="AA961" i="1"/>
  <c r="Z961" i="1"/>
  <c r="AB961" i="1"/>
  <c r="AN961" i="1"/>
  <c r="E962" i="1"/>
  <c r="AD962" i="1" s="1"/>
  <c r="AF962" i="1"/>
  <c r="X962" i="1" s="1"/>
  <c r="AH962" i="1"/>
  <c r="AK962" i="1" s="1"/>
  <c r="AL962" i="1"/>
  <c r="AM962" i="1" s="1"/>
  <c r="AI962" i="1" l="1"/>
  <c r="AG962" i="1"/>
  <c r="AC962" i="1"/>
  <c r="Z962" i="1"/>
  <c r="AB962" i="1"/>
  <c r="Y962" i="1"/>
  <c r="AA962" i="1"/>
  <c r="AN962" i="1"/>
  <c r="E963" i="1"/>
  <c r="AD963" i="1" s="1"/>
  <c r="AF963" i="1"/>
  <c r="X963" i="1" s="1"/>
  <c r="AH963" i="1"/>
  <c r="AK963" i="1" s="1"/>
  <c r="AL963" i="1"/>
  <c r="AM963" i="1" s="1"/>
  <c r="AI963" i="1" l="1"/>
  <c r="AG963" i="1"/>
  <c r="AC963" i="1"/>
  <c r="Z963" i="1"/>
  <c r="AB963" i="1"/>
  <c r="Y963" i="1"/>
  <c r="AA963" i="1"/>
  <c r="AN963" i="1"/>
  <c r="E964" i="1"/>
  <c r="AD964" i="1" s="1"/>
  <c r="AF964" i="1"/>
  <c r="X964" i="1" s="1"/>
  <c r="AH964" i="1"/>
  <c r="AK964" i="1" s="1"/>
  <c r="AL964" i="1"/>
  <c r="AM964" i="1" s="1"/>
  <c r="AN964" i="1" l="1"/>
  <c r="AI964" i="1"/>
  <c r="AG964" i="1"/>
  <c r="AC964" i="1"/>
  <c r="Z964" i="1"/>
  <c r="AB964" i="1"/>
  <c r="Y964" i="1"/>
  <c r="AA964" i="1"/>
  <c r="E965" i="1"/>
  <c r="AC965" i="1" s="1"/>
  <c r="AF965" i="1"/>
  <c r="X965" i="1" s="1"/>
  <c r="AH965" i="1"/>
  <c r="AK965" i="1" s="1"/>
  <c r="AL965" i="1"/>
  <c r="AM965" i="1" s="1"/>
  <c r="AD965" i="1" l="1"/>
  <c r="AI965" i="1"/>
  <c r="AG965" i="1"/>
  <c r="Y965" i="1"/>
  <c r="AA965" i="1"/>
  <c r="Z965" i="1"/>
  <c r="AB965" i="1"/>
  <c r="AN965" i="1"/>
  <c r="E966" i="1"/>
  <c r="AD966" i="1" s="1"/>
  <c r="AF966" i="1"/>
  <c r="X966" i="1" s="1"/>
  <c r="AH966" i="1"/>
  <c r="AK966" i="1" s="1"/>
  <c r="AL966" i="1"/>
  <c r="AM966" i="1" s="1"/>
  <c r="AN966" i="1" l="1"/>
  <c r="AI966" i="1"/>
  <c r="AG966" i="1"/>
  <c r="AC966" i="1"/>
  <c r="Z966" i="1"/>
  <c r="AB966" i="1"/>
  <c r="Y966" i="1"/>
  <c r="AA966" i="1"/>
  <c r="E967" i="1"/>
  <c r="AC967" i="1" s="1"/>
  <c r="AF967" i="1"/>
  <c r="X967" i="1" s="1"/>
  <c r="AH967" i="1"/>
  <c r="AK967" i="1" s="1"/>
  <c r="AL967" i="1"/>
  <c r="AM967" i="1" s="1"/>
  <c r="AD967" i="1" l="1"/>
  <c r="AI967" i="1"/>
  <c r="AG967" i="1"/>
  <c r="Y967" i="1"/>
  <c r="AA967" i="1"/>
  <c r="Z967" i="1"/>
  <c r="AB967" i="1"/>
  <c r="AN967" i="1"/>
  <c r="E968" i="1"/>
  <c r="AD968" i="1" s="1"/>
  <c r="AF968" i="1"/>
  <c r="X968" i="1" s="1"/>
  <c r="AH968" i="1"/>
  <c r="AK968" i="1" s="1"/>
  <c r="AL968" i="1"/>
  <c r="AM968" i="1" s="1"/>
  <c r="AN968" i="1" l="1"/>
  <c r="AI968" i="1"/>
  <c r="AG968" i="1"/>
  <c r="AC968" i="1"/>
  <c r="Z968" i="1"/>
  <c r="AB968" i="1"/>
  <c r="Y968" i="1"/>
  <c r="AA968" i="1"/>
  <c r="E969" i="1"/>
  <c r="AC969" i="1" s="1"/>
  <c r="AF969" i="1"/>
  <c r="X969" i="1" s="1"/>
  <c r="AH969" i="1"/>
  <c r="AK969" i="1" s="1"/>
  <c r="AL969" i="1"/>
  <c r="AM969" i="1" s="1"/>
  <c r="AD969" i="1" l="1"/>
  <c r="AI969" i="1"/>
  <c r="AG969" i="1"/>
  <c r="Y969" i="1"/>
  <c r="AA969" i="1"/>
  <c r="Z969" i="1"/>
  <c r="AB969" i="1"/>
  <c r="AN969" i="1"/>
  <c r="E970" i="1"/>
  <c r="AD970" i="1" s="1"/>
  <c r="AF970" i="1"/>
  <c r="X970" i="1" s="1"/>
  <c r="AH970" i="1"/>
  <c r="AK970" i="1" s="1"/>
  <c r="AL970" i="1"/>
  <c r="AM970" i="1" s="1"/>
  <c r="AI970" i="1" l="1"/>
  <c r="AG970" i="1"/>
  <c r="AC970" i="1"/>
  <c r="Z970" i="1"/>
  <c r="AB970" i="1"/>
  <c r="Y970" i="1"/>
  <c r="AA970" i="1"/>
  <c r="AN970" i="1"/>
  <c r="E971" i="1"/>
  <c r="AD971" i="1" s="1"/>
  <c r="AF971" i="1"/>
  <c r="X971" i="1" s="1"/>
  <c r="AH971" i="1"/>
  <c r="AK971" i="1" s="1"/>
  <c r="AL971" i="1"/>
  <c r="AM971" i="1" s="1"/>
  <c r="AN971" i="1" l="1"/>
  <c r="AI971" i="1"/>
  <c r="AG971" i="1"/>
  <c r="AC971" i="1"/>
  <c r="Z971" i="1"/>
  <c r="AB971" i="1"/>
  <c r="Y971" i="1"/>
  <c r="AA971" i="1"/>
  <c r="E972" i="1"/>
  <c r="AC972" i="1" s="1"/>
  <c r="AF972" i="1"/>
  <c r="X972" i="1" s="1"/>
  <c r="AH972" i="1"/>
  <c r="AK972" i="1" s="1"/>
  <c r="AL972" i="1"/>
  <c r="AM972" i="1" s="1"/>
  <c r="AN972" i="1" l="1"/>
  <c r="AD972" i="1"/>
  <c r="AI972" i="1"/>
  <c r="AG972" i="1"/>
  <c r="Y972" i="1"/>
  <c r="AA972" i="1"/>
  <c r="Z972" i="1"/>
  <c r="AB972" i="1"/>
  <c r="E973" i="1"/>
  <c r="AC973" i="1" s="1"/>
  <c r="AF973" i="1"/>
  <c r="X973" i="1" s="1"/>
  <c r="AH973" i="1"/>
  <c r="AK973" i="1" s="1"/>
  <c r="AL973" i="1"/>
  <c r="AM973" i="1" s="1"/>
  <c r="AN973" i="1" l="1"/>
  <c r="AD973" i="1"/>
  <c r="AI973" i="1"/>
  <c r="AG973" i="1"/>
  <c r="Y973" i="1"/>
  <c r="AA973" i="1"/>
  <c r="Z973" i="1"/>
  <c r="AB973" i="1"/>
  <c r="E974" i="1"/>
  <c r="AC974" i="1" s="1"/>
  <c r="AF974" i="1"/>
  <c r="X974" i="1" s="1"/>
  <c r="AH974" i="1"/>
  <c r="AK974" i="1" s="1"/>
  <c r="AL974" i="1"/>
  <c r="AM974" i="1" s="1"/>
  <c r="AN974" i="1" l="1"/>
  <c r="AI974" i="1"/>
  <c r="AD974" i="1"/>
  <c r="AG974" i="1"/>
  <c r="Y974" i="1"/>
  <c r="AA974" i="1"/>
  <c r="Z974" i="1"/>
  <c r="AB974" i="1"/>
  <c r="E975" i="1"/>
  <c r="AC975" i="1" s="1"/>
  <c r="AF975" i="1"/>
  <c r="X975" i="1" s="1"/>
  <c r="AH975" i="1"/>
  <c r="AK975" i="1" s="1"/>
  <c r="AL975" i="1"/>
  <c r="AM975" i="1" s="1"/>
  <c r="AN975" i="1" l="1"/>
  <c r="AD975" i="1"/>
  <c r="AI975" i="1"/>
  <c r="AG975" i="1"/>
  <c r="Y975" i="1"/>
  <c r="AA975" i="1"/>
  <c r="Z975" i="1"/>
  <c r="AB975" i="1"/>
  <c r="E976" i="1"/>
  <c r="AC976" i="1" s="1"/>
  <c r="AF976" i="1"/>
  <c r="X976" i="1" s="1"/>
  <c r="AH976" i="1"/>
  <c r="AK976" i="1" s="1"/>
  <c r="AL976" i="1"/>
  <c r="AM976" i="1" s="1"/>
  <c r="AN976" i="1" l="1"/>
  <c r="AD976" i="1"/>
  <c r="AI976" i="1"/>
  <c r="AG976" i="1"/>
  <c r="Y976" i="1"/>
  <c r="AA976" i="1"/>
  <c r="Z976" i="1"/>
  <c r="AB976" i="1"/>
  <c r="E977" i="1"/>
  <c r="AC977" i="1" s="1"/>
  <c r="AF977" i="1"/>
  <c r="X977" i="1" s="1"/>
  <c r="AH977" i="1"/>
  <c r="AK977" i="1" s="1"/>
  <c r="AL977" i="1"/>
  <c r="AM977" i="1" s="1"/>
  <c r="AN977" i="1" l="1"/>
  <c r="AD977" i="1"/>
  <c r="AI977" i="1"/>
  <c r="AG977" i="1"/>
  <c r="Y977" i="1"/>
  <c r="AA977" i="1"/>
  <c r="Z977" i="1"/>
  <c r="AB977" i="1"/>
  <c r="E978" i="1"/>
  <c r="AC978" i="1" s="1"/>
  <c r="AF978" i="1"/>
  <c r="X978" i="1" s="1"/>
  <c r="AH978" i="1"/>
  <c r="AK978" i="1" s="1"/>
  <c r="AL978" i="1"/>
  <c r="AM978" i="1" s="1"/>
  <c r="AN978" i="1" l="1"/>
  <c r="AD978" i="1"/>
  <c r="AI978" i="1"/>
  <c r="AG978" i="1"/>
  <c r="Y978" i="1"/>
  <c r="AA978" i="1"/>
  <c r="Z978" i="1"/>
  <c r="AB978" i="1"/>
  <c r="E979" i="1"/>
  <c r="AC979" i="1" s="1"/>
  <c r="AF979" i="1"/>
  <c r="X979" i="1" s="1"/>
  <c r="AH979" i="1"/>
  <c r="AK979" i="1" s="1"/>
  <c r="AL979" i="1"/>
  <c r="AM979" i="1" s="1"/>
  <c r="AN979" i="1" l="1"/>
  <c r="AD979" i="1"/>
  <c r="AI979" i="1"/>
  <c r="AG979" i="1"/>
  <c r="Y979" i="1"/>
  <c r="AA979" i="1"/>
  <c r="Z979" i="1"/>
  <c r="AB979" i="1"/>
  <c r="Q316" i="1" l="1"/>
  <c r="O316" i="1"/>
  <c r="Q44" i="1" l="1"/>
  <c r="X195" i="1" l="1"/>
  <c r="Y195" i="1" s="1"/>
  <c r="Z195" i="1" s="1"/>
  <c r="AA195" i="1" s="1"/>
  <c r="AB195" i="1" s="1"/>
  <c r="AF195" i="1"/>
  <c r="AE195" i="1" s="1"/>
  <c r="AL195" i="1"/>
  <c r="AL361" i="1"/>
  <c r="AM195" i="1" l="1"/>
  <c r="AL3" i="1"/>
  <c r="AL4" i="1"/>
  <c r="AM4" i="1" s="1"/>
  <c r="AL5" i="1"/>
  <c r="AL6" i="1"/>
  <c r="AM6" i="1" s="1"/>
  <c r="AL7" i="1"/>
  <c r="AL8" i="1"/>
  <c r="AM8" i="1" s="1"/>
  <c r="AL9" i="1"/>
  <c r="AL10" i="1"/>
  <c r="AL11" i="1"/>
  <c r="AL12" i="1"/>
  <c r="AL13" i="1"/>
  <c r="AL14" i="1"/>
  <c r="AL15" i="1"/>
  <c r="AL16" i="1"/>
  <c r="AL17" i="1"/>
  <c r="AL18" i="1"/>
  <c r="AM18" i="1" s="1"/>
  <c r="AL19" i="1"/>
  <c r="AL20" i="1"/>
  <c r="AM20" i="1" s="1"/>
  <c r="AL44" i="1"/>
  <c r="AL45" i="1"/>
  <c r="AM45" i="1" s="1"/>
  <c r="AL46" i="1"/>
  <c r="AL47" i="1"/>
  <c r="AL48" i="1"/>
  <c r="AL49" i="1"/>
  <c r="AL50" i="1"/>
  <c r="AM50" i="1" s="1"/>
  <c r="AL51" i="1"/>
  <c r="AM51" i="1" s="1"/>
  <c r="AL52" i="1"/>
  <c r="AL53" i="1"/>
  <c r="AM53" i="1" s="1"/>
  <c r="AL54" i="1"/>
  <c r="AL55" i="1"/>
  <c r="AL56" i="1"/>
  <c r="AL57" i="1"/>
  <c r="AL58" i="1"/>
  <c r="AL59" i="1"/>
  <c r="AL60" i="1"/>
  <c r="AL61" i="1"/>
  <c r="AL62" i="1"/>
  <c r="AL63" i="1"/>
  <c r="AL64" i="1"/>
  <c r="AM64" i="1" s="1"/>
  <c r="AL65" i="1"/>
  <c r="AL66" i="1"/>
  <c r="AL67" i="1"/>
  <c r="AL68" i="1"/>
  <c r="AL69" i="1"/>
  <c r="AL70" i="1"/>
  <c r="AL71" i="1"/>
  <c r="AL72" i="1"/>
  <c r="AL73" i="1"/>
  <c r="AM73" i="1" s="1"/>
  <c r="AL82" i="1"/>
  <c r="AL83" i="1"/>
  <c r="AL84" i="1"/>
  <c r="AM84" i="1" s="1"/>
  <c r="AL85" i="1"/>
  <c r="AL86" i="1"/>
  <c r="AL87" i="1"/>
  <c r="AL88" i="1"/>
  <c r="AL89" i="1"/>
  <c r="AL90" i="1"/>
  <c r="AL91" i="1"/>
  <c r="AL92" i="1"/>
  <c r="AL93" i="1"/>
  <c r="AL94" i="1"/>
  <c r="AM94" i="1" s="1"/>
  <c r="AL21" i="1"/>
  <c r="AL22" i="1"/>
  <c r="AM22" i="1" s="1"/>
  <c r="AL23" i="1"/>
  <c r="AL24" i="1"/>
  <c r="AL25" i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110" i="1"/>
  <c r="AM110" i="1" s="1"/>
  <c r="AL111" i="1"/>
  <c r="AM111" i="1" s="1"/>
  <c r="AL112" i="1"/>
  <c r="AM112" i="1" s="1"/>
  <c r="AL95" i="1"/>
  <c r="AL96" i="1"/>
  <c r="AL97" i="1"/>
  <c r="AM97" i="1" s="1"/>
  <c r="AL98" i="1"/>
  <c r="AL99" i="1"/>
  <c r="AL100" i="1"/>
  <c r="AL101" i="1"/>
  <c r="AM101" i="1" s="1"/>
  <c r="AL102" i="1"/>
  <c r="AL103" i="1"/>
  <c r="AM103" i="1" s="1"/>
  <c r="AL104" i="1"/>
  <c r="AL105" i="1"/>
  <c r="AM105" i="1" s="1"/>
  <c r="AL106" i="1"/>
  <c r="AL107" i="1"/>
  <c r="AM107" i="1" s="1"/>
  <c r="AL108" i="1"/>
  <c r="AL109" i="1"/>
  <c r="AM109" i="1" s="1"/>
  <c r="AL74" i="1"/>
  <c r="AL75" i="1"/>
  <c r="AL76" i="1"/>
  <c r="AM76" i="1" s="1"/>
  <c r="AL77" i="1"/>
  <c r="AL78" i="1"/>
  <c r="AM78" i="1" s="1"/>
  <c r="AL79" i="1"/>
  <c r="AL80" i="1"/>
  <c r="AL81" i="1"/>
  <c r="AM81" i="1" s="1"/>
  <c r="AL113" i="1"/>
  <c r="AL114" i="1"/>
  <c r="AL115" i="1"/>
  <c r="AL116" i="1"/>
  <c r="AL117" i="1"/>
  <c r="AL118" i="1"/>
  <c r="AL119" i="1"/>
  <c r="AL120" i="1"/>
  <c r="AL121" i="1"/>
  <c r="AM121" i="1" s="1"/>
  <c r="AL122" i="1"/>
  <c r="AM122" i="1" s="1"/>
  <c r="AL123" i="1"/>
  <c r="AL124" i="1"/>
  <c r="AL125" i="1"/>
  <c r="AM125" i="1" s="1"/>
  <c r="AL126" i="1"/>
  <c r="AL127" i="1"/>
  <c r="AL128" i="1"/>
  <c r="AL129" i="1"/>
  <c r="AL130" i="1"/>
  <c r="AM130" i="1" s="1"/>
  <c r="AL131" i="1"/>
  <c r="AM131" i="1" s="1"/>
  <c r="AL132" i="1"/>
  <c r="AM132" i="1" s="1"/>
  <c r="AL133" i="1"/>
  <c r="AL134" i="1"/>
  <c r="AM134" i="1" s="1"/>
  <c r="AL135" i="1"/>
  <c r="AL136" i="1"/>
  <c r="AM136" i="1" s="1"/>
  <c r="AL137" i="1"/>
  <c r="AL138" i="1"/>
  <c r="AL139" i="1"/>
  <c r="AL140" i="1"/>
  <c r="AL141" i="1"/>
  <c r="AM141" i="1" s="1"/>
  <c r="AL142" i="1"/>
  <c r="AL143" i="1"/>
  <c r="AM143" i="1" s="1"/>
  <c r="AL144" i="1"/>
  <c r="AL145" i="1"/>
  <c r="AL146" i="1"/>
  <c r="AL147" i="1"/>
  <c r="AL148" i="1"/>
  <c r="AM148" i="1" s="1"/>
  <c r="AL149" i="1"/>
  <c r="AL150" i="1"/>
  <c r="AL151" i="1"/>
  <c r="AL152" i="1"/>
  <c r="AL153" i="1"/>
  <c r="AL154" i="1"/>
  <c r="AL155" i="1"/>
  <c r="AL156" i="1"/>
  <c r="AL157" i="1"/>
  <c r="AM157" i="1" s="1"/>
  <c r="AL237" i="1"/>
  <c r="AL238" i="1"/>
  <c r="AL239" i="1"/>
  <c r="AL240" i="1"/>
  <c r="AL241" i="1"/>
  <c r="AM241" i="1" s="1"/>
  <c r="AL242" i="1"/>
  <c r="AL243" i="1"/>
  <c r="AM243" i="1" s="1"/>
  <c r="AL244" i="1"/>
  <c r="AL245" i="1"/>
  <c r="AM245" i="1" s="1"/>
  <c r="AL246" i="1"/>
  <c r="AL247" i="1"/>
  <c r="AM247" i="1" s="1"/>
  <c r="AL248" i="1"/>
  <c r="AL249" i="1"/>
  <c r="AM249" i="1" s="1"/>
  <c r="AL158" i="1"/>
  <c r="AL159" i="1"/>
  <c r="AL160" i="1"/>
  <c r="AL161" i="1"/>
  <c r="AL162" i="1"/>
  <c r="AL163" i="1"/>
  <c r="AL164" i="1"/>
  <c r="AM164" i="1" s="1"/>
  <c r="AL165" i="1"/>
  <c r="AL166" i="1"/>
  <c r="AL167" i="1"/>
  <c r="AL168" i="1"/>
  <c r="AL169" i="1"/>
  <c r="AL170" i="1"/>
  <c r="AL171" i="1"/>
  <c r="AL172" i="1"/>
  <c r="AL173" i="1"/>
  <c r="AL174" i="1"/>
  <c r="AL175" i="1"/>
  <c r="AM175" i="1" s="1"/>
  <c r="AL176" i="1"/>
  <c r="AL177" i="1"/>
  <c r="AL178" i="1"/>
  <c r="AL179" i="1"/>
  <c r="AL180" i="1"/>
  <c r="AL181" i="1"/>
  <c r="AL182" i="1"/>
  <c r="AL183" i="1"/>
  <c r="AL184" i="1"/>
  <c r="AL185" i="1"/>
  <c r="AM185" i="1" s="1"/>
  <c r="AL186" i="1"/>
  <c r="AL187" i="1"/>
  <c r="AL188" i="1"/>
  <c r="AL189" i="1"/>
  <c r="AL190" i="1"/>
  <c r="AL191" i="1"/>
  <c r="AL192" i="1"/>
  <c r="AL193" i="1"/>
  <c r="AL194" i="1"/>
  <c r="AL196" i="1"/>
  <c r="AM196" i="1" s="1"/>
  <c r="AL197" i="1"/>
  <c r="AL198" i="1"/>
  <c r="AL199" i="1"/>
  <c r="AL200" i="1"/>
  <c r="AM200" i="1" s="1"/>
  <c r="AL201" i="1"/>
  <c r="AL202" i="1"/>
  <c r="AL203" i="1"/>
  <c r="AL204" i="1"/>
  <c r="AL205" i="1"/>
  <c r="AL206" i="1"/>
  <c r="AL207" i="1"/>
  <c r="AL208" i="1"/>
  <c r="AL209" i="1"/>
  <c r="AL210" i="1"/>
  <c r="AM210" i="1" s="1"/>
  <c r="AL211" i="1"/>
  <c r="AL212" i="1"/>
  <c r="AM212" i="1" s="1"/>
  <c r="AL213" i="1"/>
  <c r="AL214" i="1"/>
  <c r="AL215" i="1"/>
  <c r="AL216" i="1"/>
  <c r="AL217" i="1"/>
  <c r="AL218" i="1"/>
  <c r="AL219" i="1"/>
  <c r="AL220" i="1"/>
  <c r="AM220" i="1" s="1"/>
  <c r="AL221" i="1"/>
  <c r="AL222" i="1"/>
  <c r="AL223" i="1"/>
  <c r="AL224" i="1"/>
  <c r="AL225" i="1"/>
  <c r="AM225" i="1" s="1"/>
  <c r="AL226" i="1"/>
  <c r="AL227" i="1"/>
  <c r="AL228" i="1"/>
  <c r="AL229" i="1"/>
  <c r="AL230" i="1"/>
  <c r="AL231" i="1"/>
  <c r="AL232" i="1"/>
  <c r="AL233" i="1"/>
  <c r="AL234" i="1"/>
  <c r="AL235" i="1"/>
  <c r="AL236" i="1"/>
  <c r="AM236" i="1" s="1"/>
  <c r="AL253" i="1"/>
  <c r="AL254" i="1"/>
  <c r="AL255" i="1"/>
  <c r="AL256" i="1"/>
  <c r="AL257" i="1"/>
  <c r="AL258" i="1"/>
  <c r="AM258" i="1" s="1"/>
  <c r="AL259" i="1"/>
  <c r="AL260" i="1"/>
  <c r="AM260" i="1" s="1"/>
  <c r="AL261" i="1"/>
  <c r="AM261" i="1" s="1"/>
  <c r="AL262" i="1"/>
  <c r="AL263" i="1"/>
  <c r="AL264" i="1"/>
  <c r="AL265" i="1"/>
  <c r="AL266" i="1"/>
  <c r="AL267" i="1"/>
  <c r="AL268" i="1"/>
  <c r="AL269" i="1"/>
  <c r="AL270" i="1"/>
  <c r="AL271" i="1"/>
  <c r="AM271" i="1" s="1"/>
  <c r="AL272" i="1"/>
  <c r="AM272" i="1" s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M284" i="1" s="1"/>
  <c r="AL285" i="1"/>
  <c r="AL286" i="1"/>
  <c r="AL287" i="1"/>
  <c r="AL288" i="1"/>
  <c r="AM288" i="1" s="1"/>
  <c r="AL289" i="1"/>
  <c r="AL290" i="1"/>
  <c r="AL291" i="1"/>
  <c r="AL292" i="1"/>
  <c r="AL293" i="1"/>
  <c r="AL294" i="1"/>
  <c r="AL295" i="1"/>
  <c r="AL296" i="1"/>
  <c r="AM296" i="1" s="1"/>
  <c r="AL297" i="1"/>
  <c r="AL298" i="1"/>
  <c r="AL299" i="1"/>
  <c r="AL300" i="1"/>
  <c r="AL301" i="1"/>
  <c r="AL302" i="1"/>
  <c r="AL303" i="1"/>
  <c r="AL304" i="1"/>
  <c r="AL305" i="1"/>
  <c r="AL306" i="1"/>
  <c r="AM306" i="1" s="1"/>
  <c r="AL307" i="1"/>
  <c r="AL308" i="1"/>
  <c r="AL309" i="1"/>
  <c r="AM309" i="1" s="1"/>
  <c r="AL310" i="1"/>
  <c r="AL311" i="1"/>
  <c r="AM311" i="1" s="1"/>
  <c r="AL312" i="1"/>
  <c r="AL313" i="1"/>
  <c r="AM313" i="1" s="1"/>
  <c r="AL314" i="1"/>
  <c r="AL315" i="1"/>
  <c r="AM315" i="1" s="1"/>
  <c r="AL316" i="1"/>
  <c r="AL317" i="1"/>
  <c r="AM317" i="1" s="1"/>
  <c r="AL318" i="1"/>
  <c r="AL319" i="1"/>
  <c r="AL320" i="1"/>
  <c r="AM320" i="1" s="1"/>
  <c r="AL321" i="1"/>
  <c r="AL322" i="1"/>
  <c r="AM322" i="1" s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M334" i="1" s="1"/>
  <c r="AL335" i="1"/>
  <c r="AL336" i="1"/>
  <c r="AL337" i="1"/>
  <c r="AM337" i="1" s="1"/>
  <c r="AL338" i="1"/>
  <c r="AM338" i="1" s="1"/>
  <c r="AL339" i="1"/>
  <c r="AM339" i="1" s="1"/>
  <c r="AL340" i="1"/>
  <c r="AM340" i="1" s="1"/>
  <c r="AL341" i="1"/>
  <c r="AL342" i="1"/>
  <c r="AL343" i="1"/>
  <c r="AL344" i="1"/>
  <c r="AM344" i="1" s="1"/>
  <c r="AL345" i="1"/>
  <c r="AL346" i="1"/>
  <c r="AL347" i="1"/>
  <c r="AL348" i="1"/>
  <c r="AL349" i="1"/>
  <c r="AM349" i="1" s="1"/>
  <c r="AL350" i="1"/>
  <c r="AM350" i="1" s="1"/>
  <c r="AL351" i="1"/>
  <c r="AM351" i="1" s="1"/>
  <c r="AL352" i="1"/>
  <c r="AL353" i="1"/>
  <c r="AM353" i="1" s="1"/>
  <c r="AL354" i="1"/>
  <c r="AM354" i="1" s="1"/>
  <c r="AL355" i="1"/>
  <c r="AM355" i="1" s="1"/>
  <c r="AL356" i="1"/>
  <c r="AM356" i="1" s="1"/>
  <c r="AL357" i="1"/>
  <c r="AL358" i="1"/>
  <c r="AM358" i="1" s="1"/>
  <c r="AL359" i="1"/>
  <c r="AL360" i="1"/>
  <c r="AL362" i="1"/>
  <c r="AL363" i="1"/>
  <c r="AL364" i="1"/>
  <c r="AL365" i="1"/>
  <c r="AL366" i="1"/>
  <c r="AL367" i="1"/>
  <c r="AL368" i="1"/>
  <c r="AL369" i="1"/>
  <c r="AM369" i="1" s="1"/>
  <c r="AL370" i="1"/>
  <c r="AL371" i="1"/>
  <c r="AL372" i="1"/>
  <c r="AM372" i="1" s="1"/>
  <c r="AL373" i="1"/>
  <c r="AL374" i="1"/>
  <c r="AM374" i="1" s="1"/>
  <c r="AL375" i="1"/>
  <c r="AL376" i="1"/>
  <c r="AL377" i="1"/>
  <c r="AL378" i="1"/>
  <c r="AL379" i="1"/>
  <c r="AM379" i="1" s="1"/>
  <c r="AL380" i="1"/>
  <c r="AL381" i="1"/>
  <c r="AL382" i="1"/>
  <c r="AL383" i="1"/>
  <c r="AL384" i="1"/>
  <c r="AM384" i="1" s="1"/>
  <c r="AL385" i="1"/>
  <c r="AL386" i="1"/>
  <c r="AM386" i="1" s="1"/>
  <c r="AL387" i="1"/>
  <c r="AL388" i="1"/>
  <c r="AL389" i="1"/>
  <c r="AL390" i="1"/>
  <c r="AL391" i="1"/>
  <c r="AM391" i="1" s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M409" i="1" s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M427" i="1" s="1"/>
  <c r="AL428" i="1"/>
  <c r="AL429" i="1"/>
  <c r="AL430" i="1"/>
  <c r="AM430" i="1" s="1"/>
  <c r="AL431" i="1"/>
  <c r="AL432" i="1"/>
  <c r="AL433" i="1"/>
  <c r="AM433" i="1" s="1"/>
  <c r="AL434" i="1"/>
  <c r="AL435" i="1"/>
  <c r="AM435" i="1" s="1"/>
  <c r="AL250" i="1"/>
  <c r="AL251" i="1"/>
  <c r="AL252" i="1"/>
  <c r="AM252" i="1" s="1"/>
  <c r="AL436" i="1"/>
  <c r="AL437" i="1"/>
  <c r="AL438" i="1"/>
  <c r="AL439" i="1"/>
  <c r="AL440" i="1"/>
  <c r="AM440" i="1" s="1"/>
  <c r="AL441" i="1"/>
  <c r="AL442" i="1"/>
  <c r="AL443" i="1"/>
  <c r="AL444" i="1"/>
  <c r="AL445" i="1"/>
  <c r="AM445" i="1" s="1"/>
  <c r="AL446" i="1"/>
  <c r="AL447" i="1"/>
  <c r="AL448" i="1"/>
  <c r="AM448" i="1" s="1"/>
  <c r="AL449" i="1"/>
  <c r="AL450" i="1"/>
  <c r="AL451" i="1"/>
  <c r="AL452" i="1"/>
  <c r="AL453" i="1"/>
  <c r="AL454" i="1"/>
  <c r="AL455" i="1"/>
  <c r="AL456" i="1"/>
  <c r="AL457" i="1"/>
  <c r="AL458" i="1"/>
  <c r="AL459" i="1"/>
  <c r="AM459" i="1" s="1"/>
  <c r="AL460" i="1"/>
  <c r="AL461" i="1"/>
  <c r="AL462" i="1"/>
  <c r="AM462" i="1" s="1"/>
  <c r="AL463" i="1"/>
  <c r="AM463" i="1" s="1"/>
  <c r="AL464" i="1"/>
  <c r="AM464" i="1" s="1"/>
  <c r="AL465" i="1"/>
  <c r="AM465" i="1" s="1"/>
  <c r="AL466" i="1"/>
  <c r="AM466" i="1" s="1"/>
  <c r="AL467" i="1"/>
  <c r="AL468" i="1"/>
  <c r="AL469" i="1"/>
  <c r="AM469" i="1" s="1"/>
  <c r="AL470" i="1"/>
  <c r="AL471" i="1"/>
  <c r="AM471" i="1" s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M483" i="1" s="1"/>
  <c r="AL484" i="1"/>
  <c r="AL485" i="1"/>
  <c r="AL486" i="1"/>
  <c r="AL487" i="1"/>
  <c r="AL488" i="1"/>
  <c r="AL489" i="1"/>
  <c r="AL490" i="1"/>
  <c r="AL491" i="1"/>
  <c r="AL492" i="1"/>
  <c r="AL493" i="1"/>
  <c r="AL494" i="1"/>
  <c r="AM494" i="1" s="1"/>
  <c r="AL495" i="1"/>
  <c r="AL496" i="1"/>
  <c r="AL497" i="1"/>
  <c r="AL498" i="1"/>
  <c r="AL499" i="1"/>
  <c r="AM499" i="1" s="1"/>
  <c r="AL500" i="1"/>
  <c r="AM500" i="1" s="1"/>
  <c r="AL501" i="1"/>
  <c r="AL502" i="1"/>
  <c r="AL503" i="1"/>
  <c r="AM503" i="1" s="1"/>
  <c r="AL504" i="1"/>
  <c r="AM504" i="1" s="1"/>
  <c r="AL505" i="1"/>
  <c r="AM505" i="1" s="1"/>
  <c r="AL506" i="1"/>
  <c r="AL507" i="1"/>
  <c r="AL508" i="1"/>
  <c r="AM508" i="1" s="1"/>
  <c r="AL509" i="1"/>
  <c r="AL510" i="1"/>
  <c r="AL511" i="1"/>
  <c r="AL512" i="1"/>
  <c r="AL513" i="1"/>
  <c r="AM513" i="1" s="1"/>
  <c r="AL514" i="1"/>
  <c r="AL515" i="1"/>
  <c r="AL516" i="1"/>
  <c r="AL517" i="1"/>
  <c r="AL518" i="1"/>
  <c r="AL519" i="1"/>
  <c r="AL520" i="1"/>
  <c r="AL521" i="1"/>
  <c r="AL522" i="1"/>
  <c r="AM522" i="1" s="1"/>
  <c r="AL523" i="1"/>
  <c r="AL524" i="1"/>
  <c r="AL525" i="1"/>
  <c r="AM525" i="1" s="1"/>
  <c r="AL526" i="1"/>
  <c r="AL527" i="1"/>
  <c r="AM527" i="1" s="1"/>
  <c r="AL528" i="1"/>
  <c r="AL529" i="1"/>
  <c r="AM529" i="1" s="1"/>
  <c r="AL530" i="1"/>
  <c r="AL531" i="1"/>
  <c r="AM531" i="1" s="1"/>
  <c r="AL532" i="1"/>
  <c r="AL533" i="1"/>
  <c r="AL534" i="1"/>
  <c r="AL535" i="1"/>
  <c r="AM535" i="1" s="1"/>
  <c r="AL536" i="1"/>
  <c r="AL537" i="1"/>
  <c r="AL538" i="1"/>
  <c r="AM538" i="1" s="1"/>
  <c r="AL539" i="1"/>
  <c r="AL540" i="1"/>
  <c r="AL541" i="1"/>
  <c r="AL542" i="1"/>
  <c r="AM542" i="1" s="1"/>
  <c r="AL543" i="1"/>
  <c r="AL544" i="1"/>
  <c r="AM544" i="1" s="1"/>
  <c r="AL545" i="1"/>
  <c r="AM545" i="1" s="1"/>
  <c r="AL546" i="1"/>
  <c r="AM546" i="1" s="1"/>
  <c r="AL547" i="1"/>
  <c r="AM547" i="1" s="1"/>
  <c r="AL548" i="1"/>
  <c r="AM548" i="1" s="1"/>
  <c r="AL549" i="1"/>
  <c r="AM549" i="1" s="1"/>
  <c r="AL550" i="1"/>
  <c r="AM550" i="1" s="1"/>
  <c r="AL551" i="1"/>
  <c r="AM551" i="1" s="1"/>
  <c r="AL552" i="1"/>
  <c r="AM552" i="1" s="1"/>
  <c r="AL553" i="1"/>
  <c r="AM553" i="1" s="1"/>
  <c r="AL554" i="1"/>
  <c r="AM554" i="1" s="1"/>
  <c r="AL555" i="1"/>
  <c r="AM555" i="1" s="1"/>
  <c r="AL556" i="1"/>
  <c r="AM556" i="1" s="1"/>
  <c r="AL557" i="1"/>
  <c r="AM557" i="1" s="1"/>
  <c r="AL558" i="1"/>
  <c r="AM558" i="1" s="1"/>
  <c r="AL559" i="1"/>
  <c r="AM559" i="1" s="1"/>
  <c r="AL560" i="1"/>
  <c r="AM560" i="1" s="1"/>
  <c r="AL561" i="1"/>
  <c r="AL562" i="1"/>
  <c r="AL563" i="1"/>
  <c r="AM563" i="1" s="1"/>
  <c r="AL564" i="1"/>
  <c r="AL565" i="1"/>
  <c r="AM565" i="1" s="1"/>
  <c r="AL566" i="1"/>
  <c r="AL567" i="1"/>
  <c r="AL568" i="1"/>
  <c r="AL569" i="1"/>
  <c r="AL570" i="1"/>
  <c r="AL571" i="1"/>
  <c r="AM571" i="1" s="1"/>
  <c r="AL572" i="1"/>
  <c r="AM572" i="1" s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M584" i="1" s="1"/>
  <c r="AL585" i="1"/>
  <c r="AL586" i="1"/>
  <c r="AL587" i="1"/>
  <c r="AL588" i="1"/>
  <c r="AL589" i="1"/>
  <c r="AL590" i="1"/>
  <c r="AM590" i="1" s="1"/>
  <c r="AL591" i="1"/>
  <c r="AM591" i="1" s="1"/>
  <c r="AL592" i="1"/>
  <c r="AM592" i="1" s="1"/>
  <c r="AL593" i="1"/>
  <c r="AM593" i="1" s="1"/>
  <c r="AL594" i="1"/>
  <c r="AM594" i="1" s="1"/>
  <c r="AL595" i="1"/>
  <c r="AL596" i="1"/>
  <c r="AL597" i="1"/>
  <c r="AL598" i="1"/>
  <c r="AM598" i="1" s="1"/>
  <c r="AL599" i="1"/>
  <c r="AL600" i="1"/>
  <c r="AL601" i="1"/>
  <c r="AM601" i="1" s="1"/>
  <c r="AL602" i="1"/>
  <c r="AL603" i="1"/>
  <c r="AL604" i="1"/>
  <c r="AM604" i="1" s="1"/>
  <c r="AL605" i="1"/>
  <c r="AL606" i="1"/>
  <c r="AM606" i="1" s="1"/>
  <c r="AL607" i="1"/>
  <c r="AL608" i="1"/>
  <c r="AL609" i="1"/>
  <c r="AM609" i="1" s="1"/>
  <c r="AL610" i="1"/>
  <c r="AL611" i="1"/>
  <c r="AL612" i="1"/>
  <c r="AL613" i="1"/>
  <c r="AM613" i="1" s="1"/>
  <c r="AL614" i="1"/>
  <c r="AM614" i="1" s="1"/>
  <c r="AL615" i="1"/>
  <c r="AM615" i="1" s="1"/>
  <c r="AL616" i="1"/>
  <c r="AL617" i="1"/>
  <c r="AM617" i="1" s="1"/>
  <c r="AL618" i="1"/>
  <c r="AL619" i="1"/>
  <c r="AL620" i="1"/>
  <c r="AL621" i="1"/>
  <c r="AM621" i="1" s="1"/>
  <c r="AL622" i="1"/>
  <c r="AL623" i="1"/>
  <c r="AM623" i="1" s="1"/>
  <c r="AL624" i="1"/>
  <c r="AL625" i="1"/>
  <c r="AM625" i="1" s="1"/>
  <c r="AL626" i="1"/>
  <c r="AL627" i="1"/>
  <c r="AL628" i="1"/>
  <c r="AL629" i="1"/>
  <c r="AM629" i="1" s="1"/>
  <c r="AL630" i="1"/>
  <c r="AL631" i="1"/>
  <c r="AM631" i="1" s="1"/>
  <c r="AL632" i="1"/>
  <c r="AL633" i="1"/>
  <c r="AL634" i="1"/>
  <c r="AL635" i="1"/>
  <c r="AL636" i="1"/>
  <c r="AL637" i="1"/>
  <c r="AL638" i="1"/>
  <c r="AL639" i="1"/>
  <c r="AM639" i="1" s="1"/>
  <c r="AL640" i="1"/>
  <c r="AM640" i="1" s="1"/>
  <c r="AL641" i="1"/>
  <c r="AL642" i="1"/>
  <c r="AL643" i="1"/>
  <c r="AM643" i="1" s="1"/>
  <c r="AL644" i="1"/>
  <c r="AL645" i="1"/>
  <c r="AM645" i="1" s="1"/>
  <c r="AL646" i="1"/>
  <c r="AM646" i="1" s="1"/>
  <c r="AL647" i="1"/>
  <c r="AL648" i="1"/>
  <c r="AL649" i="1"/>
  <c r="AL650" i="1"/>
  <c r="AL651" i="1"/>
  <c r="AL652" i="1"/>
  <c r="AL653" i="1"/>
  <c r="AM653" i="1" s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M665" i="1" s="1"/>
  <c r="AL666" i="1"/>
  <c r="AL667" i="1"/>
  <c r="AL668" i="1"/>
  <c r="AL669" i="1"/>
  <c r="AL670" i="1"/>
  <c r="AL671" i="1"/>
  <c r="AL672" i="1"/>
  <c r="AL673" i="1"/>
  <c r="AL674" i="1"/>
  <c r="AL675" i="1"/>
  <c r="AL676" i="1"/>
  <c r="AM676" i="1" s="1"/>
  <c r="AL677" i="1"/>
  <c r="AL678" i="1"/>
  <c r="AL679" i="1"/>
  <c r="AL680" i="1"/>
  <c r="AL681" i="1"/>
  <c r="AL682" i="1"/>
  <c r="AM682" i="1" s="1"/>
  <c r="AL683" i="1"/>
  <c r="AL684" i="1"/>
  <c r="AL685" i="1"/>
  <c r="AL686" i="1"/>
  <c r="AL687" i="1"/>
  <c r="AL688" i="1"/>
  <c r="AL689" i="1"/>
  <c r="AL690" i="1"/>
  <c r="AM690" i="1" s="1"/>
  <c r="AL691" i="1"/>
  <c r="AL692" i="1"/>
  <c r="AL693" i="1"/>
  <c r="AL694" i="1"/>
  <c r="AL695" i="1"/>
  <c r="AL696" i="1"/>
  <c r="AM696" i="1" s="1"/>
  <c r="AL697" i="1"/>
  <c r="AL698" i="1"/>
  <c r="AL699" i="1"/>
  <c r="AL700" i="1"/>
  <c r="AL701" i="1"/>
  <c r="AL702" i="1"/>
  <c r="AL703" i="1"/>
  <c r="AM703" i="1" s="1"/>
  <c r="AL704" i="1"/>
  <c r="AL705" i="1"/>
  <c r="AM705" i="1" s="1"/>
  <c r="AL706" i="1"/>
  <c r="AM706" i="1" s="1"/>
  <c r="AL707" i="1"/>
  <c r="AM707" i="1" s="1"/>
  <c r="AL708" i="1"/>
  <c r="AM708" i="1" s="1"/>
  <c r="AL709" i="1"/>
  <c r="AM709" i="1" s="1"/>
  <c r="AL710" i="1"/>
  <c r="AM710" i="1" s="1"/>
  <c r="AL740" i="1"/>
  <c r="AL741" i="1"/>
  <c r="AM741" i="1" s="1"/>
  <c r="AL767" i="1"/>
  <c r="AM767" i="1" s="1"/>
  <c r="AL768" i="1"/>
  <c r="AM768" i="1" s="1"/>
  <c r="AL769" i="1"/>
  <c r="AM769" i="1" s="1"/>
  <c r="AL770" i="1"/>
  <c r="AM770" i="1" s="1"/>
  <c r="AL742" i="1"/>
  <c r="AL743" i="1"/>
  <c r="AL744" i="1"/>
  <c r="AM744" i="1" s="1"/>
  <c r="AL745" i="1"/>
  <c r="AL746" i="1"/>
  <c r="AL747" i="1"/>
  <c r="AL748" i="1"/>
  <c r="AL749" i="1"/>
  <c r="AM749" i="1" s="1"/>
  <c r="AL750" i="1"/>
  <c r="AM750" i="1" s="1"/>
  <c r="AL751" i="1"/>
  <c r="AM751" i="1" s="1"/>
  <c r="AL752" i="1"/>
  <c r="AM752" i="1" s="1"/>
  <c r="AL753" i="1"/>
  <c r="AM753" i="1" s="1"/>
  <c r="AL754" i="1"/>
  <c r="AM754" i="1" s="1"/>
  <c r="AL755" i="1"/>
  <c r="AM755" i="1" s="1"/>
  <c r="AL756" i="1"/>
  <c r="AM756" i="1" s="1"/>
  <c r="AL757" i="1"/>
  <c r="AL758" i="1"/>
  <c r="AL759" i="1"/>
  <c r="AL760" i="1"/>
  <c r="AL761" i="1"/>
  <c r="AL762" i="1"/>
  <c r="AL763" i="1"/>
  <c r="AL764" i="1"/>
  <c r="AM764" i="1" s="1"/>
  <c r="AL765" i="1"/>
  <c r="AM765" i="1" s="1"/>
  <c r="AL766" i="1"/>
  <c r="AM766" i="1" s="1"/>
  <c r="AL711" i="1"/>
  <c r="AL712" i="1"/>
  <c r="AL713" i="1"/>
  <c r="AL714" i="1"/>
  <c r="AM714" i="1" s="1"/>
  <c r="AL715" i="1"/>
  <c r="AL716" i="1"/>
  <c r="AL717" i="1"/>
  <c r="AL718" i="1"/>
  <c r="AL719" i="1"/>
  <c r="AM719" i="1" s="1"/>
  <c r="AN749" i="1" l="1"/>
  <c r="AN770" i="1"/>
  <c r="AN741" i="1"/>
  <c r="AN710" i="1"/>
  <c r="AN696" i="1"/>
  <c r="AN690" i="1"/>
  <c r="AN682" i="1"/>
  <c r="AN676" i="1"/>
  <c r="AN646" i="1"/>
  <c r="AN640" i="1"/>
  <c r="AN606" i="1"/>
  <c r="AN604" i="1"/>
  <c r="AN598" i="1"/>
  <c r="AN594" i="1"/>
  <c r="AN590" i="1"/>
  <c r="AN584" i="1"/>
  <c r="AN572" i="1"/>
  <c r="AN560" i="1"/>
  <c r="AN544" i="1"/>
  <c r="AN542" i="1"/>
  <c r="AN538" i="1"/>
  <c r="AN522" i="1"/>
  <c r="AN508" i="1"/>
  <c r="AN500" i="1"/>
  <c r="AN494" i="1"/>
  <c r="AN466" i="1"/>
  <c r="AN448" i="1"/>
  <c r="AN440" i="1"/>
  <c r="AN430" i="1"/>
  <c r="AN391" i="1"/>
  <c r="AN379" i="1"/>
  <c r="AN369" i="1"/>
  <c r="AN317" i="1"/>
  <c r="AN315" i="1"/>
  <c r="AN313" i="1"/>
  <c r="AN311" i="1"/>
  <c r="AN309" i="1"/>
  <c r="AN261" i="1"/>
  <c r="AN225" i="1"/>
  <c r="AN185" i="1"/>
  <c r="AN175" i="1"/>
  <c r="AN249" i="1"/>
  <c r="AN247" i="1"/>
  <c r="AN245" i="1"/>
  <c r="AN243" i="1"/>
  <c r="AN241" i="1"/>
  <c r="AN148" i="1"/>
  <c r="AN136" i="1"/>
  <c r="AN134" i="1"/>
  <c r="AN132" i="1"/>
  <c r="AN130" i="1"/>
  <c r="AN122" i="1"/>
  <c r="AN81" i="1"/>
  <c r="AN109" i="1"/>
  <c r="AN107" i="1"/>
  <c r="AN105" i="1"/>
  <c r="AN103" i="1"/>
  <c r="AN101" i="1"/>
  <c r="AN97" i="1"/>
  <c r="AN43" i="1"/>
  <c r="AN73" i="1"/>
  <c r="AN53" i="1"/>
  <c r="AN51" i="1"/>
  <c r="AN45" i="1"/>
  <c r="AN20" i="1"/>
  <c r="AN18" i="1"/>
  <c r="AN8" i="1"/>
  <c r="AN6" i="1"/>
  <c r="AN4" i="1"/>
  <c r="AN714" i="1"/>
  <c r="AN766" i="1"/>
  <c r="AN764" i="1"/>
  <c r="AN756" i="1"/>
  <c r="AN752" i="1"/>
  <c r="AN744" i="1"/>
  <c r="AN707" i="1"/>
  <c r="AN705" i="1"/>
  <c r="AN703" i="1"/>
  <c r="AN665" i="1"/>
  <c r="AN653" i="1"/>
  <c r="AN631" i="1"/>
  <c r="AN629" i="1"/>
  <c r="AN625" i="1"/>
  <c r="AN623" i="1"/>
  <c r="AN621" i="1"/>
  <c r="AN617" i="1"/>
  <c r="AN615" i="1"/>
  <c r="AN613" i="1"/>
  <c r="AN609" i="1"/>
  <c r="AN601" i="1"/>
  <c r="AN563" i="1"/>
  <c r="AN553" i="1"/>
  <c r="AN535" i="1"/>
  <c r="AN531" i="1"/>
  <c r="AN529" i="1"/>
  <c r="AN527" i="1"/>
  <c r="AN525" i="1"/>
  <c r="AN513" i="1"/>
  <c r="AN483" i="1"/>
  <c r="AN471" i="1"/>
  <c r="AN469" i="1"/>
  <c r="AN463" i="1"/>
  <c r="AN459" i="1"/>
  <c r="AN445" i="1"/>
  <c r="AN252" i="1"/>
  <c r="AN435" i="1"/>
  <c r="AN433" i="1"/>
  <c r="AN427" i="1"/>
  <c r="AN409" i="1"/>
  <c r="AN386" i="1"/>
  <c r="AN384" i="1"/>
  <c r="AN374" i="1"/>
  <c r="AN372" i="1"/>
  <c r="AN358" i="1"/>
  <c r="AN356" i="1"/>
  <c r="AN344" i="1"/>
  <c r="AN334" i="1"/>
  <c r="AN322" i="1"/>
  <c r="AN320" i="1"/>
  <c r="AN306" i="1"/>
  <c r="AN296" i="1"/>
  <c r="AN288" i="1"/>
  <c r="AN284" i="1"/>
  <c r="AN272" i="1"/>
  <c r="AN236" i="1"/>
  <c r="AN220" i="1"/>
  <c r="AN212" i="1"/>
  <c r="AN210" i="1"/>
  <c r="AN200" i="1"/>
  <c r="AN196" i="1"/>
  <c r="AN164" i="1"/>
  <c r="AN157" i="1"/>
  <c r="AN143" i="1"/>
  <c r="AN141" i="1"/>
  <c r="AN125" i="1"/>
  <c r="AN78" i="1"/>
  <c r="AN76" i="1"/>
  <c r="AN112" i="1"/>
  <c r="AN26" i="1"/>
  <c r="AN22" i="1"/>
  <c r="AN94" i="1"/>
  <c r="AN84" i="1"/>
  <c r="AN64" i="1"/>
  <c r="O79" i="1" l="1"/>
  <c r="O80" i="1"/>
  <c r="AF19" i="1" l="1"/>
  <c r="AK19" i="1"/>
  <c r="X19" i="1" l="1"/>
  <c r="AE19" i="1"/>
  <c r="AM19" i="1" s="1"/>
  <c r="Y19" i="1"/>
  <c r="Z19" i="1" s="1"/>
  <c r="AA19" i="1" l="1"/>
  <c r="AB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F719" i="1"/>
  <c r="AF718" i="1"/>
  <c r="AF717" i="1"/>
  <c r="AF716" i="1"/>
  <c r="AF715" i="1"/>
  <c r="AH714" i="1"/>
  <c r="AK714" i="1" s="1"/>
  <c r="AF714" i="1"/>
  <c r="X714" i="1" s="1"/>
  <c r="E714" i="1"/>
  <c r="AF713" i="1"/>
  <c r="AF712" i="1"/>
  <c r="AF711" i="1"/>
  <c r="AH766" i="1"/>
  <c r="AK766" i="1" s="1"/>
  <c r="AF766" i="1"/>
  <c r="X766" i="1" s="1"/>
  <c r="E766" i="1"/>
  <c r="AF765" i="1"/>
  <c r="AH764" i="1"/>
  <c r="AK764" i="1" s="1"/>
  <c r="AF764" i="1"/>
  <c r="X764" i="1" s="1"/>
  <c r="E764" i="1"/>
  <c r="AF763" i="1"/>
  <c r="AF762" i="1"/>
  <c r="AF761" i="1"/>
  <c r="AF760" i="1"/>
  <c r="AF759" i="1"/>
  <c r="AF758" i="1"/>
  <c r="AF757" i="1"/>
  <c r="AH756" i="1"/>
  <c r="AK756" i="1" s="1"/>
  <c r="AF756" i="1"/>
  <c r="X756" i="1" s="1"/>
  <c r="E756" i="1"/>
  <c r="AF755" i="1"/>
  <c r="AF754" i="1"/>
  <c r="AF753" i="1"/>
  <c r="AH752" i="1"/>
  <c r="AK752" i="1" s="1"/>
  <c r="AF752" i="1"/>
  <c r="X752" i="1" s="1"/>
  <c r="E752" i="1"/>
  <c r="AF751" i="1"/>
  <c r="AF750" i="1"/>
  <c r="AH749" i="1"/>
  <c r="AK749" i="1" s="1"/>
  <c r="AF749" i="1"/>
  <c r="X749" i="1" s="1"/>
  <c r="E749" i="1"/>
  <c r="AF748" i="1"/>
  <c r="AF747" i="1"/>
  <c r="AF746" i="1"/>
  <c r="AF745" i="1"/>
  <c r="AH744" i="1"/>
  <c r="AK744" i="1" s="1"/>
  <c r="AF744" i="1"/>
  <c r="X744" i="1" s="1"/>
  <c r="E744" i="1"/>
  <c r="AF743" i="1"/>
  <c r="AF742" i="1"/>
  <c r="AH770" i="1"/>
  <c r="AK770" i="1" s="1"/>
  <c r="AF770" i="1"/>
  <c r="X770" i="1" s="1"/>
  <c r="E770" i="1"/>
  <c r="AF769" i="1"/>
  <c r="AF768" i="1"/>
  <c r="AF767" i="1"/>
  <c r="AH741" i="1"/>
  <c r="AK741" i="1" s="1"/>
  <c r="AF741" i="1"/>
  <c r="X741" i="1" s="1"/>
  <c r="E741" i="1"/>
  <c r="AF740" i="1"/>
  <c r="AH710" i="1"/>
  <c r="AK710" i="1" s="1"/>
  <c r="AF710" i="1"/>
  <c r="X710" i="1" s="1"/>
  <c r="E710" i="1"/>
  <c r="AF709" i="1"/>
  <c r="AF708" i="1"/>
  <c r="AH707" i="1"/>
  <c r="AK707" i="1" s="1"/>
  <c r="AF707" i="1"/>
  <c r="X707" i="1" s="1"/>
  <c r="E707" i="1"/>
  <c r="AF706" i="1"/>
  <c r="AH705" i="1"/>
  <c r="AK705" i="1" s="1"/>
  <c r="AF705" i="1"/>
  <c r="X705" i="1" s="1"/>
  <c r="E705" i="1"/>
  <c r="AF704" i="1"/>
  <c r="AH703" i="1"/>
  <c r="AK703" i="1" s="1"/>
  <c r="AF703" i="1"/>
  <c r="X703" i="1" s="1"/>
  <c r="E703" i="1"/>
  <c r="AF702" i="1"/>
  <c r="AF701" i="1"/>
  <c r="AF700" i="1"/>
  <c r="AF699" i="1"/>
  <c r="AF698" i="1"/>
  <c r="AF697" i="1"/>
  <c r="AH696" i="1"/>
  <c r="AK696" i="1" s="1"/>
  <c r="AF696" i="1"/>
  <c r="X696" i="1" s="1"/>
  <c r="E696" i="1"/>
  <c r="AF695" i="1"/>
  <c r="AF694" i="1"/>
  <c r="AF693" i="1"/>
  <c r="AF692" i="1"/>
  <c r="AF691" i="1"/>
  <c r="AH690" i="1"/>
  <c r="AK690" i="1" s="1"/>
  <c r="AF690" i="1"/>
  <c r="X690" i="1" s="1"/>
  <c r="E690" i="1"/>
  <c r="AF689" i="1"/>
  <c r="AF688" i="1"/>
  <c r="AF687" i="1"/>
  <c r="AF686" i="1"/>
  <c r="AF685" i="1"/>
  <c r="AF684" i="1"/>
  <c r="AF683" i="1"/>
  <c r="AH682" i="1"/>
  <c r="AK682" i="1" s="1"/>
  <c r="AF682" i="1"/>
  <c r="X682" i="1" s="1"/>
  <c r="E682" i="1"/>
  <c r="AF681" i="1"/>
  <c r="AF680" i="1"/>
  <c r="AF679" i="1"/>
  <c r="AF678" i="1"/>
  <c r="AF677" i="1"/>
  <c r="AH676" i="1"/>
  <c r="AK676" i="1" s="1"/>
  <c r="AF676" i="1"/>
  <c r="X676" i="1" s="1"/>
  <c r="E676" i="1"/>
  <c r="AF675" i="1"/>
  <c r="AF674" i="1"/>
  <c r="AF673" i="1"/>
  <c r="AF672" i="1"/>
  <c r="AF671" i="1"/>
  <c r="AF670" i="1"/>
  <c r="AF669" i="1"/>
  <c r="AF668" i="1"/>
  <c r="AF667" i="1"/>
  <c r="AF666" i="1"/>
  <c r="AH665" i="1"/>
  <c r="AK665" i="1" s="1"/>
  <c r="AF665" i="1"/>
  <c r="X665" i="1" s="1"/>
  <c r="E665" i="1"/>
  <c r="AF664" i="1"/>
  <c r="AF663" i="1"/>
  <c r="AF662" i="1"/>
  <c r="AF661" i="1"/>
  <c r="AF660" i="1"/>
  <c r="AF659" i="1"/>
  <c r="AF658" i="1"/>
  <c r="AF657" i="1"/>
  <c r="AF656" i="1"/>
  <c r="AF655" i="1"/>
  <c r="AF654" i="1"/>
  <c r="AH653" i="1"/>
  <c r="AK653" i="1" s="1"/>
  <c r="AF653" i="1"/>
  <c r="X653" i="1" s="1"/>
  <c r="E653" i="1"/>
  <c r="AF652" i="1"/>
  <c r="AF651" i="1"/>
  <c r="AF650" i="1"/>
  <c r="AF649" i="1"/>
  <c r="AF648" i="1"/>
  <c r="AF647" i="1"/>
  <c r="AH646" i="1"/>
  <c r="AK646" i="1" s="1"/>
  <c r="AF646" i="1"/>
  <c r="X646" i="1" s="1"/>
  <c r="E646" i="1"/>
  <c r="AF645" i="1"/>
  <c r="AF644" i="1"/>
  <c r="AF643" i="1"/>
  <c r="AF642" i="1"/>
  <c r="AF641" i="1"/>
  <c r="AH640" i="1"/>
  <c r="AK640" i="1" s="1"/>
  <c r="AF640" i="1"/>
  <c r="X640" i="1" s="1"/>
  <c r="E640" i="1"/>
  <c r="AF639" i="1"/>
  <c r="AF638" i="1"/>
  <c r="AF637" i="1"/>
  <c r="AF636" i="1"/>
  <c r="AF635" i="1"/>
  <c r="AF634" i="1"/>
  <c r="AF633" i="1"/>
  <c r="AF632" i="1"/>
  <c r="AH631" i="1"/>
  <c r="AK631" i="1" s="1"/>
  <c r="AF631" i="1"/>
  <c r="X631" i="1" s="1"/>
  <c r="E631" i="1"/>
  <c r="X630" i="1"/>
  <c r="AH629" i="1"/>
  <c r="AK629" i="1" s="1"/>
  <c r="AF629" i="1"/>
  <c r="X629" i="1" s="1"/>
  <c r="E629" i="1"/>
  <c r="AF628" i="1"/>
  <c r="AF627" i="1"/>
  <c r="AF626" i="1"/>
  <c r="AH625" i="1"/>
  <c r="AK625" i="1" s="1"/>
  <c r="AF625" i="1"/>
  <c r="X625" i="1" s="1"/>
  <c r="E625" i="1"/>
  <c r="AF624" i="1"/>
  <c r="AH623" i="1"/>
  <c r="AK623" i="1" s="1"/>
  <c r="AF623" i="1"/>
  <c r="X623" i="1" s="1"/>
  <c r="E623" i="1"/>
  <c r="AF622" i="1"/>
  <c r="AH621" i="1"/>
  <c r="AK621" i="1" s="1"/>
  <c r="AF621" i="1"/>
  <c r="X621" i="1" s="1"/>
  <c r="E621" i="1"/>
  <c r="AF620" i="1"/>
  <c r="AF619" i="1"/>
  <c r="AF618" i="1"/>
  <c r="AH617" i="1"/>
  <c r="AK617" i="1" s="1"/>
  <c r="AF617" i="1"/>
  <c r="X617" i="1" s="1"/>
  <c r="E617" i="1"/>
  <c r="AF616" i="1"/>
  <c r="AH615" i="1"/>
  <c r="AK615" i="1" s="1"/>
  <c r="AF615" i="1"/>
  <c r="X615" i="1" s="1"/>
  <c r="E615" i="1"/>
  <c r="AF614" i="1"/>
  <c r="AH613" i="1"/>
  <c r="AK613" i="1" s="1"/>
  <c r="AF613" i="1"/>
  <c r="X613" i="1" s="1"/>
  <c r="E613" i="1"/>
  <c r="AF612" i="1"/>
  <c r="AF611" i="1"/>
  <c r="AF610" i="1"/>
  <c r="AH609" i="1"/>
  <c r="AK609" i="1" s="1"/>
  <c r="AF609" i="1"/>
  <c r="X609" i="1" s="1"/>
  <c r="E609" i="1"/>
  <c r="AF608" i="1"/>
  <c r="AF607" i="1"/>
  <c r="AH606" i="1"/>
  <c r="AK606" i="1" s="1"/>
  <c r="AF606" i="1"/>
  <c r="X606" i="1" s="1"/>
  <c r="E606" i="1"/>
  <c r="AF605" i="1"/>
  <c r="AH604" i="1"/>
  <c r="AK604" i="1" s="1"/>
  <c r="AF604" i="1"/>
  <c r="X604" i="1" s="1"/>
  <c r="E604" i="1"/>
  <c r="AF603" i="1"/>
  <c r="AF602" i="1"/>
  <c r="AF601" i="1"/>
  <c r="X601" i="1" s="1"/>
  <c r="AF600" i="1"/>
  <c r="AF599" i="1"/>
  <c r="AH598" i="1"/>
  <c r="AK598" i="1" s="1"/>
  <c r="AF598" i="1"/>
  <c r="X598" i="1" s="1"/>
  <c r="E598" i="1"/>
  <c r="AF597" i="1"/>
  <c r="AF596" i="1"/>
  <c r="AF595" i="1"/>
  <c r="AH594" i="1"/>
  <c r="AK594" i="1" s="1"/>
  <c r="AF594" i="1"/>
  <c r="X594" i="1" s="1"/>
  <c r="E594" i="1"/>
  <c r="AF593" i="1"/>
  <c r="AF592" i="1"/>
  <c r="AF591" i="1"/>
  <c r="AH590" i="1"/>
  <c r="AK590" i="1" s="1"/>
  <c r="AF590" i="1"/>
  <c r="X590" i="1" s="1"/>
  <c r="E590" i="1"/>
  <c r="AF589" i="1"/>
  <c r="AF588" i="1"/>
  <c r="AF587" i="1"/>
  <c r="AF586" i="1"/>
  <c r="AF585" i="1"/>
  <c r="AH584" i="1"/>
  <c r="AK584" i="1" s="1"/>
  <c r="AF584" i="1"/>
  <c r="X584" i="1" s="1"/>
  <c r="E584" i="1"/>
  <c r="AF583" i="1"/>
  <c r="AF582" i="1"/>
  <c r="AF581" i="1"/>
  <c r="AF580" i="1"/>
  <c r="AF579" i="1"/>
  <c r="AF578" i="1"/>
  <c r="AF577" i="1"/>
  <c r="AF576" i="1"/>
  <c r="AF575" i="1"/>
  <c r="AF574" i="1"/>
  <c r="AF573" i="1"/>
  <c r="AH572" i="1"/>
  <c r="AK572" i="1" s="1"/>
  <c r="AF572" i="1"/>
  <c r="X572" i="1" s="1"/>
  <c r="E572" i="1"/>
  <c r="AF571" i="1"/>
  <c r="AF570" i="1"/>
  <c r="AF569" i="1"/>
  <c r="AF568" i="1"/>
  <c r="AE568" i="1" s="1"/>
  <c r="AF567" i="1"/>
  <c r="AF566" i="1"/>
  <c r="AF565" i="1"/>
  <c r="AF564" i="1"/>
  <c r="AF563" i="1"/>
  <c r="AF562" i="1"/>
  <c r="AF561" i="1"/>
  <c r="AE561" i="1" s="1"/>
  <c r="AH560" i="1"/>
  <c r="AK560" i="1" s="1"/>
  <c r="AF560" i="1"/>
  <c r="X560" i="1" s="1"/>
  <c r="E560" i="1"/>
  <c r="AF559" i="1"/>
  <c r="AE559" i="1" s="1"/>
  <c r="AF558" i="1"/>
  <c r="AF557" i="1"/>
  <c r="AF556" i="1"/>
  <c r="AE556" i="1" s="1"/>
  <c r="AF555" i="1"/>
  <c r="AE555" i="1" s="1"/>
  <c r="AF554" i="1"/>
  <c r="AF553" i="1"/>
  <c r="AF552" i="1"/>
  <c r="AE552" i="1" s="1"/>
  <c r="AF551" i="1"/>
  <c r="AF550" i="1"/>
  <c r="AE550" i="1" s="1"/>
  <c r="AF549" i="1"/>
  <c r="AF548" i="1"/>
  <c r="AF547" i="1"/>
  <c r="AF546" i="1"/>
  <c r="AF545" i="1"/>
  <c r="AE545" i="1" s="1"/>
  <c r="AF544" i="1"/>
  <c r="AF543" i="1"/>
  <c r="AF542" i="1"/>
  <c r="AF541" i="1"/>
  <c r="AE541" i="1" s="1"/>
  <c r="AF540" i="1"/>
  <c r="AF539" i="1"/>
  <c r="AE539" i="1" s="1"/>
  <c r="AF538" i="1"/>
  <c r="AF537" i="1"/>
  <c r="AE537" i="1" s="1"/>
  <c r="AF536" i="1"/>
  <c r="AF535" i="1"/>
  <c r="AF534" i="1"/>
  <c r="AF533" i="1"/>
  <c r="AF532" i="1"/>
  <c r="AF531" i="1"/>
  <c r="AF530" i="1"/>
  <c r="AF529" i="1"/>
  <c r="AF528" i="1"/>
  <c r="AE528" i="1" s="1"/>
  <c r="AF527" i="1"/>
  <c r="X527" i="1" s="1"/>
  <c r="Y527" i="1" s="1"/>
  <c r="AF526" i="1"/>
  <c r="AE526" i="1" s="1"/>
  <c r="AF525" i="1"/>
  <c r="X525" i="1" s="1"/>
  <c r="Y525" i="1" s="1"/>
  <c r="AF524" i="1"/>
  <c r="AE524" i="1" s="1"/>
  <c r="AF523" i="1"/>
  <c r="AF522" i="1"/>
  <c r="AF521" i="1"/>
  <c r="AF520" i="1"/>
  <c r="AE520" i="1" s="1"/>
  <c r="AF519" i="1"/>
  <c r="AF518" i="1"/>
  <c r="AE518" i="1" s="1"/>
  <c r="AF517" i="1"/>
  <c r="AF516" i="1"/>
  <c r="AF515" i="1"/>
  <c r="AF514" i="1"/>
  <c r="AF513" i="1"/>
  <c r="X513" i="1" s="1"/>
  <c r="Y513" i="1" s="1"/>
  <c r="AF512" i="1"/>
  <c r="AF511" i="1"/>
  <c r="AF510" i="1"/>
  <c r="AE510" i="1" s="1"/>
  <c r="AF509" i="1"/>
  <c r="AF508" i="1"/>
  <c r="AF507" i="1"/>
  <c r="AF506" i="1"/>
  <c r="AF505" i="1"/>
  <c r="AE505" i="1" s="1"/>
  <c r="AF504" i="1"/>
  <c r="AE504" i="1" s="1"/>
  <c r="AF503" i="1"/>
  <c r="AE503" i="1" s="1"/>
  <c r="AF502" i="1"/>
  <c r="AE502" i="1" s="1"/>
  <c r="AF501" i="1"/>
  <c r="AF500" i="1"/>
  <c r="AF499" i="1"/>
  <c r="AE499" i="1" s="1"/>
  <c r="AF498" i="1"/>
  <c r="AE498" i="1" s="1"/>
  <c r="AF497" i="1"/>
  <c r="AF496" i="1"/>
  <c r="AE496" i="1" s="1"/>
  <c r="AF495" i="1"/>
  <c r="AF494" i="1"/>
  <c r="AF493" i="1"/>
  <c r="AF492" i="1"/>
  <c r="AE492" i="1" s="1"/>
  <c r="AF491" i="1"/>
  <c r="AF490" i="1"/>
  <c r="AE490" i="1" s="1"/>
  <c r="AF489" i="1"/>
  <c r="AF488" i="1"/>
  <c r="AE488" i="1" s="1"/>
  <c r="AF487" i="1"/>
  <c r="AF486" i="1"/>
  <c r="AE486" i="1" s="1"/>
  <c r="AF485" i="1"/>
  <c r="AF484" i="1"/>
  <c r="AF483" i="1"/>
  <c r="AF482" i="1"/>
  <c r="AE482" i="1" s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E465" i="1" s="1"/>
  <c r="AF464" i="1"/>
  <c r="AE464" i="1" s="1"/>
  <c r="AF463" i="1"/>
  <c r="AF462" i="1"/>
  <c r="AF461" i="1"/>
  <c r="AF460" i="1"/>
  <c r="AF459" i="1"/>
  <c r="X459" i="1" s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E446" i="1" s="1"/>
  <c r="AF445" i="1"/>
  <c r="X445" i="1" s="1"/>
  <c r="Y445" i="1" s="1"/>
  <c r="AF444" i="1"/>
  <c r="AE444" i="1" s="1"/>
  <c r="AF443" i="1"/>
  <c r="AF442" i="1"/>
  <c r="AF441" i="1"/>
  <c r="AH440" i="1"/>
  <c r="AK440" i="1" s="1"/>
  <c r="AF440" i="1"/>
  <c r="X440" i="1" s="1"/>
  <c r="E440" i="1"/>
  <c r="AF439" i="1"/>
  <c r="AF438" i="1"/>
  <c r="AF437" i="1"/>
  <c r="AE437" i="1" s="1"/>
  <c r="AF436" i="1"/>
  <c r="AE436" i="1" s="1"/>
  <c r="AF252" i="1"/>
  <c r="X252" i="1" s="1"/>
  <c r="AF251" i="1"/>
  <c r="AE251" i="1" s="1"/>
  <c r="AF250" i="1"/>
  <c r="AH435" i="1"/>
  <c r="AK435" i="1" s="1"/>
  <c r="AF435" i="1"/>
  <c r="X435" i="1" s="1"/>
  <c r="E435" i="1"/>
  <c r="AF434" i="1"/>
  <c r="AF433" i="1"/>
  <c r="X433" i="1" s="1"/>
  <c r="Y433" i="1" s="1"/>
  <c r="AF432" i="1"/>
  <c r="AF431" i="1"/>
  <c r="AF430" i="1"/>
  <c r="AF429" i="1"/>
  <c r="AF428" i="1"/>
  <c r="AE428" i="1" s="1"/>
  <c r="AF427" i="1"/>
  <c r="X427" i="1" s="1"/>
  <c r="Y427" i="1" s="1"/>
  <c r="AF426" i="1"/>
  <c r="AF425" i="1"/>
  <c r="AF424" i="1"/>
  <c r="AE424" i="1" s="1"/>
  <c r="AF423" i="1"/>
  <c r="AF422" i="1"/>
  <c r="AF421" i="1"/>
  <c r="AF420" i="1"/>
  <c r="AF419" i="1"/>
  <c r="AF418" i="1"/>
  <c r="AF417" i="1"/>
  <c r="AF416" i="1"/>
  <c r="AE416" i="1" s="1"/>
  <c r="AF415" i="1"/>
  <c r="AF414" i="1"/>
  <c r="AE414" i="1" s="1"/>
  <c r="AF413" i="1"/>
  <c r="AF412" i="1"/>
  <c r="AE412" i="1" s="1"/>
  <c r="AF411" i="1"/>
  <c r="AF410" i="1"/>
  <c r="AH409" i="1"/>
  <c r="AK409" i="1" s="1"/>
  <c r="AF409" i="1"/>
  <c r="X409" i="1" s="1"/>
  <c r="E409" i="1"/>
  <c r="AF408" i="1"/>
  <c r="AF407" i="1"/>
  <c r="AF406" i="1"/>
  <c r="AF405" i="1"/>
  <c r="AF404" i="1"/>
  <c r="AF403" i="1"/>
  <c r="AF402" i="1"/>
  <c r="AF401" i="1"/>
  <c r="AF400" i="1"/>
  <c r="AF399" i="1"/>
  <c r="AE399" i="1" s="1"/>
  <c r="AF398" i="1"/>
  <c r="AF397" i="1"/>
  <c r="AE397" i="1" s="1"/>
  <c r="AF396" i="1"/>
  <c r="AF395" i="1"/>
  <c r="AF394" i="1"/>
  <c r="AF393" i="1"/>
  <c r="AF392" i="1"/>
  <c r="AF391" i="1"/>
  <c r="AF390" i="1"/>
  <c r="AF389" i="1"/>
  <c r="AF388" i="1"/>
  <c r="AF387" i="1"/>
  <c r="AE387" i="1" s="1"/>
  <c r="AF386" i="1"/>
  <c r="X386" i="1" s="1"/>
  <c r="Y386" i="1" s="1"/>
  <c r="AF385" i="1"/>
  <c r="AH384" i="1"/>
  <c r="AK384" i="1" s="1"/>
  <c r="AF384" i="1"/>
  <c r="X384" i="1" s="1"/>
  <c r="E384" i="1"/>
  <c r="AF383" i="1"/>
  <c r="AF382" i="1"/>
  <c r="AF381" i="1"/>
  <c r="AF380" i="1"/>
  <c r="AF379" i="1"/>
  <c r="X379" i="1" s="1"/>
  <c r="AF378" i="1"/>
  <c r="AF377" i="1"/>
  <c r="AF376" i="1"/>
  <c r="AF375" i="1"/>
  <c r="AE375" i="1" s="1"/>
  <c r="AF374" i="1"/>
  <c r="X374" i="1" s="1"/>
  <c r="Y374" i="1" s="1"/>
  <c r="AF373" i="1"/>
  <c r="AE373" i="1" s="1"/>
  <c r="AF372" i="1"/>
  <c r="X372" i="1" s="1"/>
  <c r="Y372" i="1" s="1"/>
  <c r="AF371" i="1"/>
  <c r="AF370" i="1"/>
  <c r="AF369" i="1"/>
  <c r="X369" i="1" s="1"/>
  <c r="AF368" i="1"/>
  <c r="AF367" i="1"/>
  <c r="AF366" i="1"/>
  <c r="AF365" i="1"/>
  <c r="AF364" i="1"/>
  <c r="AF363" i="1"/>
  <c r="AF362" i="1"/>
  <c r="AF361" i="1"/>
  <c r="AF360" i="1"/>
  <c r="AF359" i="1"/>
  <c r="AF358" i="1"/>
  <c r="X358" i="1" s="1"/>
  <c r="Y358" i="1" s="1"/>
  <c r="AF357" i="1"/>
  <c r="AE357" i="1" s="1"/>
  <c r="AF356" i="1"/>
  <c r="X356" i="1" s="1"/>
  <c r="Y356" i="1" s="1"/>
  <c r="AF355" i="1"/>
  <c r="AE355" i="1" s="1"/>
  <c r="AF354" i="1"/>
  <c r="AF353" i="1"/>
  <c r="AF352" i="1"/>
  <c r="AF351" i="1"/>
  <c r="AF350" i="1"/>
  <c r="AF349" i="1"/>
  <c r="AF348" i="1"/>
  <c r="AF347" i="1"/>
  <c r="AF346" i="1"/>
  <c r="AF345" i="1"/>
  <c r="AH344" i="1"/>
  <c r="AK344" i="1" s="1"/>
  <c r="AF344" i="1"/>
  <c r="X344" i="1" s="1"/>
  <c r="E344" i="1"/>
  <c r="AF343" i="1"/>
  <c r="AE343" i="1" s="1"/>
  <c r="AF342" i="1"/>
  <c r="AF341" i="1"/>
  <c r="AF340" i="1"/>
  <c r="AF339" i="1"/>
  <c r="AE339" i="1" s="1"/>
  <c r="AF338" i="1"/>
  <c r="AF337" i="1"/>
  <c r="AF336" i="1"/>
  <c r="AF335" i="1"/>
  <c r="AE335" i="1" s="1"/>
  <c r="AF334" i="1"/>
  <c r="X334" i="1" s="1"/>
  <c r="Y334" i="1"/>
  <c r="AF333" i="1"/>
  <c r="AE333" i="1" s="1"/>
  <c r="AF332" i="1"/>
  <c r="AF331" i="1"/>
  <c r="AE331" i="1" s="1"/>
  <c r="AF330" i="1"/>
  <c r="AF329" i="1"/>
  <c r="AF328" i="1"/>
  <c r="AF327" i="1"/>
  <c r="AF326" i="1"/>
  <c r="AF325" i="1"/>
  <c r="AF324" i="1"/>
  <c r="AE324" i="1" s="1"/>
  <c r="AF323" i="1"/>
  <c r="AF322" i="1"/>
  <c r="AF321" i="1"/>
  <c r="AF320" i="1"/>
  <c r="AF319" i="1"/>
  <c r="AF318" i="1"/>
  <c r="AE318" i="1" s="1"/>
  <c r="AF317" i="1"/>
  <c r="X317" i="1" s="1"/>
  <c r="Y317" i="1"/>
  <c r="AF316" i="1"/>
  <c r="AE316" i="1" s="1"/>
  <c r="AF315" i="1"/>
  <c r="X315" i="1" s="1"/>
  <c r="Y315" i="1" s="1"/>
  <c r="AF314" i="1"/>
  <c r="AE314" i="1" s="1"/>
  <c r="AF313" i="1"/>
  <c r="X313" i="1" s="1"/>
  <c r="Y313" i="1" s="1"/>
  <c r="AF312" i="1"/>
  <c r="AE312" i="1" s="1"/>
  <c r="AH311" i="1"/>
  <c r="AK311" i="1" s="1"/>
  <c r="AF311" i="1"/>
  <c r="X311" i="1" s="1"/>
  <c r="E311" i="1"/>
  <c r="AF310" i="1"/>
  <c r="AE310" i="1" s="1"/>
  <c r="AF309" i="1"/>
  <c r="AF308" i="1"/>
  <c r="AE308" i="1" s="1"/>
  <c r="AF307" i="1"/>
  <c r="AF306" i="1"/>
  <c r="AF305" i="1"/>
  <c r="AF304" i="1"/>
  <c r="AE304" i="1" s="1"/>
  <c r="AF303" i="1"/>
  <c r="AF302" i="1"/>
  <c r="AE302" i="1" s="1"/>
  <c r="AF301" i="1"/>
  <c r="AF300" i="1"/>
  <c r="AE300" i="1" s="1"/>
  <c r="AF299" i="1"/>
  <c r="AF298" i="1"/>
  <c r="AE298" i="1" s="1"/>
  <c r="AF297" i="1"/>
  <c r="AF296" i="1"/>
  <c r="AF295" i="1"/>
  <c r="AE295" i="1" s="1"/>
  <c r="AF294" i="1"/>
  <c r="AE294" i="1" s="1"/>
  <c r="AF293" i="1"/>
  <c r="AE293" i="1" s="1"/>
  <c r="AF292" i="1"/>
  <c r="AE292" i="1" s="1"/>
  <c r="AF291" i="1"/>
  <c r="AE291" i="1" s="1"/>
  <c r="AF290" i="1"/>
  <c r="AE290" i="1" s="1"/>
  <c r="AF289" i="1"/>
  <c r="AE289" i="1" s="1"/>
  <c r="AF288" i="1"/>
  <c r="AF287" i="1"/>
  <c r="AE287" i="1" s="1"/>
  <c r="AF286" i="1"/>
  <c r="AE286" i="1" s="1"/>
  <c r="AF285" i="1"/>
  <c r="AE285" i="1" s="1"/>
  <c r="AF284" i="1"/>
  <c r="AF283" i="1"/>
  <c r="AE283" i="1" s="1"/>
  <c r="AF282" i="1"/>
  <c r="AE282" i="1" s="1"/>
  <c r="AF281" i="1"/>
  <c r="AF280" i="1"/>
  <c r="AE280" i="1" s="1"/>
  <c r="AF279" i="1"/>
  <c r="AE279" i="1" s="1"/>
  <c r="AF278" i="1"/>
  <c r="AE278" i="1" s="1"/>
  <c r="AF277" i="1"/>
  <c r="AE277" i="1" s="1"/>
  <c r="AF276" i="1"/>
  <c r="AE276" i="1" s="1"/>
  <c r="AF275" i="1"/>
  <c r="AE275" i="1" s="1"/>
  <c r="AF274" i="1"/>
  <c r="AE274" i="1" s="1"/>
  <c r="AF273" i="1"/>
  <c r="AE273" i="1" s="1"/>
  <c r="AF272" i="1"/>
  <c r="AF271" i="1"/>
  <c r="AE271" i="1" s="1"/>
  <c r="AF270" i="1"/>
  <c r="AE270" i="1" s="1"/>
  <c r="AF269" i="1"/>
  <c r="AE269" i="1" s="1"/>
  <c r="AF268" i="1"/>
  <c r="AE268" i="1" s="1"/>
  <c r="AF267" i="1"/>
  <c r="AF266" i="1"/>
  <c r="AE266" i="1" s="1"/>
  <c r="AF265" i="1"/>
  <c r="AE265" i="1" s="1"/>
  <c r="AF264" i="1"/>
  <c r="AE264" i="1" s="1"/>
  <c r="AF263" i="1"/>
  <c r="AE263" i="1" s="1"/>
  <c r="AF262" i="1"/>
  <c r="AE262" i="1" s="1"/>
  <c r="AF261" i="1"/>
  <c r="AF260" i="1"/>
  <c r="AE260" i="1" s="1"/>
  <c r="AF259" i="1"/>
  <c r="AF258" i="1"/>
  <c r="AF257" i="1"/>
  <c r="AE257" i="1" s="1"/>
  <c r="AF256" i="1"/>
  <c r="AE256" i="1" s="1"/>
  <c r="AF255" i="1"/>
  <c r="AE255" i="1" s="1"/>
  <c r="AF254" i="1"/>
  <c r="AE254" i="1" s="1"/>
  <c r="AF253" i="1"/>
  <c r="AF236" i="1"/>
  <c r="AF235" i="1"/>
  <c r="AF234" i="1"/>
  <c r="AE234" i="1" s="1"/>
  <c r="AF233" i="1"/>
  <c r="AE233" i="1" s="1"/>
  <c r="AF232" i="1"/>
  <c r="AE232" i="1" s="1"/>
  <c r="AF231" i="1"/>
  <c r="AE231" i="1" s="1"/>
  <c r="AF230" i="1"/>
  <c r="AF229" i="1"/>
  <c r="AE229" i="1" s="1"/>
  <c r="AF228" i="1"/>
  <c r="AE228" i="1" s="1"/>
  <c r="AF227" i="1"/>
  <c r="AF226" i="1"/>
  <c r="AF225" i="1"/>
  <c r="X225" i="1" s="1"/>
  <c r="AF224" i="1"/>
  <c r="AE224" i="1" s="1"/>
  <c r="AF223" i="1"/>
  <c r="AF222" i="1"/>
  <c r="AE222" i="1" s="1"/>
  <c r="AF221" i="1"/>
  <c r="AF220" i="1"/>
  <c r="AF219" i="1"/>
  <c r="AF218" i="1"/>
  <c r="AE218" i="1" s="1"/>
  <c r="AF217" i="1"/>
  <c r="AF216" i="1"/>
  <c r="AE216" i="1" s="1"/>
  <c r="AF215" i="1"/>
  <c r="AE215" i="1" s="1"/>
  <c r="AF214" i="1"/>
  <c r="AE214" i="1" s="1"/>
  <c r="AF213" i="1"/>
  <c r="AE213" i="1" s="1"/>
  <c r="AF212" i="1"/>
  <c r="AF211" i="1"/>
  <c r="AE211" i="1" s="1"/>
  <c r="AF210" i="1"/>
  <c r="AF209" i="1"/>
  <c r="AE209" i="1" s="1"/>
  <c r="AF208" i="1"/>
  <c r="AE208" i="1" s="1"/>
  <c r="AF207" i="1"/>
  <c r="AE207" i="1" s="1"/>
  <c r="AF206" i="1"/>
  <c r="AE206" i="1" s="1"/>
  <c r="AF205" i="1"/>
  <c r="AE205" i="1" s="1"/>
  <c r="AF204" i="1"/>
  <c r="AE204" i="1" s="1"/>
  <c r="AF203" i="1"/>
  <c r="AF202" i="1"/>
  <c r="AF201" i="1"/>
  <c r="AE201" i="1" s="1"/>
  <c r="AF200" i="1"/>
  <c r="X200" i="1" s="1"/>
  <c r="AF199" i="1"/>
  <c r="AF198" i="1"/>
  <c r="AF197" i="1"/>
  <c r="AE197" i="1" s="1"/>
  <c r="AF196" i="1"/>
  <c r="X196" i="1" s="1"/>
  <c r="AF194" i="1"/>
  <c r="AE194" i="1" s="1"/>
  <c r="AF193" i="1"/>
  <c r="AE193" i="1" s="1"/>
  <c r="AF192" i="1"/>
  <c r="AF191" i="1"/>
  <c r="AE191" i="1" s="1"/>
  <c r="AF190" i="1"/>
  <c r="AF189" i="1"/>
  <c r="AE189" i="1" s="1"/>
  <c r="AF188" i="1"/>
  <c r="AF187" i="1"/>
  <c r="AE187" i="1" s="1"/>
  <c r="AF186" i="1"/>
  <c r="AF185" i="1"/>
  <c r="AF184" i="1"/>
  <c r="AF183" i="1"/>
  <c r="AE183" i="1" s="1"/>
  <c r="AF182" i="1"/>
  <c r="AF181" i="1"/>
  <c r="AE181" i="1" s="1"/>
  <c r="AF180" i="1"/>
  <c r="AF179" i="1"/>
  <c r="AE179" i="1" s="1"/>
  <c r="AF178" i="1"/>
  <c r="AF177" i="1"/>
  <c r="AE177" i="1" s="1"/>
  <c r="AF176" i="1"/>
  <c r="AF175" i="1"/>
  <c r="AF174" i="1"/>
  <c r="AE174" i="1" s="1"/>
  <c r="AF173" i="1"/>
  <c r="AE173" i="1" s="1"/>
  <c r="AF172" i="1"/>
  <c r="AF171" i="1"/>
  <c r="AE171" i="1" s="1"/>
  <c r="AF170" i="1"/>
  <c r="AF169" i="1"/>
  <c r="AE169" i="1" s="1"/>
  <c r="AF168" i="1"/>
  <c r="AE168" i="1" s="1"/>
  <c r="AF167" i="1"/>
  <c r="AE167" i="1" s="1"/>
  <c r="AF166" i="1"/>
  <c r="AE166" i="1" s="1"/>
  <c r="AF165" i="1"/>
  <c r="AE165" i="1" s="1"/>
  <c r="AF164" i="1"/>
  <c r="X164" i="1" s="1"/>
  <c r="AF163" i="1"/>
  <c r="AE163" i="1" s="1"/>
  <c r="AF162" i="1"/>
  <c r="AE162" i="1" s="1"/>
  <c r="AF161" i="1"/>
  <c r="AE161" i="1" s="1"/>
  <c r="AF160" i="1"/>
  <c r="AF159" i="1"/>
  <c r="AE159" i="1" s="1"/>
  <c r="AF158" i="1"/>
  <c r="AE158" i="1" s="1"/>
  <c r="AF249" i="1"/>
  <c r="AF248" i="1"/>
  <c r="AF247" i="1"/>
  <c r="AF246" i="1"/>
  <c r="AF245" i="1"/>
  <c r="AF244" i="1"/>
  <c r="AF243" i="1"/>
  <c r="AF242" i="1"/>
  <c r="AE242" i="1" s="1"/>
  <c r="AF241" i="1"/>
  <c r="X241" i="1" s="1"/>
  <c r="AF240" i="1"/>
  <c r="AE240" i="1" s="1"/>
  <c r="AF239" i="1"/>
  <c r="AF238" i="1"/>
  <c r="AE238" i="1" s="1"/>
  <c r="AF237" i="1"/>
  <c r="AE237" i="1" s="1"/>
  <c r="AF157" i="1"/>
  <c r="X157" i="1" s="1"/>
  <c r="AF156" i="1"/>
  <c r="AE156" i="1" s="1"/>
  <c r="AF155" i="1"/>
  <c r="AF154" i="1"/>
  <c r="AF153" i="1"/>
  <c r="AE153" i="1" s="1"/>
  <c r="AF152" i="1"/>
  <c r="AF151" i="1"/>
  <c r="AF150" i="1"/>
  <c r="AF149" i="1"/>
  <c r="AF148" i="1"/>
  <c r="X148" i="1" s="1"/>
  <c r="AF147" i="1"/>
  <c r="AF146" i="1"/>
  <c r="AF145" i="1"/>
  <c r="AF144" i="1"/>
  <c r="AE144" i="1" s="1"/>
  <c r="AF143" i="1"/>
  <c r="X143" i="1" s="1"/>
  <c r="AF142" i="1"/>
  <c r="AF141" i="1"/>
  <c r="AF140" i="1"/>
  <c r="AE140" i="1" s="1"/>
  <c r="AF139" i="1"/>
  <c r="AF138" i="1"/>
  <c r="AF137" i="1"/>
  <c r="AE137" i="1" s="1"/>
  <c r="AF136" i="1"/>
  <c r="AF135" i="1"/>
  <c r="AF134" i="1"/>
  <c r="AF133" i="1"/>
  <c r="AF132" i="1"/>
  <c r="AF131" i="1"/>
  <c r="AE131" i="1" s="1"/>
  <c r="AF130" i="1"/>
  <c r="X130" i="1" s="1"/>
  <c r="AF129" i="1"/>
  <c r="AE129" i="1" s="1"/>
  <c r="AF128" i="1"/>
  <c r="AF127" i="1"/>
  <c r="AE127" i="1" s="1"/>
  <c r="AF126" i="1"/>
  <c r="AF125" i="1"/>
  <c r="AF124" i="1"/>
  <c r="AF123" i="1"/>
  <c r="AE123" i="1" s="1"/>
  <c r="AF122" i="1"/>
  <c r="AF121" i="1"/>
  <c r="AF120" i="1"/>
  <c r="AE120" i="1" s="1"/>
  <c r="AF119" i="1"/>
  <c r="AE119" i="1" s="1"/>
  <c r="AF118" i="1"/>
  <c r="AE118" i="1" s="1"/>
  <c r="AF117" i="1"/>
  <c r="AF116" i="1"/>
  <c r="AE116" i="1" s="1"/>
  <c r="AF115" i="1"/>
  <c r="AF114" i="1"/>
  <c r="AF113" i="1"/>
  <c r="AF81" i="1"/>
  <c r="AF80" i="1"/>
  <c r="AE80" i="1" s="1"/>
  <c r="AF79" i="1"/>
  <c r="AE79" i="1" s="1"/>
  <c r="AF78" i="1"/>
  <c r="AF77" i="1"/>
  <c r="AE77" i="1" s="1"/>
  <c r="AF76" i="1"/>
  <c r="AF75" i="1"/>
  <c r="AE75" i="1" s="1"/>
  <c r="AF74" i="1"/>
  <c r="AF109" i="1"/>
  <c r="AF108" i="1"/>
  <c r="AF107" i="1"/>
  <c r="AF106" i="1"/>
  <c r="AE106" i="1" s="1"/>
  <c r="AF105" i="1"/>
  <c r="AF104" i="1"/>
  <c r="AE104" i="1" s="1"/>
  <c r="AF103" i="1"/>
  <c r="X103" i="1" s="1"/>
  <c r="AF102" i="1"/>
  <c r="AE102" i="1" s="1"/>
  <c r="AF101" i="1"/>
  <c r="AF100" i="1"/>
  <c r="AE100" i="1" s="1"/>
  <c r="AF99" i="1"/>
  <c r="AE99" i="1" s="1"/>
  <c r="AF98" i="1"/>
  <c r="AF97" i="1"/>
  <c r="AF96" i="1"/>
  <c r="AF95" i="1"/>
  <c r="AF112" i="1"/>
  <c r="AF111" i="1"/>
  <c r="AE111" i="1" s="1"/>
  <c r="AF110" i="1"/>
  <c r="AE110" i="1" s="1"/>
  <c r="AF43" i="1"/>
  <c r="AF42" i="1"/>
  <c r="AE42" i="1" s="1"/>
  <c r="AF41" i="1"/>
  <c r="AE41" i="1" s="1"/>
  <c r="AF40" i="1"/>
  <c r="AF39" i="1"/>
  <c r="AE39" i="1" s="1"/>
  <c r="AF38" i="1"/>
  <c r="AE38" i="1" s="1"/>
  <c r="AF37" i="1"/>
  <c r="AE37" i="1" s="1"/>
  <c r="AF36" i="1"/>
  <c r="AE36" i="1" s="1"/>
  <c r="AF35" i="1"/>
  <c r="AE35" i="1" s="1"/>
  <c r="AF34" i="1"/>
  <c r="AF33" i="1"/>
  <c r="AE33" i="1" s="1"/>
  <c r="AF32" i="1"/>
  <c r="AE32" i="1" s="1"/>
  <c r="AF31" i="1"/>
  <c r="AF30" i="1"/>
  <c r="AE30" i="1" s="1"/>
  <c r="AF29" i="1"/>
  <c r="AE29" i="1" s="1"/>
  <c r="AF28" i="1"/>
  <c r="AE28" i="1" s="1"/>
  <c r="AF27" i="1"/>
  <c r="AF26" i="1"/>
  <c r="AF25" i="1"/>
  <c r="AE25" i="1" s="1"/>
  <c r="AF24" i="1"/>
  <c r="AE24" i="1" s="1"/>
  <c r="AF23" i="1"/>
  <c r="AF22" i="1"/>
  <c r="AF21" i="1"/>
  <c r="AE21" i="1" s="1"/>
  <c r="AF94" i="1"/>
  <c r="AF93" i="1"/>
  <c r="AE93" i="1" s="1"/>
  <c r="AF92" i="1"/>
  <c r="AE92" i="1" s="1"/>
  <c r="AF91" i="1"/>
  <c r="AE91" i="1" s="1"/>
  <c r="AF90" i="1"/>
  <c r="AE90" i="1" s="1"/>
  <c r="AF89" i="1"/>
  <c r="AE89" i="1" s="1"/>
  <c r="AF88" i="1"/>
  <c r="AE88" i="1" s="1"/>
  <c r="AF87" i="1"/>
  <c r="AE87" i="1" s="1"/>
  <c r="AF86" i="1"/>
  <c r="AF85" i="1"/>
  <c r="AE85" i="1" s="1"/>
  <c r="AF84" i="1"/>
  <c r="AF83" i="1"/>
  <c r="AF82" i="1"/>
  <c r="AE82" i="1" s="1"/>
  <c r="AF73" i="1"/>
  <c r="AF72" i="1"/>
  <c r="AF71" i="1"/>
  <c r="AF70" i="1"/>
  <c r="AE70" i="1" s="1"/>
  <c r="AF69" i="1"/>
  <c r="AE69" i="1" s="1"/>
  <c r="AF68" i="1"/>
  <c r="AE68" i="1" s="1"/>
  <c r="AF67" i="1"/>
  <c r="AE67" i="1" s="1"/>
  <c r="AF66" i="1"/>
  <c r="AE66" i="1" s="1"/>
  <c r="AF65" i="1"/>
  <c r="AE65" i="1" s="1"/>
  <c r="AF64" i="1"/>
  <c r="AF63" i="1"/>
  <c r="AF62" i="1"/>
  <c r="AE62" i="1" s="1"/>
  <c r="AF61" i="1"/>
  <c r="AE61" i="1" s="1"/>
  <c r="AF60" i="1"/>
  <c r="AE60" i="1" s="1"/>
  <c r="AF59" i="1"/>
  <c r="AF58" i="1"/>
  <c r="AE58" i="1" s="1"/>
  <c r="AF57" i="1"/>
  <c r="AE57" i="1" s="1"/>
  <c r="AF56" i="1"/>
  <c r="AE56" i="1" s="1"/>
  <c r="AF55" i="1"/>
  <c r="AE55" i="1" s="1"/>
  <c r="AF54" i="1"/>
  <c r="AE54" i="1" s="1"/>
  <c r="AF53" i="1"/>
  <c r="AF52" i="1"/>
  <c r="AE52" i="1" s="1"/>
  <c r="AF51" i="1"/>
  <c r="AF50" i="1"/>
  <c r="AE50" i="1" s="1"/>
  <c r="AF49" i="1"/>
  <c r="AE49" i="1" s="1"/>
  <c r="AF48" i="1"/>
  <c r="AE48" i="1" s="1"/>
  <c r="AF47" i="1"/>
  <c r="AE47" i="1" s="1"/>
  <c r="AF46" i="1"/>
  <c r="AE46" i="1" s="1"/>
  <c r="AF45" i="1"/>
  <c r="AF44" i="1"/>
  <c r="AE44" i="1" s="1"/>
  <c r="AF20" i="1"/>
  <c r="AH18" i="1"/>
  <c r="AK18" i="1" s="1"/>
  <c r="AF18" i="1"/>
  <c r="X18" i="1" s="1"/>
  <c r="E18" i="1"/>
  <c r="AF17" i="1"/>
  <c r="AE17" i="1" s="1"/>
  <c r="AF16" i="1"/>
  <c r="AE16" i="1" s="1"/>
  <c r="AF15" i="1"/>
  <c r="AE15" i="1" s="1"/>
  <c r="AF14" i="1"/>
  <c r="AF13" i="1"/>
  <c r="AF12" i="1"/>
  <c r="AE12" i="1" s="1"/>
  <c r="AF11" i="1"/>
  <c r="AF10" i="1"/>
  <c r="AE10" i="1" s="1"/>
  <c r="AF9" i="1"/>
  <c r="AE9" i="1" s="1"/>
  <c r="AF8" i="1"/>
  <c r="AF7" i="1"/>
  <c r="AE7" i="1" s="1"/>
  <c r="AF6" i="1"/>
  <c r="AF5" i="1"/>
  <c r="AF4" i="1"/>
  <c r="AF3" i="1"/>
  <c r="AE3" i="1" s="1"/>
  <c r="I1" i="1"/>
  <c r="X11" i="1" l="1"/>
  <c r="AE11" i="1"/>
  <c r="X13" i="1"/>
  <c r="AE13" i="1"/>
  <c r="X59" i="1"/>
  <c r="AE59" i="1"/>
  <c r="X63" i="1"/>
  <c r="AE63" i="1"/>
  <c r="X83" i="1"/>
  <c r="AE83" i="1"/>
  <c r="X27" i="1"/>
  <c r="AE27" i="1"/>
  <c r="X31" i="1"/>
  <c r="AE31" i="1"/>
  <c r="X95" i="1"/>
  <c r="AE95" i="1"/>
  <c r="X114" i="1"/>
  <c r="AE114" i="1"/>
  <c r="X126" i="1"/>
  <c r="AE126" i="1"/>
  <c r="X138" i="1"/>
  <c r="AE138" i="1"/>
  <c r="X14" i="1"/>
  <c r="AE14" i="1"/>
  <c r="AE72" i="1"/>
  <c r="AM72" i="1" s="1"/>
  <c r="X86" i="1"/>
  <c r="AE86" i="1"/>
  <c r="X34" i="1"/>
  <c r="Y34" i="1" s="1"/>
  <c r="AE34" i="1"/>
  <c r="X40" i="1"/>
  <c r="AE40" i="1"/>
  <c r="AE96" i="1"/>
  <c r="AM96" i="1" s="1"/>
  <c r="X98" i="1"/>
  <c r="Y98" i="1" s="1"/>
  <c r="AE98" i="1"/>
  <c r="X108" i="1"/>
  <c r="AE108" i="1"/>
  <c r="AE74" i="1"/>
  <c r="AM74" i="1" s="1"/>
  <c r="X113" i="1"/>
  <c r="AE113" i="1"/>
  <c r="X115" i="1"/>
  <c r="AE115" i="1"/>
  <c r="X117" i="1"/>
  <c r="AE117" i="1"/>
  <c r="X121" i="1"/>
  <c r="AE121" i="1"/>
  <c r="AE133" i="1"/>
  <c r="AM133" i="1" s="1"/>
  <c r="AE135" i="1"/>
  <c r="AM135" i="1" s="1"/>
  <c r="X139" i="1"/>
  <c r="Y139" i="1" s="1"/>
  <c r="AE139" i="1"/>
  <c r="AE145" i="1"/>
  <c r="AM145" i="1" s="1"/>
  <c r="X147" i="1"/>
  <c r="AE147" i="1"/>
  <c r="X149" i="1"/>
  <c r="AE149" i="1"/>
  <c r="X151" i="1"/>
  <c r="Y151" i="1" s="1"/>
  <c r="AE151" i="1"/>
  <c r="AE155" i="1"/>
  <c r="AM155" i="1" s="1"/>
  <c r="X244" i="1"/>
  <c r="AE244" i="1"/>
  <c r="X246" i="1"/>
  <c r="AE246" i="1"/>
  <c r="X248" i="1"/>
  <c r="AE248" i="1"/>
  <c r="X160" i="1"/>
  <c r="AE160" i="1"/>
  <c r="AE170" i="1"/>
  <c r="AM170" i="1" s="1"/>
  <c r="X172" i="1"/>
  <c r="AE172" i="1"/>
  <c r="X176" i="1"/>
  <c r="AE176" i="1"/>
  <c r="AE178" i="1"/>
  <c r="AM178" i="1" s="1"/>
  <c r="X180" i="1"/>
  <c r="AE180" i="1"/>
  <c r="AE182" i="1"/>
  <c r="AM182" i="1" s="1"/>
  <c r="X184" i="1"/>
  <c r="AE184" i="1"/>
  <c r="X186" i="1"/>
  <c r="AE186" i="1"/>
  <c r="X188" i="1"/>
  <c r="AE188" i="1"/>
  <c r="X190" i="1"/>
  <c r="AE190" i="1"/>
  <c r="AE192" i="1"/>
  <c r="AM192" i="1" s="1"/>
  <c r="X199" i="1"/>
  <c r="AE199" i="1"/>
  <c r="X203" i="1"/>
  <c r="AE203" i="1"/>
  <c r="X217" i="1"/>
  <c r="AE217" i="1"/>
  <c r="X219" i="1"/>
  <c r="AE219" i="1"/>
  <c r="X221" i="1"/>
  <c r="AE221" i="1"/>
  <c r="X223" i="1"/>
  <c r="AE223" i="1"/>
  <c r="X227" i="1"/>
  <c r="AE227" i="1"/>
  <c r="X235" i="1"/>
  <c r="AE235" i="1"/>
  <c r="X253" i="1"/>
  <c r="Y253" i="1" s="1"/>
  <c r="AE253" i="1"/>
  <c r="AE259" i="1"/>
  <c r="AM259" i="1" s="1"/>
  <c r="AE267" i="1"/>
  <c r="AM267" i="1" s="1"/>
  <c r="X281" i="1"/>
  <c r="AE281" i="1"/>
  <c r="X297" i="1"/>
  <c r="Y297" i="1" s="1"/>
  <c r="AE297" i="1"/>
  <c r="X299" i="1"/>
  <c r="AE299" i="1"/>
  <c r="AE301" i="1"/>
  <c r="AM301" i="1" s="1"/>
  <c r="AE303" i="1"/>
  <c r="AM303" i="1" s="1"/>
  <c r="AE305" i="1"/>
  <c r="AM305" i="1" s="1"/>
  <c r="AE307" i="1"/>
  <c r="AM307" i="1" s="1"/>
  <c r="X319" i="1"/>
  <c r="Y319" i="1" s="1"/>
  <c r="AE319" i="1"/>
  <c r="X321" i="1"/>
  <c r="Y321" i="1" s="1"/>
  <c r="AE321" i="1"/>
  <c r="X323" i="1"/>
  <c r="AE323" i="1"/>
  <c r="X325" i="1"/>
  <c r="AE325" i="1"/>
  <c r="X327" i="1"/>
  <c r="AE327" i="1"/>
  <c r="X329" i="1"/>
  <c r="AE329" i="1"/>
  <c r="X336" i="1"/>
  <c r="AE336" i="1"/>
  <c r="X338" i="1"/>
  <c r="AE338" i="1"/>
  <c r="X340" i="1"/>
  <c r="AE340" i="1"/>
  <c r="X342" i="1"/>
  <c r="AE342" i="1"/>
  <c r="X346" i="1"/>
  <c r="AE346" i="1"/>
  <c r="X348" i="1"/>
  <c r="AE348" i="1"/>
  <c r="X350" i="1"/>
  <c r="AE350" i="1"/>
  <c r="X352" i="1"/>
  <c r="AE352" i="1"/>
  <c r="X354" i="1"/>
  <c r="AE354" i="1"/>
  <c r="X360" i="1"/>
  <c r="AE360" i="1"/>
  <c r="X362" i="1"/>
  <c r="AE362" i="1"/>
  <c r="X364" i="1"/>
  <c r="AE364" i="1"/>
  <c r="X366" i="1"/>
  <c r="AE366" i="1"/>
  <c r="X368" i="1"/>
  <c r="AE368" i="1"/>
  <c r="X370" i="1"/>
  <c r="AE370" i="1"/>
  <c r="X376" i="1"/>
  <c r="AE376" i="1"/>
  <c r="X378" i="1"/>
  <c r="Y378" i="1" s="1"/>
  <c r="AE378" i="1"/>
  <c r="X380" i="1"/>
  <c r="Y380" i="1" s="1"/>
  <c r="AE380" i="1"/>
  <c r="X382" i="1"/>
  <c r="Y382" i="1" s="1"/>
  <c r="AE382" i="1"/>
  <c r="X388" i="1"/>
  <c r="Y388" i="1" s="1"/>
  <c r="AE388" i="1"/>
  <c r="X390" i="1"/>
  <c r="Y390" i="1" s="1"/>
  <c r="AE390" i="1"/>
  <c r="X392" i="1"/>
  <c r="Y392" i="1" s="1"/>
  <c r="AE392" i="1"/>
  <c r="X394" i="1"/>
  <c r="Y394" i="1" s="1"/>
  <c r="AE394" i="1"/>
  <c r="X396" i="1"/>
  <c r="Y396" i="1" s="1"/>
  <c r="AE396" i="1"/>
  <c r="X398" i="1"/>
  <c r="AE398" i="1"/>
  <c r="X400" i="1"/>
  <c r="Y400" i="1" s="1"/>
  <c r="AE400" i="1"/>
  <c r="X402" i="1"/>
  <c r="Y402" i="1" s="1"/>
  <c r="AE402" i="1"/>
  <c r="X404" i="1"/>
  <c r="Y404" i="1" s="1"/>
  <c r="AE404" i="1"/>
  <c r="X406" i="1"/>
  <c r="Y406" i="1" s="1"/>
  <c r="AE406" i="1"/>
  <c r="X408" i="1"/>
  <c r="Y408" i="1" s="1"/>
  <c r="AE408" i="1"/>
  <c r="X410" i="1"/>
  <c r="AE410" i="1"/>
  <c r="X418" i="1"/>
  <c r="AE418" i="1"/>
  <c r="X420" i="1"/>
  <c r="AE420" i="1"/>
  <c r="X422" i="1"/>
  <c r="AE422" i="1"/>
  <c r="X426" i="1"/>
  <c r="AE426" i="1"/>
  <c r="X432" i="1"/>
  <c r="AE432" i="1"/>
  <c r="X434" i="1"/>
  <c r="AE434" i="1"/>
  <c r="X250" i="1"/>
  <c r="AE250" i="1"/>
  <c r="X439" i="1"/>
  <c r="Y439" i="1" s="1"/>
  <c r="AE439" i="1"/>
  <c r="X441" i="1"/>
  <c r="Y441" i="1" s="1"/>
  <c r="AE441" i="1"/>
  <c r="AE443" i="1"/>
  <c r="AM443" i="1" s="1"/>
  <c r="X447" i="1"/>
  <c r="Y447" i="1" s="1"/>
  <c r="AE447" i="1"/>
  <c r="X449" i="1"/>
  <c r="Y449" i="1" s="1"/>
  <c r="AE449" i="1"/>
  <c r="X451" i="1"/>
  <c r="AE451" i="1"/>
  <c r="X453" i="1"/>
  <c r="AE453" i="1"/>
  <c r="X455" i="1"/>
  <c r="AE455" i="1"/>
  <c r="X457" i="1"/>
  <c r="AE457" i="1"/>
  <c r="X461" i="1"/>
  <c r="AE461" i="1"/>
  <c r="AE467" i="1"/>
  <c r="AM467" i="1" s="1"/>
  <c r="AE473" i="1"/>
  <c r="AM473" i="1" s="1"/>
  <c r="AE475" i="1"/>
  <c r="AM475" i="1" s="1"/>
  <c r="AE477" i="1"/>
  <c r="AM477" i="1" s="1"/>
  <c r="AE479" i="1"/>
  <c r="AM479" i="1" s="1"/>
  <c r="X481" i="1"/>
  <c r="Y481" i="1" s="1"/>
  <c r="AE481" i="1"/>
  <c r="AE485" i="1"/>
  <c r="AM485" i="1" s="1"/>
  <c r="X487" i="1"/>
  <c r="Y487" i="1" s="1"/>
  <c r="AE487" i="1"/>
  <c r="X489" i="1"/>
  <c r="AE489" i="1"/>
  <c r="X491" i="1"/>
  <c r="AE491" i="1"/>
  <c r="X493" i="1"/>
  <c r="AE493" i="1"/>
  <c r="X495" i="1"/>
  <c r="AE495" i="1"/>
  <c r="X497" i="1"/>
  <c r="AE497" i="1"/>
  <c r="AE501" i="1"/>
  <c r="AM501" i="1" s="1"/>
  <c r="AE507" i="1"/>
  <c r="AM507" i="1" s="1"/>
  <c r="X509" i="1"/>
  <c r="Y509" i="1" s="1"/>
  <c r="AE509" i="1"/>
  <c r="AM509" i="1" s="1"/>
  <c r="X511" i="1"/>
  <c r="Y511" i="1" s="1"/>
  <c r="AE511" i="1"/>
  <c r="AE515" i="1"/>
  <c r="AM515" i="1" s="1"/>
  <c r="X517" i="1"/>
  <c r="Y517" i="1" s="1"/>
  <c r="AE517" i="1"/>
  <c r="X519" i="1"/>
  <c r="AE519" i="1"/>
  <c r="AE521" i="1"/>
  <c r="AM521" i="1" s="1"/>
  <c r="X523" i="1"/>
  <c r="Y523" i="1" s="1"/>
  <c r="AE523" i="1"/>
  <c r="X533" i="1"/>
  <c r="AE533" i="1"/>
  <c r="X543" i="1"/>
  <c r="AE543" i="1"/>
  <c r="AM543" i="1" s="1"/>
  <c r="X547" i="1"/>
  <c r="AE547" i="1"/>
  <c r="X549" i="1"/>
  <c r="AE549" i="1"/>
  <c r="X551" i="1"/>
  <c r="AE551" i="1"/>
  <c r="X557" i="1"/>
  <c r="AE557" i="1"/>
  <c r="X565" i="1"/>
  <c r="AE565" i="1"/>
  <c r="X567" i="1"/>
  <c r="AE567" i="1"/>
  <c r="AM567" i="1" s="1"/>
  <c r="X569" i="1"/>
  <c r="AE569" i="1"/>
  <c r="X571" i="1"/>
  <c r="AE571" i="1"/>
  <c r="X573" i="1"/>
  <c r="AE573" i="1"/>
  <c r="AM573" i="1" s="1"/>
  <c r="X575" i="1"/>
  <c r="AE575" i="1"/>
  <c r="AM575" i="1" s="1"/>
  <c r="X577" i="1"/>
  <c r="AE577" i="1"/>
  <c r="AM577" i="1" s="1"/>
  <c r="X579" i="1"/>
  <c r="AE579" i="1"/>
  <c r="X581" i="1"/>
  <c r="AE581" i="1"/>
  <c r="X583" i="1"/>
  <c r="AE583" i="1"/>
  <c r="AM583" i="1" s="1"/>
  <c r="X585" i="1"/>
  <c r="AE585" i="1"/>
  <c r="AM585" i="1" s="1"/>
  <c r="X587" i="1"/>
  <c r="AE587" i="1"/>
  <c r="X589" i="1"/>
  <c r="AE589" i="1"/>
  <c r="X591" i="1"/>
  <c r="AE591" i="1"/>
  <c r="X593" i="1"/>
  <c r="AE593" i="1"/>
  <c r="X595" i="1"/>
  <c r="AE595" i="1"/>
  <c r="AM595" i="1" s="1"/>
  <c r="X597" i="1"/>
  <c r="AE597" i="1"/>
  <c r="X599" i="1"/>
  <c r="AE599" i="1"/>
  <c r="X603" i="1"/>
  <c r="AE603" i="1"/>
  <c r="AM603" i="1" s="1"/>
  <c r="X605" i="1"/>
  <c r="AE605" i="1"/>
  <c r="X607" i="1"/>
  <c r="AE607" i="1"/>
  <c r="X611" i="1"/>
  <c r="AE611" i="1"/>
  <c r="AM611" i="1" s="1"/>
  <c r="X619" i="1"/>
  <c r="Y619" i="1" s="1"/>
  <c r="AE619" i="1"/>
  <c r="X627" i="1"/>
  <c r="AE627" i="1"/>
  <c r="X633" i="1"/>
  <c r="AE633" i="1"/>
  <c r="X635" i="1"/>
  <c r="Y635" i="1" s="1"/>
  <c r="AE635" i="1"/>
  <c r="X637" i="1"/>
  <c r="AE637" i="1"/>
  <c r="AM637" i="1" s="1"/>
  <c r="X639" i="1"/>
  <c r="AE639" i="1"/>
  <c r="X641" i="1"/>
  <c r="Y641" i="1" s="1"/>
  <c r="AE641" i="1"/>
  <c r="X643" i="1"/>
  <c r="AE643" i="1"/>
  <c r="X645" i="1"/>
  <c r="AE645" i="1"/>
  <c r="X647" i="1"/>
  <c r="AE647" i="1"/>
  <c r="AM647" i="1" s="1"/>
  <c r="X649" i="1"/>
  <c r="Y649" i="1" s="1"/>
  <c r="AE649" i="1"/>
  <c r="AM649" i="1" s="1"/>
  <c r="X651" i="1"/>
  <c r="AE651" i="1"/>
  <c r="AM651" i="1" s="1"/>
  <c r="X655" i="1"/>
  <c r="AE655" i="1"/>
  <c r="X657" i="1"/>
  <c r="AE657" i="1"/>
  <c r="X659" i="1"/>
  <c r="AE659" i="1"/>
  <c r="X661" i="1"/>
  <c r="AE661" i="1"/>
  <c r="X663" i="1"/>
  <c r="AE663" i="1"/>
  <c r="X667" i="1"/>
  <c r="AE667" i="1"/>
  <c r="X669" i="1"/>
  <c r="AE669" i="1"/>
  <c r="AM669" i="1" s="1"/>
  <c r="X671" i="1"/>
  <c r="AE671" i="1"/>
  <c r="X673" i="1"/>
  <c r="AE673" i="1"/>
  <c r="AM673" i="1" s="1"/>
  <c r="X675" i="1"/>
  <c r="AE675" i="1"/>
  <c r="X677" i="1"/>
  <c r="AE677" i="1"/>
  <c r="X679" i="1"/>
  <c r="AE679" i="1"/>
  <c r="X681" i="1"/>
  <c r="AE681" i="1"/>
  <c r="AM681" i="1" s="1"/>
  <c r="X683" i="1"/>
  <c r="AE683" i="1"/>
  <c r="AM683" i="1" s="1"/>
  <c r="X685" i="1"/>
  <c r="AE685" i="1"/>
  <c r="AM685" i="1" s="1"/>
  <c r="X688" i="1"/>
  <c r="AE688" i="1"/>
  <c r="X692" i="1"/>
  <c r="AE692" i="1"/>
  <c r="AM692" i="1" s="1"/>
  <c r="X694" i="1"/>
  <c r="AE694" i="1"/>
  <c r="AM694" i="1" s="1"/>
  <c r="X698" i="1"/>
  <c r="AE698" i="1"/>
  <c r="AM698" i="1" s="1"/>
  <c r="X700" i="1"/>
  <c r="AE700" i="1"/>
  <c r="X702" i="1"/>
  <c r="AE702" i="1"/>
  <c r="AM702" i="1" s="1"/>
  <c r="X704" i="1"/>
  <c r="AE704" i="1"/>
  <c r="X706" i="1"/>
  <c r="AE706" i="1"/>
  <c r="X708" i="1"/>
  <c r="AE708" i="1"/>
  <c r="X768" i="1"/>
  <c r="AE768" i="1"/>
  <c r="X743" i="1"/>
  <c r="AE743" i="1"/>
  <c r="X745" i="1"/>
  <c r="AE745" i="1"/>
  <c r="AM745" i="1" s="1"/>
  <c r="X747" i="1"/>
  <c r="AE747" i="1"/>
  <c r="X751" i="1"/>
  <c r="AE751" i="1"/>
  <c r="X753" i="1"/>
  <c r="AE753" i="1"/>
  <c r="X755" i="1"/>
  <c r="AE755" i="1"/>
  <c r="X757" i="1"/>
  <c r="AE757" i="1"/>
  <c r="X759" i="1"/>
  <c r="AE759" i="1"/>
  <c r="X761" i="1"/>
  <c r="AE761" i="1"/>
  <c r="AM761" i="1" s="1"/>
  <c r="X763" i="1"/>
  <c r="AE763" i="1"/>
  <c r="X765" i="1"/>
  <c r="AE765" i="1"/>
  <c r="X711" i="1"/>
  <c r="AE711" i="1"/>
  <c r="AM711" i="1" s="1"/>
  <c r="X713" i="1"/>
  <c r="AE713" i="1"/>
  <c r="AM713" i="1" s="1"/>
  <c r="X715" i="1"/>
  <c r="AE715" i="1"/>
  <c r="X717" i="1"/>
  <c r="AE717" i="1"/>
  <c r="X719" i="1"/>
  <c r="AE719" i="1"/>
  <c r="X5" i="1"/>
  <c r="AE5" i="1"/>
  <c r="X71" i="1"/>
  <c r="AE71" i="1"/>
  <c r="X23" i="1"/>
  <c r="AE23" i="1"/>
  <c r="X124" i="1"/>
  <c r="AE124" i="1"/>
  <c r="X128" i="1"/>
  <c r="AE128" i="1"/>
  <c r="X142" i="1"/>
  <c r="AE142" i="1"/>
  <c r="X146" i="1"/>
  <c r="AE146" i="1"/>
  <c r="X150" i="1"/>
  <c r="AE150" i="1"/>
  <c r="X152" i="1"/>
  <c r="AE152" i="1"/>
  <c r="X154" i="1"/>
  <c r="AE154" i="1"/>
  <c r="X239" i="1"/>
  <c r="AE239" i="1"/>
  <c r="X198" i="1"/>
  <c r="AE198" i="1"/>
  <c r="AE202" i="1"/>
  <c r="AM202" i="1" s="1"/>
  <c r="X226" i="1"/>
  <c r="AE226" i="1"/>
  <c r="X230" i="1"/>
  <c r="AE230" i="1"/>
  <c r="X258" i="1"/>
  <c r="AE258" i="1"/>
  <c r="X326" i="1"/>
  <c r="AE326" i="1"/>
  <c r="X328" i="1"/>
  <c r="AE328" i="1"/>
  <c r="X330" i="1"/>
  <c r="Y330" i="1" s="1"/>
  <c r="AE330" i="1"/>
  <c r="AM330" i="1" s="1"/>
  <c r="X332" i="1"/>
  <c r="AE332" i="1"/>
  <c r="X337" i="1"/>
  <c r="AE337" i="1"/>
  <c r="X341" i="1"/>
  <c r="AE341" i="1"/>
  <c r="AM341" i="1" s="1"/>
  <c r="X345" i="1"/>
  <c r="AE345" i="1"/>
  <c r="X347" i="1"/>
  <c r="AE347" i="1"/>
  <c r="X349" i="1"/>
  <c r="AE349" i="1"/>
  <c r="X351" i="1"/>
  <c r="AE351" i="1"/>
  <c r="X353" i="1"/>
  <c r="AE353" i="1"/>
  <c r="X359" i="1"/>
  <c r="AE359" i="1"/>
  <c r="X361" i="1"/>
  <c r="AE361" i="1"/>
  <c r="X363" i="1"/>
  <c r="AE363" i="1"/>
  <c r="X365" i="1"/>
  <c r="AE365" i="1"/>
  <c r="X367" i="1"/>
  <c r="AE367" i="1"/>
  <c r="X371" i="1"/>
  <c r="AE371" i="1"/>
  <c r="X377" i="1"/>
  <c r="AE377" i="1"/>
  <c r="X381" i="1"/>
  <c r="AE381" i="1"/>
  <c r="X383" i="1"/>
  <c r="AE383" i="1"/>
  <c r="X385" i="1"/>
  <c r="AE385" i="1"/>
  <c r="X389" i="1"/>
  <c r="AE389" i="1"/>
  <c r="X393" i="1"/>
  <c r="AE393" i="1"/>
  <c r="X395" i="1"/>
  <c r="AE395" i="1"/>
  <c r="AM395" i="1" s="1"/>
  <c r="X401" i="1"/>
  <c r="AE401" i="1"/>
  <c r="X403" i="1"/>
  <c r="AE403" i="1"/>
  <c r="X405" i="1"/>
  <c r="AE405" i="1"/>
  <c r="X407" i="1"/>
  <c r="AE407" i="1"/>
  <c r="X411" i="1"/>
  <c r="Y411" i="1" s="1"/>
  <c r="AE411" i="1"/>
  <c r="AM411" i="1" s="1"/>
  <c r="X413" i="1"/>
  <c r="Y413" i="1" s="1"/>
  <c r="AE413" i="1"/>
  <c r="X415" i="1"/>
  <c r="Y415" i="1" s="1"/>
  <c r="AE415" i="1"/>
  <c r="AM415" i="1" s="1"/>
  <c r="X417" i="1"/>
  <c r="AE417" i="1"/>
  <c r="X419" i="1"/>
  <c r="Y419" i="1" s="1"/>
  <c r="AE419" i="1"/>
  <c r="X421" i="1"/>
  <c r="AE421" i="1"/>
  <c r="AM421" i="1" s="1"/>
  <c r="X423" i="1"/>
  <c r="Y423" i="1" s="1"/>
  <c r="AE423" i="1"/>
  <c r="X425" i="1"/>
  <c r="Y425" i="1" s="1"/>
  <c r="AE425" i="1"/>
  <c r="AM425" i="1" s="1"/>
  <c r="X429" i="1"/>
  <c r="AE429" i="1"/>
  <c r="X431" i="1"/>
  <c r="Y431" i="1" s="1"/>
  <c r="AE431" i="1"/>
  <c r="AM431" i="1" s="1"/>
  <c r="X438" i="1"/>
  <c r="AE438" i="1"/>
  <c r="AM438" i="1" s="1"/>
  <c r="X442" i="1"/>
  <c r="AE442" i="1"/>
  <c r="AM442" i="1" s="1"/>
  <c r="X450" i="1"/>
  <c r="AE450" i="1"/>
  <c r="X452" i="1"/>
  <c r="AE452" i="1"/>
  <c r="AM452" i="1" s="1"/>
  <c r="X454" i="1"/>
  <c r="AE454" i="1"/>
  <c r="X456" i="1"/>
  <c r="AE456" i="1"/>
  <c r="X458" i="1"/>
  <c r="AE458" i="1"/>
  <c r="X460" i="1"/>
  <c r="AE460" i="1"/>
  <c r="AM460" i="1" s="1"/>
  <c r="X462" i="1"/>
  <c r="AE462" i="1"/>
  <c r="AE468" i="1"/>
  <c r="AM468" i="1" s="1"/>
  <c r="X470" i="1"/>
  <c r="Y470" i="1" s="1"/>
  <c r="AE470" i="1"/>
  <c r="AM470" i="1" s="1"/>
  <c r="AE472" i="1"/>
  <c r="AM472" i="1" s="1"/>
  <c r="AE474" i="1"/>
  <c r="AM474" i="1" s="1"/>
  <c r="AE476" i="1"/>
  <c r="AM476" i="1" s="1"/>
  <c r="X478" i="1"/>
  <c r="AE478" i="1"/>
  <c r="X480" i="1"/>
  <c r="AE480" i="1"/>
  <c r="AM480" i="1" s="1"/>
  <c r="X484" i="1"/>
  <c r="AE484" i="1"/>
  <c r="AM484" i="1" s="1"/>
  <c r="X506" i="1"/>
  <c r="AE506" i="1"/>
  <c r="AM506" i="1" s="1"/>
  <c r="X512" i="1"/>
  <c r="AE512" i="1"/>
  <c r="X514" i="1"/>
  <c r="AE514" i="1"/>
  <c r="X516" i="1"/>
  <c r="AE516" i="1"/>
  <c r="AM516" i="1" s="1"/>
  <c r="X530" i="1"/>
  <c r="AE530" i="1"/>
  <c r="X532" i="1"/>
  <c r="Y532" i="1" s="1"/>
  <c r="AE532" i="1"/>
  <c r="AM532" i="1" s="1"/>
  <c r="X534" i="1"/>
  <c r="Y534" i="1" s="1"/>
  <c r="AE534" i="1"/>
  <c r="AE536" i="1"/>
  <c r="AM536" i="1" s="1"/>
  <c r="AE540" i="1"/>
  <c r="AM540" i="1" s="1"/>
  <c r="X546" i="1"/>
  <c r="Y546" i="1" s="1"/>
  <c r="AE546" i="1"/>
  <c r="X548" i="1"/>
  <c r="Y548" i="1" s="1"/>
  <c r="AE548" i="1"/>
  <c r="X554" i="1"/>
  <c r="AE554" i="1"/>
  <c r="X558" i="1"/>
  <c r="Y558" i="1" s="1"/>
  <c r="AE558" i="1"/>
  <c r="X562" i="1"/>
  <c r="AE562" i="1"/>
  <c r="X564" i="1"/>
  <c r="AE564" i="1"/>
  <c r="AM564" i="1" s="1"/>
  <c r="X566" i="1"/>
  <c r="AE566" i="1"/>
  <c r="X570" i="1"/>
  <c r="AE570" i="1"/>
  <c r="X574" i="1"/>
  <c r="AE574" i="1"/>
  <c r="X576" i="1"/>
  <c r="AE576" i="1"/>
  <c r="X578" i="1"/>
  <c r="AE578" i="1"/>
  <c r="X580" i="1"/>
  <c r="AE580" i="1"/>
  <c r="AM580" i="1" s="1"/>
  <c r="X582" i="1"/>
  <c r="AE582" i="1"/>
  <c r="AM582" i="1" s="1"/>
  <c r="X586" i="1"/>
  <c r="AE586" i="1"/>
  <c r="X588" i="1"/>
  <c r="AE588" i="1"/>
  <c r="AM588" i="1" s="1"/>
  <c r="X592" i="1"/>
  <c r="AE592" i="1"/>
  <c r="X596" i="1"/>
  <c r="AE596" i="1"/>
  <c r="AM596" i="1" s="1"/>
  <c r="X600" i="1"/>
  <c r="AE600" i="1"/>
  <c r="AM600" i="1" s="1"/>
  <c r="X602" i="1"/>
  <c r="AE602" i="1"/>
  <c r="X608" i="1"/>
  <c r="AE608" i="1"/>
  <c r="X610" i="1"/>
  <c r="AE610" i="1"/>
  <c r="AM610" i="1" s="1"/>
  <c r="X612" i="1"/>
  <c r="AE612" i="1"/>
  <c r="X614" i="1"/>
  <c r="AE614" i="1"/>
  <c r="X616" i="1"/>
  <c r="AE616" i="1"/>
  <c r="AM616" i="1" s="1"/>
  <c r="X618" i="1"/>
  <c r="AE618" i="1"/>
  <c r="AM618" i="1" s="1"/>
  <c r="X620" i="1"/>
  <c r="AE620" i="1"/>
  <c r="X622" i="1"/>
  <c r="AE622" i="1"/>
  <c r="X624" i="1"/>
  <c r="AE624" i="1"/>
  <c r="AM624" i="1" s="1"/>
  <c r="X626" i="1"/>
  <c r="AE626" i="1"/>
  <c r="AM626" i="1" s="1"/>
  <c r="X628" i="1"/>
  <c r="AE628" i="1"/>
  <c r="X632" i="1"/>
  <c r="AE632" i="1"/>
  <c r="AM632" i="1" s="1"/>
  <c r="X634" i="1"/>
  <c r="AE634" i="1"/>
  <c r="AM634" i="1" s="1"/>
  <c r="X636" i="1"/>
  <c r="AE636" i="1"/>
  <c r="AM636" i="1" s="1"/>
  <c r="X638" i="1"/>
  <c r="AE638" i="1"/>
  <c r="AM638" i="1" s="1"/>
  <c r="X642" i="1"/>
  <c r="AE642" i="1"/>
  <c r="AM642" i="1" s="1"/>
  <c r="X644" i="1"/>
  <c r="AE644" i="1"/>
  <c r="X648" i="1"/>
  <c r="AE648" i="1"/>
  <c r="X650" i="1"/>
  <c r="AE650" i="1"/>
  <c r="X652" i="1"/>
  <c r="AE652" i="1"/>
  <c r="X654" i="1"/>
  <c r="AE654" i="1"/>
  <c r="AM654" i="1" s="1"/>
  <c r="X656" i="1"/>
  <c r="AE656" i="1"/>
  <c r="AM656" i="1" s="1"/>
  <c r="X658" i="1"/>
  <c r="AE658" i="1"/>
  <c r="AM658" i="1" s="1"/>
  <c r="X660" i="1"/>
  <c r="AE660" i="1"/>
  <c r="AM660" i="1" s="1"/>
  <c r="X662" i="1"/>
  <c r="AE662" i="1"/>
  <c r="AM662" i="1" s="1"/>
  <c r="X664" i="1"/>
  <c r="AE664" i="1"/>
  <c r="AM664" i="1" s="1"/>
  <c r="X666" i="1"/>
  <c r="AE666" i="1"/>
  <c r="AM666" i="1" s="1"/>
  <c r="X668" i="1"/>
  <c r="AE668" i="1"/>
  <c r="X670" i="1"/>
  <c r="AE670" i="1"/>
  <c r="X672" i="1"/>
  <c r="AE672" i="1"/>
  <c r="AM672" i="1" s="1"/>
  <c r="X674" i="1"/>
  <c r="AE674" i="1"/>
  <c r="AM674" i="1" s="1"/>
  <c r="X678" i="1"/>
  <c r="AE678" i="1"/>
  <c r="AM678" i="1" s="1"/>
  <c r="X680" i="1"/>
  <c r="AE680" i="1"/>
  <c r="X684" i="1"/>
  <c r="AE684" i="1"/>
  <c r="X686" i="1"/>
  <c r="AE686" i="1"/>
  <c r="AM686" i="1" s="1"/>
  <c r="X687" i="1"/>
  <c r="AE687" i="1"/>
  <c r="AM687" i="1" s="1"/>
  <c r="X689" i="1"/>
  <c r="AE689" i="1"/>
  <c r="X691" i="1"/>
  <c r="AE691" i="1"/>
  <c r="AM691" i="1" s="1"/>
  <c r="X693" i="1"/>
  <c r="AE693" i="1"/>
  <c r="X695" i="1"/>
  <c r="AE695" i="1"/>
  <c r="X697" i="1"/>
  <c r="AE697" i="1"/>
  <c r="X699" i="1"/>
  <c r="AE699" i="1"/>
  <c r="X701" i="1"/>
  <c r="AE701" i="1"/>
  <c r="AM701" i="1" s="1"/>
  <c r="X709" i="1"/>
  <c r="AE709" i="1"/>
  <c r="X740" i="1"/>
  <c r="AE740" i="1"/>
  <c r="AM740" i="1" s="1"/>
  <c r="X767" i="1"/>
  <c r="AE767" i="1"/>
  <c r="X769" i="1"/>
  <c r="AE769" i="1"/>
  <c r="X742" i="1"/>
  <c r="AE742" i="1"/>
  <c r="AM742" i="1" s="1"/>
  <c r="X746" i="1"/>
  <c r="AE746" i="1"/>
  <c r="X748" i="1"/>
  <c r="AE748" i="1"/>
  <c r="AM748" i="1" s="1"/>
  <c r="X750" i="1"/>
  <c r="AE750" i="1"/>
  <c r="X754" i="1"/>
  <c r="AE754" i="1"/>
  <c r="X758" i="1"/>
  <c r="AE758" i="1"/>
  <c r="AM758" i="1" s="1"/>
  <c r="X760" i="1"/>
  <c r="AE760" i="1"/>
  <c r="X762" i="1"/>
  <c r="AE762" i="1"/>
  <c r="AM762" i="1" s="1"/>
  <c r="X712" i="1"/>
  <c r="AE712" i="1"/>
  <c r="X716" i="1"/>
  <c r="AE716" i="1"/>
  <c r="AM716" i="1" s="1"/>
  <c r="X718" i="1"/>
  <c r="AE718" i="1"/>
  <c r="AM718" i="1" s="1"/>
  <c r="AM605" i="1"/>
  <c r="AM587" i="1"/>
  <c r="AM670" i="1"/>
  <c r="AM695" i="1"/>
  <c r="AM441" i="1"/>
  <c r="AM523" i="1"/>
  <c r="AM569" i="1"/>
  <c r="AM619" i="1"/>
  <c r="AM668" i="1"/>
  <c r="AM677" i="1"/>
  <c r="AM689" i="1"/>
  <c r="AM746" i="1"/>
  <c r="AM717" i="1"/>
  <c r="AM715" i="1"/>
  <c r="AM712" i="1"/>
  <c r="AM450" i="1"/>
  <c r="AM495" i="1"/>
  <c r="AM599" i="1"/>
  <c r="AM627" i="1"/>
  <c r="AM667" i="1"/>
  <c r="AM671" i="1"/>
  <c r="AM675" i="1"/>
  <c r="AM684" i="1"/>
  <c r="AM688" i="1"/>
  <c r="AM700" i="1"/>
  <c r="AM763" i="1"/>
  <c r="AM759" i="1"/>
  <c r="AM760" i="1"/>
  <c r="AM757" i="1"/>
  <c r="AM747" i="1"/>
  <c r="AM743" i="1"/>
  <c r="AM704" i="1"/>
  <c r="AM699" i="1"/>
  <c r="AM697" i="1"/>
  <c r="AM693" i="1"/>
  <c r="AM680" i="1"/>
  <c r="AM679" i="1"/>
  <c r="AM663" i="1"/>
  <c r="AM661" i="1"/>
  <c r="AM659" i="1"/>
  <c r="AM657" i="1"/>
  <c r="AM655" i="1"/>
  <c r="AM652" i="1"/>
  <c r="AM650" i="1"/>
  <c r="AM648" i="1"/>
  <c r="AM644" i="1"/>
  <c r="AM641" i="1"/>
  <c r="AM635" i="1"/>
  <c r="AM633" i="1"/>
  <c r="AM630" i="1"/>
  <c r="AM628" i="1"/>
  <c r="AM406" i="1"/>
  <c r="AM439" i="1"/>
  <c r="AM449" i="1"/>
  <c r="AM579" i="1"/>
  <c r="AM589" i="1"/>
  <c r="AM597" i="1"/>
  <c r="AM607" i="1"/>
  <c r="AM620" i="1"/>
  <c r="AM622" i="1"/>
  <c r="AM612" i="1"/>
  <c r="AM608" i="1"/>
  <c r="AM602" i="1"/>
  <c r="AM586" i="1"/>
  <c r="AM581" i="1"/>
  <c r="AM578" i="1"/>
  <c r="AM576" i="1"/>
  <c r="AM574" i="1"/>
  <c r="AM570" i="1"/>
  <c r="AM562" i="1"/>
  <c r="AM534" i="1"/>
  <c r="AM533" i="1"/>
  <c r="AM530" i="1"/>
  <c r="AM519" i="1"/>
  <c r="AM517" i="1"/>
  <c r="AM514" i="1"/>
  <c r="AM512" i="1"/>
  <c r="AM511" i="1"/>
  <c r="AM497" i="1"/>
  <c r="AM493" i="1"/>
  <c r="AM491" i="1"/>
  <c r="AM489" i="1"/>
  <c r="AM487" i="1"/>
  <c r="AM481" i="1"/>
  <c r="AM478" i="1"/>
  <c r="AM461" i="1"/>
  <c r="AM458" i="1"/>
  <c r="AM457" i="1"/>
  <c r="AM456" i="1"/>
  <c r="AM455" i="1"/>
  <c r="AM454" i="1"/>
  <c r="AM453" i="1"/>
  <c r="AM451" i="1"/>
  <c r="AM447" i="1"/>
  <c r="AM380" i="1"/>
  <c r="AM382" i="1"/>
  <c r="AM417" i="1"/>
  <c r="AM250" i="1"/>
  <c r="AM429" i="1"/>
  <c r="AM423" i="1"/>
  <c r="AM419" i="1"/>
  <c r="AM413" i="1"/>
  <c r="AM393" i="1"/>
  <c r="AM394" i="1"/>
  <c r="AM398" i="1"/>
  <c r="AM400" i="1"/>
  <c r="AM402" i="1"/>
  <c r="AM388" i="1"/>
  <c r="AM392" i="1"/>
  <c r="AM396" i="1"/>
  <c r="AM404" i="1"/>
  <c r="AM408" i="1"/>
  <c r="AM390" i="1"/>
  <c r="AM378" i="1"/>
  <c r="AM376" i="1"/>
  <c r="Y172" i="1"/>
  <c r="Z172" i="1" s="1"/>
  <c r="AA172" i="1" s="1"/>
  <c r="AB172" i="1" s="1"/>
  <c r="Y332" i="1"/>
  <c r="Y342" i="1"/>
  <c r="Z342" i="1" s="1"/>
  <c r="AA342" i="1" s="1"/>
  <c r="AB342" i="1" s="1"/>
  <c r="Y346" i="1"/>
  <c r="Y348" i="1"/>
  <c r="Y350" i="1"/>
  <c r="Y360" i="1"/>
  <c r="Z360" i="1" s="1"/>
  <c r="AA360" i="1" s="1"/>
  <c r="AB360" i="1" s="1"/>
  <c r="Y362" i="1"/>
  <c r="Y364" i="1"/>
  <c r="Z364" i="1" s="1"/>
  <c r="AA364" i="1" s="1"/>
  <c r="AB364" i="1" s="1"/>
  <c r="Y366" i="1"/>
  <c r="Y368" i="1"/>
  <c r="Z368" i="1" s="1"/>
  <c r="AA368" i="1" s="1"/>
  <c r="AB368" i="1" s="1"/>
  <c r="Y352" i="1"/>
  <c r="Y354" i="1"/>
  <c r="Z354" i="1" s="1"/>
  <c r="AA354" i="1" s="1"/>
  <c r="AB354" i="1" s="1"/>
  <c r="AM348" i="1"/>
  <c r="AM359" i="1"/>
  <c r="AM360" i="1"/>
  <c r="AM364" i="1"/>
  <c r="AM299" i="1"/>
  <c r="AM362" i="1"/>
  <c r="AM366" i="1"/>
  <c r="AM368" i="1"/>
  <c r="AM370" i="1"/>
  <c r="AM172" i="1"/>
  <c r="AM297" i="1"/>
  <c r="AM319" i="1"/>
  <c r="AM325" i="1"/>
  <c r="AM328" i="1"/>
  <c r="AM352" i="1"/>
  <c r="AM346" i="1"/>
  <c r="AM336" i="1"/>
  <c r="AM342" i="1"/>
  <c r="AM332" i="1"/>
  <c r="AM323" i="1"/>
  <c r="AM321" i="1"/>
  <c r="AM253" i="1"/>
  <c r="AI18" i="1"/>
  <c r="AI311" i="1"/>
  <c r="AI344" i="1"/>
  <c r="AI440" i="1"/>
  <c r="AI560" i="1"/>
  <c r="AI572" i="1"/>
  <c r="AI584" i="1"/>
  <c r="AI590" i="1"/>
  <c r="AI594" i="1"/>
  <c r="AI598" i="1"/>
  <c r="AI604" i="1"/>
  <c r="AI606" i="1"/>
  <c r="AI676" i="1"/>
  <c r="AI682" i="1"/>
  <c r="AI690" i="1"/>
  <c r="AI696" i="1"/>
  <c r="AI710" i="1"/>
  <c r="AI741" i="1"/>
  <c r="AI770" i="1"/>
  <c r="AI749" i="1"/>
  <c r="AI384" i="1"/>
  <c r="AI409" i="1"/>
  <c r="AI435" i="1"/>
  <c r="AI609" i="1"/>
  <c r="AI613" i="1"/>
  <c r="AI615" i="1"/>
  <c r="AI617" i="1"/>
  <c r="AI621" i="1"/>
  <c r="AI623" i="1"/>
  <c r="AI625" i="1"/>
  <c r="AI629" i="1"/>
  <c r="AI631" i="1"/>
  <c r="AI640" i="1"/>
  <c r="AI646" i="1"/>
  <c r="AI653" i="1"/>
  <c r="AI665" i="1"/>
  <c r="AI703" i="1"/>
  <c r="AI705" i="1"/>
  <c r="AI707" i="1"/>
  <c r="AI744" i="1"/>
  <c r="AI752" i="1"/>
  <c r="AI756" i="1"/>
  <c r="AI764" i="1"/>
  <c r="AI766" i="1"/>
  <c r="AI714" i="1"/>
  <c r="AM186" i="1"/>
  <c r="AM188" i="1"/>
  <c r="AM227" i="1"/>
  <c r="AM248" i="1"/>
  <c r="AM59" i="1"/>
  <c r="AG440" i="1"/>
  <c r="AG560" i="1"/>
  <c r="AG572" i="1"/>
  <c r="AG584" i="1"/>
  <c r="AG594" i="1"/>
  <c r="AG604" i="1"/>
  <c r="AD621" i="1"/>
  <c r="AD623" i="1"/>
  <c r="AD625" i="1"/>
  <c r="AD629" i="1"/>
  <c r="AD631" i="1"/>
  <c r="AG640" i="1"/>
  <c r="AG676" i="1"/>
  <c r="AG682" i="1"/>
  <c r="AG690" i="1"/>
  <c r="AG696" i="1"/>
  <c r="AG741" i="1"/>
  <c r="AG770" i="1"/>
  <c r="AG749" i="1"/>
  <c r="AG18" i="1"/>
  <c r="AG311" i="1"/>
  <c r="AG344" i="1"/>
  <c r="AG384" i="1"/>
  <c r="AG409" i="1"/>
  <c r="AG435" i="1"/>
  <c r="AD609" i="1"/>
  <c r="AD613" i="1"/>
  <c r="AD615" i="1"/>
  <c r="AD617" i="1"/>
  <c r="AD653" i="1"/>
  <c r="AD665" i="1"/>
  <c r="AD703" i="1"/>
  <c r="AD705" i="1"/>
  <c r="AD707" i="1"/>
  <c r="AD744" i="1"/>
  <c r="AD752" i="1"/>
  <c r="AD756" i="1"/>
  <c r="AG764" i="1"/>
  <c r="AG766" i="1"/>
  <c r="AG714" i="1"/>
  <c r="AM71" i="1"/>
  <c r="AM98" i="1"/>
  <c r="AM47" i="1"/>
  <c r="X47" i="1"/>
  <c r="AM49" i="1"/>
  <c r="X49" i="1"/>
  <c r="X52" i="1"/>
  <c r="AM61" i="1"/>
  <c r="X61" i="1"/>
  <c r="AM65" i="1"/>
  <c r="X65" i="1"/>
  <c r="X73" i="1"/>
  <c r="Y73" i="1" s="1"/>
  <c r="X94" i="1"/>
  <c r="Y94" i="1" s="1"/>
  <c r="AM25" i="1"/>
  <c r="X25" i="1"/>
  <c r="Y25" i="1" s="1"/>
  <c r="X243" i="1"/>
  <c r="X245" i="1"/>
  <c r="AM158" i="1"/>
  <c r="X158" i="1"/>
  <c r="AM169" i="1"/>
  <c r="X169" i="1"/>
  <c r="AM171" i="1"/>
  <c r="X171" i="1"/>
  <c r="AM174" i="1"/>
  <c r="X174" i="1"/>
  <c r="X206" i="1"/>
  <c r="Y206" i="1" s="1"/>
  <c r="AM228" i="1"/>
  <c r="X228" i="1"/>
  <c r="AM234" i="1"/>
  <c r="X234" i="1"/>
  <c r="Y234" i="1" s="1"/>
  <c r="Z234" i="1" s="1"/>
  <c r="AM254" i="1"/>
  <c r="X254" i="1"/>
  <c r="X288" i="1"/>
  <c r="AM294" i="1"/>
  <c r="X294" i="1"/>
  <c r="Y294" i="1" s="1"/>
  <c r="Z294" i="1" s="1"/>
  <c r="X45" i="1"/>
  <c r="Y45" i="1" s="1"/>
  <c r="Z45" i="1" s="1"/>
  <c r="AA45" i="1" s="1"/>
  <c r="AB45" i="1" s="1"/>
  <c r="X48" i="1"/>
  <c r="X50" i="1"/>
  <c r="X53" i="1"/>
  <c r="Y53" i="1" s="1"/>
  <c r="AM60" i="1"/>
  <c r="X60" i="1"/>
  <c r="AM62" i="1"/>
  <c r="X62" i="1"/>
  <c r="X72" i="1"/>
  <c r="X84" i="1"/>
  <c r="Y84" i="1" s="1"/>
  <c r="AM85" i="1"/>
  <c r="X85" i="1"/>
  <c r="Y85" i="1" s="1"/>
  <c r="X24" i="1"/>
  <c r="Y24" i="1" s="1"/>
  <c r="X26" i="1"/>
  <c r="Y26" i="1" s="1"/>
  <c r="AM102" i="1"/>
  <c r="X102" i="1"/>
  <c r="Y102" i="1" s="1"/>
  <c r="Z102" i="1" s="1"/>
  <c r="AA102" i="1" s="1"/>
  <c r="AB102" i="1" s="1"/>
  <c r="AM104" i="1"/>
  <c r="X104" i="1"/>
  <c r="Y104" i="1" s="1"/>
  <c r="AM240" i="1"/>
  <c r="X240" i="1"/>
  <c r="Y240" i="1" s="1"/>
  <c r="AM163" i="1"/>
  <c r="X163" i="1"/>
  <c r="AM165" i="1"/>
  <c r="X165" i="1"/>
  <c r="Y165" i="1" s="1"/>
  <c r="AM168" i="1"/>
  <c r="X168" i="1"/>
  <c r="Y168" i="1" s="1"/>
  <c r="X170" i="1"/>
  <c r="AM173" i="1"/>
  <c r="X173" i="1"/>
  <c r="Y173" i="1" s="1"/>
  <c r="AM207" i="1"/>
  <c r="X207" i="1"/>
  <c r="AM233" i="1"/>
  <c r="X233" i="1"/>
  <c r="AM255" i="1"/>
  <c r="X255" i="1"/>
  <c r="AM256" i="1"/>
  <c r="X256" i="1"/>
  <c r="AM278" i="1"/>
  <c r="X278" i="1"/>
  <c r="Y278" i="1" s="1"/>
  <c r="X287" i="1"/>
  <c r="AM293" i="1"/>
  <c r="X293" i="1"/>
  <c r="AM295" i="1"/>
  <c r="X295" i="1"/>
  <c r="AM44" i="1"/>
  <c r="X44" i="1"/>
  <c r="X46" i="1"/>
  <c r="X51" i="1"/>
  <c r="Y51" i="1" s="1"/>
  <c r="AM54" i="1"/>
  <c r="X54" i="1"/>
  <c r="AM55" i="1"/>
  <c r="X55" i="1"/>
  <c r="X56" i="1"/>
  <c r="AM57" i="1"/>
  <c r="X57" i="1"/>
  <c r="AM58" i="1"/>
  <c r="X58" i="1"/>
  <c r="X64" i="1"/>
  <c r="Y64" i="1" s="1"/>
  <c r="X66" i="1"/>
  <c r="AM67" i="1"/>
  <c r="X67" i="1"/>
  <c r="X68" i="1"/>
  <c r="AM69" i="1"/>
  <c r="X69" i="1"/>
  <c r="Y69" i="1" s="1"/>
  <c r="X70" i="1"/>
  <c r="X82" i="1"/>
  <c r="Y82" i="1" s="1"/>
  <c r="AM87" i="1"/>
  <c r="X87" i="1"/>
  <c r="X88" i="1"/>
  <c r="Y88" i="1" s="1"/>
  <c r="AM89" i="1"/>
  <c r="X89" i="1"/>
  <c r="Y89" i="1" s="1"/>
  <c r="X90" i="1"/>
  <c r="Y90" i="1" s="1"/>
  <c r="AM91" i="1"/>
  <c r="X91" i="1"/>
  <c r="Y91" i="1" s="1"/>
  <c r="Z91" i="1" s="1"/>
  <c r="X92" i="1"/>
  <c r="Y92" i="1" s="1"/>
  <c r="AM93" i="1"/>
  <c r="X93" i="1"/>
  <c r="AM21" i="1"/>
  <c r="X21" i="1"/>
  <c r="Y21" i="1" s="1"/>
  <c r="X22" i="1"/>
  <c r="Y22" i="1" s="1"/>
  <c r="X28" i="1"/>
  <c r="X29" i="1"/>
  <c r="Y29" i="1" s="1"/>
  <c r="Z29" i="1" s="1"/>
  <c r="AA29" i="1" s="1"/>
  <c r="AB29" i="1" s="1"/>
  <c r="X30" i="1"/>
  <c r="Y30" i="1" s="1"/>
  <c r="X127" i="1"/>
  <c r="X129" i="1"/>
  <c r="AM242" i="1"/>
  <c r="X242" i="1"/>
  <c r="Y242" i="1" s="1"/>
  <c r="X247" i="1"/>
  <c r="X249" i="1"/>
  <c r="Y249" i="1" s="1"/>
  <c r="AM159" i="1"/>
  <c r="X159" i="1"/>
  <c r="Y159" i="1" s="1"/>
  <c r="AM161" i="1"/>
  <c r="X161" i="1"/>
  <c r="Y161" i="1" s="1"/>
  <c r="AM162" i="1"/>
  <c r="X162" i="1"/>
  <c r="Y162" i="1" s="1"/>
  <c r="Z162" i="1" s="1"/>
  <c r="AA162" i="1" s="1"/>
  <c r="AB162" i="1" s="1"/>
  <c r="AM166" i="1"/>
  <c r="X166" i="1"/>
  <c r="AM167" i="1"/>
  <c r="X167" i="1"/>
  <c r="X175" i="1"/>
  <c r="Y175" i="1" s="1"/>
  <c r="AM177" i="1"/>
  <c r="X177" i="1"/>
  <c r="AM208" i="1"/>
  <c r="X208" i="1"/>
  <c r="AM209" i="1"/>
  <c r="X209" i="1"/>
  <c r="Y209" i="1" s="1"/>
  <c r="Z209" i="1" s="1"/>
  <c r="X210" i="1"/>
  <c r="Y210" i="1" s="1"/>
  <c r="AM229" i="1"/>
  <c r="X229" i="1"/>
  <c r="Y229" i="1" s="1"/>
  <c r="Z229" i="1" s="1"/>
  <c r="AM231" i="1"/>
  <c r="X231" i="1"/>
  <c r="Y231" i="1" s="1"/>
  <c r="AM232" i="1"/>
  <c r="X232" i="1"/>
  <c r="X236" i="1"/>
  <c r="Y236" i="1" s="1"/>
  <c r="X257" i="1"/>
  <c r="Y257" i="1" s="1"/>
  <c r="X259" i="1"/>
  <c r="X260" i="1"/>
  <c r="X261" i="1"/>
  <c r="Y261" i="1" s="1"/>
  <c r="AM262" i="1"/>
  <c r="X262" i="1"/>
  <c r="Y262" i="1" s="1"/>
  <c r="Z262" i="1" s="1"/>
  <c r="AA262" i="1" s="1"/>
  <c r="AB262" i="1" s="1"/>
  <c r="X263" i="1"/>
  <c r="Y263" i="1" s="1"/>
  <c r="AM264" i="1"/>
  <c r="X264" i="1"/>
  <c r="X265" i="1"/>
  <c r="Y265" i="1" s="1"/>
  <c r="AM274" i="1"/>
  <c r="X274" i="1"/>
  <c r="Y274" i="1" s="1"/>
  <c r="Z274" i="1" s="1"/>
  <c r="AA274" i="1" s="1"/>
  <c r="AB274" i="1" s="1"/>
  <c r="X275" i="1"/>
  <c r="Y275" i="1" s="1"/>
  <c r="AM276" i="1"/>
  <c r="X276" i="1"/>
  <c r="AM277" i="1"/>
  <c r="X277" i="1"/>
  <c r="Y277" i="1" s="1"/>
  <c r="Z277" i="1" s="1"/>
  <c r="AA277" i="1" s="1"/>
  <c r="AB277" i="1" s="1"/>
  <c r="AM279" i="1"/>
  <c r="X279" i="1"/>
  <c r="AM280" i="1"/>
  <c r="X280" i="1"/>
  <c r="AM282" i="1"/>
  <c r="X282" i="1"/>
  <c r="X283" i="1"/>
  <c r="X284" i="1"/>
  <c r="Y284" i="1" s="1"/>
  <c r="X285" i="1"/>
  <c r="AM286" i="1"/>
  <c r="X286" i="1"/>
  <c r="X289" i="1"/>
  <c r="Y289" i="1" s="1"/>
  <c r="AM290" i="1"/>
  <c r="X290" i="1"/>
  <c r="X291" i="1"/>
  <c r="Y291" i="1" s="1"/>
  <c r="Z291" i="1" s="1"/>
  <c r="AA291" i="1" s="1"/>
  <c r="AB291" i="1" s="1"/>
  <c r="AM292" i="1"/>
  <c r="X292" i="1"/>
  <c r="AM5" i="1"/>
  <c r="AM66" i="1"/>
  <c r="AM129" i="1"/>
  <c r="AM146" i="1"/>
  <c r="AM151" i="1"/>
  <c r="AM206" i="1"/>
  <c r="AM221" i="1"/>
  <c r="AM223" i="1"/>
  <c r="AM283" i="1"/>
  <c r="AM287" i="1"/>
  <c r="AM289" i="1"/>
  <c r="X8" i="1"/>
  <c r="Y8" i="1" s="1"/>
  <c r="Z8" i="1" s="1"/>
  <c r="AA8" i="1" s="1"/>
  <c r="AB8" i="1" s="1"/>
  <c r="AM12" i="1"/>
  <c r="X12" i="1"/>
  <c r="Y12" i="1" s="1"/>
  <c r="X17" i="1"/>
  <c r="Y17" i="1" s="1"/>
  <c r="X32" i="1"/>
  <c r="Y32" i="1" s="1"/>
  <c r="Z32" i="1" s="1"/>
  <c r="AA32" i="1" s="1"/>
  <c r="AB32" i="1" s="1"/>
  <c r="X33" i="1"/>
  <c r="Y33" i="1" s="1"/>
  <c r="Z33" i="1" s="1"/>
  <c r="X35" i="1"/>
  <c r="Y35" i="1" s="1"/>
  <c r="X36" i="1"/>
  <c r="Y36" i="1" s="1"/>
  <c r="Z36" i="1" s="1"/>
  <c r="AA36" i="1" s="1"/>
  <c r="AB36" i="1" s="1"/>
  <c r="X38" i="1"/>
  <c r="Y38" i="1" s="1"/>
  <c r="X39" i="1"/>
  <c r="Y39" i="1" s="1"/>
  <c r="X43" i="1"/>
  <c r="X111" i="1"/>
  <c r="Y111" i="1" s="1"/>
  <c r="Z111" i="1" s="1"/>
  <c r="X105" i="1"/>
  <c r="Y105" i="1" s="1"/>
  <c r="Z105" i="1" s="1"/>
  <c r="AA105" i="1" s="1"/>
  <c r="AB105" i="1" s="1"/>
  <c r="X107" i="1"/>
  <c r="X109" i="1"/>
  <c r="Y109" i="1" s="1"/>
  <c r="Z109" i="1" s="1"/>
  <c r="AA109" i="1" s="1"/>
  <c r="AB109" i="1" s="1"/>
  <c r="X78" i="1"/>
  <c r="Y78" i="1" s="1"/>
  <c r="Z78" i="1" s="1"/>
  <c r="AA78" i="1" s="1"/>
  <c r="AB78" i="1" s="1"/>
  <c r="X80" i="1"/>
  <c r="Y80" i="1" s="1"/>
  <c r="Z80" i="1" s="1"/>
  <c r="AA80" i="1" s="1"/>
  <c r="AB80" i="1" s="1"/>
  <c r="X134" i="1"/>
  <c r="Y134" i="1" s="1"/>
  <c r="Z134" i="1" s="1"/>
  <c r="X136" i="1"/>
  <c r="X238" i="1"/>
  <c r="Y238" i="1" s="1"/>
  <c r="Z238" i="1" s="1"/>
  <c r="AA238" i="1" s="1"/>
  <c r="AB238" i="1" s="1"/>
  <c r="X3" i="1"/>
  <c r="Y3" i="1" s="1"/>
  <c r="X4" i="1"/>
  <c r="AM7" i="1"/>
  <c r="X7" i="1"/>
  <c r="X9" i="1"/>
  <c r="Y9" i="1" s="1"/>
  <c r="AM10" i="1"/>
  <c r="X10" i="1"/>
  <c r="Y10" i="1" s="1"/>
  <c r="Z10" i="1" s="1"/>
  <c r="AA10" i="1" s="1"/>
  <c r="AB10" i="1" s="1"/>
  <c r="AM15" i="1"/>
  <c r="X15" i="1"/>
  <c r="Y15" i="1" s="1"/>
  <c r="AM16" i="1"/>
  <c r="X16" i="1"/>
  <c r="Y16" i="1" s="1"/>
  <c r="X20" i="1"/>
  <c r="AM46" i="1"/>
  <c r="AM52" i="1"/>
  <c r="AM70" i="1"/>
  <c r="AM90" i="1"/>
  <c r="AM24" i="1"/>
  <c r="X37" i="1"/>
  <c r="Y37" i="1" s="1"/>
  <c r="X41" i="1"/>
  <c r="Y41" i="1" s="1"/>
  <c r="Z41" i="1" s="1"/>
  <c r="X112" i="1"/>
  <c r="Y112" i="1" s="1"/>
  <c r="Z112" i="1" s="1"/>
  <c r="AA112" i="1" s="1"/>
  <c r="AB112" i="1" s="1"/>
  <c r="X96" i="1"/>
  <c r="Y96" i="1" s="1"/>
  <c r="Z96" i="1" s="1"/>
  <c r="AA96" i="1" s="1"/>
  <c r="AB96" i="1" s="1"/>
  <c r="X97" i="1"/>
  <c r="Y97" i="1" s="1"/>
  <c r="Z97" i="1" s="1"/>
  <c r="AA97" i="1" s="1"/>
  <c r="AB97" i="1" s="1"/>
  <c r="AM99" i="1"/>
  <c r="X99" i="1"/>
  <c r="Y99" i="1" s="1"/>
  <c r="AM100" i="1"/>
  <c r="X100" i="1"/>
  <c r="X74" i="1"/>
  <c r="Y74" i="1" s="1"/>
  <c r="Z74" i="1" s="1"/>
  <c r="AA74" i="1" s="1"/>
  <c r="AB74" i="1" s="1"/>
  <c r="AM75" i="1"/>
  <c r="X75" i="1"/>
  <c r="Y75" i="1" s="1"/>
  <c r="Z75" i="1" s="1"/>
  <c r="AA75" i="1" s="1"/>
  <c r="AB75" i="1" s="1"/>
  <c r="X76" i="1"/>
  <c r="Y76" i="1" s="1"/>
  <c r="Z76" i="1" s="1"/>
  <c r="AA76" i="1" s="1"/>
  <c r="AB76" i="1" s="1"/>
  <c r="AM77" i="1"/>
  <c r="X77" i="1"/>
  <c r="Y77" i="1" s="1"/>
  <c r="AM115" i="1"/>
  <c r="AM116" i="1"/>
  <c r="X116" i="1"/>
  <c r="AM117" i="1"/>
  <c r="AM118" i="1"/>
  <c r="X118" i="1"/>
  <c r="AM119" i="1"/>
  <c r="X119" i="1"/>
  <c r="AM120" i="1"/>
  <c r="X120" i="1"/>
  <c r="X122" i="1"/>
  <c r="X123" i="1"/>
  <c r="X125" i="1"/>
  <c r="Y125" i="1" s="1"/>
  <c r="Z125" i="1" s="1"/>
  <c r="AA125" i="1" s="1"/>
  <c r="AB125" i="1" s="1"/>
  <c r="X131" i="1"/>
  <c r="Y131" i="1" s="1"/>
  <c r="X132" i="1"/>
  <c r="Y132" i="1" s="1"/>
  <c r="X137" i="1"/>
  <c r="Y137" i="1" s="1"/>
  <c r="Z137" i="1" s="1"/>
  <c r="AA137" i="1" s="1"/>
  <c r="AB137" i="1" s="1"/>
  <c r="X141" i="1"/>
  <c r="Y141" i="1" s="1"/>
  <c r="Z141" i="1" s="1"/>
  <c r="AA141" i="1" s="1"/>
  <c r="AB141" i="1" s="1"/>
  <c r="AM144" i="1"/>
  <c r="X144" i="1"/>
  <c r="Y144" i="1" s="1"/>
  <c r="AM150" i="1"/>
  <c r="AM153" i="1"/>
  <c r="X153" i="1"/>
  <c r="Y153" i="1" s="1"/>
  <c r="X155" i="1"/>
  <c r="Y155" i="1" s="1"/>
  <c r="Z155" i="1" s="1"/>
  <c r="AA155" i="1" s="1"/>
  <c r="AB155" i="1" s="1"/>
  <c r="AM156" i="1"/>
  <c r="X156" i="1"/>
  <c r="AM237" i="1"/>
  <c r="X237" i="1"/>
  <c r="AM238" i="1"/>
  <c r="X178" i="1"/>
  <c r="AM179" i="1"/>
  <c r="X179" i="1"/>
  <c r="AM181" i="1"/>
  <c r="X181" i="1"/>
  <c r="X192" i="1"/>
  <c r="Y192" i="1" s="1"/>
  <c r="AM193" i="1"/>
  <c r="X193" i="1"/>
  <c r="AM194" i="1"/>
  <c r="X194" i="1"/>
  <c r="Y194" i="1" s="1"/>
  <c r="AM197" i="1"/>
  <c r="X197" i="1"/>
  <c r="AM198" i="1"/>
  <c r="AM201" i="1"/>
  <c r="X201" i="1"/>
  <c r="X202" i="1"/>
  <c r="Y202" i="1" s="1"/>
  <c r="Z202" i="1" s="1"/>
  <c r="AA202" i="1" s="1"/>
  <c r="AB202" i="1" s="1"/>
  <c r="AM204" i="1"/>
  <c r="X204" i="1"/>
  <c r="Y204" i="1" s="1"/>
  <c r="Z204" i="1" s="1"/>
  <c r="AA204" i="1" s="1"/>
  <c r="AB204" i="1" s="1"/>
  <c r="AM205" i="1"/>
  <c r="X205" i="1"/>
  <c r="Y205" i="1" s="1"/>
  <c r="Z205" i="1" s="1"/>
  <c r="X212" i="1"/>
  <c r="Y212" i="1" s="1"/>
  <c r="Z212" i="1" s="1"/>
  <c r="AA212" i="1" s="1"/>
  <c r="AB212" i="1" s="1"/>
  <c r="AM218" i="1"/>
  <c r="X218" i="1"/>
  <c r="Y218" i="1" s="1"/>
  <c r="Z218" i="1" s="1"/>
  <c r="AM263" i="1"/>
  <c r="AM266" i="1"/>
  <c r="X266" i="1"/>
  <c r="X269" i="1"/>
  <c r="AM270" i="1"/>
  <c r="X270" i="1"/>
  <c r="X271" i="1"/>
  <c r="Y271" i="1" s="1"/>
  <c r="Z271" i="1" s="1"/>
  <c r="AA271" i="1" s="1"/>
  <c r="AB271" i="1" s="1"/>
  <c r="X273" i="1"/>
  <c r="Y273" i="1" s="1"/>
  <c r="Z273" i="1" s="1"/>
  <c r="AA273" i="1" s="1"/>
  <c r="AB273" i="1" s="1"/>
  <c r="AM275" i="1"/>
  <c r="X301" i="1"/>
  <c r="Y301" i="1" s="1"/>
  <c r="AM302" i="1"/>
  <c r="X302" i="1"/>
  <c r="X305" i="1"/>
  <c r="Y305" i="1" s="1"/>
  <c r="X306" i="1"/>
  <c r="Z306" i="1" s="1"/>
  <c r="X309" i="1"/>
  <c r="Y309" i="1" s="1"/>
  <c r="AM310" i="1"/>
  <c r="X310" i="1"/>
  <c r="AM312" i="1"/>
  <c r="X312" i="1"/>
  <c r="AM314" i="1"/>
  <c r="X314" i="1"/>
  <c r="AM316" i="1"/>
  <c r="X316" i="1"/>
  <c r="Y316" i="1" s="1"/>
  <c r="AM318" i="1"/>
  <c r="X318" i="1"/>
  <c r="X320" i="1"/>
  <c r="X322" i="1"/>
  <c r="AM324" i="1"/>
  <c r="X324" i="1"/>
  <c r="AM331" i="1"/>
  <c r="X331" i="1"/>
  <c r="AM333" i="1"/>
  <c r="X333" i="1"/>
  <c r="AM335" i="1"/>
  <c r="X335" i="1"/>
  <c r="X339" i="1"/>
  <c r="X443" i="1"/>
  <c r="Y443" i="1" s="1"/>
  <c r="AM444" i="1"/>
  <c r="X444" i="1"/>
  <c r="Y444" i="1" s="1"/>
  <c r="AM446" i="1"/>
  <c r="X446" i="1"/>
  <c r="Y446" i="1" s="1"/>
  <c r="X448" i="1"/>
  <c r="Y448" i="1" s="1"/>
  <c r="X463" i="1"/>
  <c r="Y463" i="1" s="1"/>
  <c r="X465" i="1"/>
  <c r="Y465" i="1" s="1"/>
  <c r="X467" i="1"/>
  <c r="Y467" i="1" s="1"/>
  <c r="X469" i="1"/>
  <c r="Y469" i="1" s="1"/>
  <c r="X472" i="1"/>
  <c r="Y472" i="1" s="1"/>
  <c r="X474" i="1"/>
  <c r="Y474" i="1" s="1"/>
  <c r="X476" i="1"/>
  <c r="Y476" i="1" s="1"/>
  <c r="X479" i="1"/>
  <c r="Y479" i="1" s="1"/>
  <c r="AM482" i="1"/>
  <c r="X482" i="1"/>
  <c r="Y482" i="1" s="1"/>
  <c r="X485" i="1"/>
  <c r="Y485" i="1" s="1"/>
  <c r="AM486" i="1"/>
  <c r="X486" i="1"/>
  <c r="AM488" i="1"/>
  <c r="X488" i="1"/>
  <c r="AM490" i="1"/>
  <c r="X490" i="1"/>
  <c r="X494" i="1"/>
  <c r="X499" i="1"/>
  <c r="Y499" i="1" s="1"/>
  <c r="X500" i="1"/>
  <c r="Y500" i="1" s="1"/>
  <c r="X503" i="1"/>
  <c r="Y503" i="1" s="1"/>
  <c r="X504" i="1"/>
  <c r="X507" i="1"/>
  <c r="Y507" i="1" s="1"/>
  <c r="X508" i="1"/>
  <c r="Z508" i="1" s="1"/>
  <c r="AA508" i="1" s="1"/>
  <c r="AB508" i="1" s="1"/>
  <c r="AM510" i="1"/>
  <c r="X510" i="1"/>
  <c r="X521" i="1"/>
  <c r="Y521" i="1" s="1"/>
  <c r="X522" i="1"/>
  <c r="AM524" i="1"/>
  <c r="X524" i="1"/>
  <c r="AM526" i="1"/>
  <c r="X526" i="1"/>
  <c r="AM528" i="1"/>
  <c r="X528" i="1"/>
  <c r="X529" i="1"/>
  <c r="X531" i="1"/>
  <c r="X535" i="1"/>
  <c r="X538" i="1"/>
  <c r="Y538" i="1" s="1"/>
  <c r="AM539" i="1"/>
  <c r="X539" i="1"/>
  <c r="Y539" i="1" s="1"/>
  <c r="X542" i="1"/>
  <c r="Y542" i="1" s="1"/>
  <c r="X550" i="1"/>
  <c r="Y550" i="1" s="1"/>
  <c r="X552" i="1"/>
  <c r="Y552" i="1" s="1"/>
  <c r="X553" i="1"/>
  <c r="Y553" i="1" s="1"/>
  <c r="X555" i="1"/>
  <c r="X556" i="1"/>
  <c r="Y556" i="1" s="1"/>
  <c r="X559" i="1"/>
  <c r="Y559" i="1" s="1"/>
  <c r="Z559" i="1" s="1"/>
  <c r="AM561" i="1"/>
  <c r="X561" i="1"/>
  <c r="Y561" i="1" s="1"/>
  <c r="Z561" i="1" s="1"/>
  <c r="X563" i="1"/>
  <c r="Z563" i="1" s="1"/>
  <c r="AA563" i="1" s="1"/>
  <c r="AB563" i="1" s="1"/>
  <c r="X6" i="1"/>
  <c r="Y6" i="1" s="1"/>
  <c r="X42" i="1"/>
  <c r="X110" i="1"/>
  <c r="X101" i="1"/>
  <c r="X106" i="1"/>
  <c r="AM79" i="1"/>
  <c r="X79" i="1"/>
  <c r="Y79" i="1" s="1"/>
  <c r="X81" i="1"/>
  <c r="Y81" i="1" s="1"/>
  <c r="X133" i="1"/>
  <c r="Y133" i="1" s="1"/>
  <c r="X135" i="1"/>
  <c r="Y135" i="1" s="1"/>
  <c r="AM140" i="1"/>
  <c r="X140" i="1"/>
  <c r="Y140" i="1" s="1"/>
  <c r="X145" i="1"/>
  <c r="Y145" i="1" s="1"/>
  <c r="X182" i="1"/>
  <c r="Y182" i="1" s="1"/>
  <c r="AM183" i="1"/>
  <c r="X183" i="1"/>
  <c r="Y183" i="1" s="1"/>
  <c r="X185" i="1"/>
  <c r="Y185" i="1" s="1"/>
  <c r="AM187" i="1"/>
  <c r="X187" i="1"/>
  <c r="Y187" i="1" s="1"/>
  <c r="Z187" i="1" s="1"/>
  <c r="AA187" i="1" s="1"/>
  <c r="AB187" i="1" s="1"/>
  <c r="AM189" i="1"/>
  <c r="X189" i="1"/>
  <c r="AM191" i="1"/>
  <c r="X191" i="1"/>
  <c r="Y191" i="1" s="1"/>
  <c r="Z191" i="1" s="1"/>
  <c r="AA191" i="1" s="1"/>
  <c r="AB191" i="1" s="1"/>
  <c r="X211" i="1"/>
  <c r="AM213" i="1"/>
  <c r="X213" i="1"/>
  <c r="AM214" i="1"/>
  <c r="X214" i="1"/>
  <c r="Y214" i="1" s="1"/>
  <c r="X215" i="1"/>
  <c r="AM216" i="1"/>
  <c r="X216" i="1"/>
  <c r="X220" i="1"/>
  <c r="Y220" i="1" s="1"/>
  <c r="Z220" i="1" s="1"/>
  <c r="AM222" i="1"/>
  <c r="X222" i="1"/>
  <c r="Y222" i="1" s="1"/>
  <c r="Z222" i="1" s="1"/>
  <c r="X224" i="1"/>
  <c r="X267" i="1"/>
  <c r="AM268" i="1"/>
  <c r="X268" i="1"/>
  <c r="Y268" i="1" s="1"/>
  <c r="X272" i="1"/>
  <c r="Y272" i="1" s="1"/>
  <c r="X296" i="1"/>
  <c r="Y296" i="1" s="1"/>
  <c r="AM298" i="1"/>
  <c r="X298" i="1"/>
  <c r="Y298" i="1" s="1"/>
  <c r="Z298" i="1" s="1"/>
  <c r="AM300" i="1"/>
  <c r="X300" i="1"/>
  <c r="Y300" i="1" s="1"/>
  <c r="Z300" i="1" s="1"/>
  <c r="X303" i="1"/>
  <c r="Y303" i="1" s="1"/>
  <c r="AM304" i="1"/>
  <c r="X304" i="1"/>
  <c r="X307" i="1"/>
  <c r="AM308" i="1"/>
  <c r="X308" i="1"/>
  <c r="AM343" i="1"/>
  <c r="X343" i="1"/>
  <c r="X355" i="1"/>
  <c r="AM357" i="1"/>
  <c r="X357" i="1"/>
  <c r="AM373" i="1"/>
  <c r="X373" i="1"/>
  <c r="Y373" i="1" s="1"/>
  <c r="Z373" i="1" s="1"/>
  <c r="AA373" i="1" s="1"/>
  <c r="AB373" i="1" s="1"/>
  <c r="AM375" i="1"/>
  <c r="X375" i="1"/>
  <c r="Y375" i="1" s="1"/>
  <c r="AM387" i="1"/>
  <c r="X387" i="1"/>
  <c r="Y387" i="1" s="1"/>
  <c r="X391" i="1"/>
  <c r="Y391" i="1" s="1"/>
  <c r="AM397" i="1"/>
  <c r="X397" i="1"/>
  <c r="Y397" i="1" s="1"/>
  <c r="Z397" i="1" s="1"/>
  <c r="AA397" i="1" s="1"/>
  <c r="AB397" i="1" s="1"/>
  <c r="AM399" i="1"/>
  <c r="X399" i="1"/>
  <c r="Y399" i="1" s="1"/>
  <c r="AM412" i="1"/>
  <c r="X412" i="1"/>
  <c r="Y412" i="1" s="1"/>
  <c r="AM414" i="1"/>
  <c r="X414" i="1"/>
  <c r="Y414" i="1" s="1"/>
  <c r="AM416" i="1"/>
  <c r="X416" i="1"/>
  <c r="Y416" i="1" s="1"/>
  <c r="AM424" i="1"/>
  <c r="X424" i="1"/>
  <c r="Y424" i="1" s="1"/>
  <c r="AM428" i="1"/>
  <c r="X428" i="1"/>
  <c r="Y428" i="1" s="1"/>
  <c r="Z428" i="1" s="1"/>
  <c r="AA428" i="1" s="1"/>
  <c r="AB428" i="1" s="1"/>
  <c r="X430" i="1"/>
  <c r="Y430" i="1" s="1"/>
  <c r="AM251" i="1"/>
  <c r="X251" i="1"/>
  <c r="Y251" i="1" s="1"/>
  <c r="AM436" i="1"/>
  <c r="X436" i="1"/>
  <c r="AM437" i="1"/>
  <c r="X437" i="1"/>
  <c r="Y437" i="1" s="1"/>
  <c r="X464" i="1"/>
  <c r="Y464" i="1" s="1"/>
  <c r="X466" i="1"/>
  <c r="Y466" i="1" s="1"/>
  <c r="X468" i="1"/>
  <c r="Y468" i="1" s="1"/>
  <c r="X471" i="1"/>
  <c r="Y471" i="1" s="1"/>
  <c r="X473" i="1"/>
  <c r="Y473" i="1" s="1"/>
  <c r="X475" i="1"/>
  <c r="Y475" i="1" s="1"/>
  <c r="X477" i="1"/>
  <c r="Y477" i="1" s="1"/>
  <c r="X483" i="1"/>
  <c r="Y483" i="1" s="1"/>
  <c r="AM492" i="1"/>
  <c r="X492" i="1"/>
  <c r="Y492" i="1" s="1"/>
  <c r="AM496" i="1"/>
  <c r="X496" i="1"/>
  <c r="AM498" i="1"/>
  <c r="X498" i="1"/>
  <c r="Y498" i="1" s="1"/>
  <c r="X501" i="1"/>
  <c r="Y501" i="1" s="1"/>
  <c r="AM502" i="1"/>
  <c r="X502" i="1"/>
  <c r="Y502" i="1" s="1"/>
  <c r="X505" i="1"/>
  <c r="Y505" i="1" s="1"/>
  <c r="X515" i="1"/>
  <c r="Y515" i="1" s="1"/>
  <c r="AM518" i="1"/>
  <c r="X518" i="1"/>
  <c r="AM520" i="1"/>
  <c r="X520" i="1"/>
  <c r="Y520" i="1" s="1"/>
  <c r="X536" i="1"/>
  <c r="Y536" i="1" s="1"/>
  <c r="AM537" i="1"/>
  <c r="X537" i="1"/>
  <c r="Y537" i="1" s="1"/>
  <c r="Z537" i="1" s="1"/>
  <c r="AA537" i="1" s="1"/>
  <c r="AB537" i="1" s="1"/>
  <c r="X540" i="1"/>
  <c r="Y540" i="1" s="1"/>
  <c r="AM541" i="1"/>
  <c r="X541" i="1"/>
  <c r="X544" i="1"/>
  <c r="Y544" i="1" s="1"/>
  <c r="X545" i="1"/>
  <c r="Y545" i="1" s="1"/>
  <c r="AM568" i="1"/>
  <c r="X568" i="1"/>
  <c r="Y568" i="1" s="1"/>
  <c r="Y244" i="1"/>
  <c r="AM244" i="1"/>
  <c r="Y160" i="1"/>
  <c r="AM160" i="1"/>
  <c r="Y176" i="1"/>
  <c r="AM176" i="1"/>
  <c r="Y180" i="1"/>
  <c r="AM180" i="1"/>
  <c r="AM203" i="1"/>
  <c r="AM95" i="1"/>
  <c r="AM106" i="1"/>
  <c r="AM108" i="1"/>
  <c r="AM80" i="1"/>
  <c r="AM113" i="1"/>
  <c r="AM123" i="1"/>
  <c r="AM127" i="1"/>
  <c r="AM137" i="1"/>
  <c r="AM139" i="1"/>
  <c r="Y143" i="1"/>
  <c r="Y147" i="1"/>
  <c r="Z147" i="1" s="1"/>
  <c r="AA147" i="1" s="1"/>
  <c r="AB147" i="1" s="1"/>
  <c r="AM147" i="1"/>
  <c r="Y149" i="1"/>
  <c r="AM149" i="1"/>
  <c r="Y157" i="1"/>
  <c r="AM246" i="1"/>
  <c r="Y164" i="1"/>
  <c r="Y184" i="1"/>
  <c r="Z184" i="1" s="1"/>
  <c r="AA184" i="1" s="1"/>
  <c r="AB184" i="1" s="1"/>
  <c r="AM184" i="1"/>
  <c r="Y190" i="1"/>
  <c r="Z190" i="1" s="1"/>
  <c r="AA190" i="1" s="1"/>
  <c r="AB190" i="1" s="1"/>
  <c r="AM190" i="1"/>
  <c r="Y199" i="1"/>
  <c r="Z199" i="1" s="1"/>
  <c r="AA199" i="1" s="1"/>
  <c r="AB199" i="1" s="1"/>
  <c r="AM199" i="1"/>
  <c r="AM217" i="1"/>
  <c r="AM219" i="1"/>
  <c r="Y226" i="1"/>
  <c r="AM226" i="1"/>
  <c r="Y230" i="1"/>
  <c r="Z230" i="1" s="1"/>
  <c r="AA230" i="1" s="1"/>
  <c r="AB230" i="1" s="1"/>
  <c r="AM230" i="1"/>
  <c r="Y235" i="1"/>
  <c r="Z235" i="1" s="1"/>
  <c r="AA235" i="1" s="1"/>
  <c r="AB235" i="1" s="1"/>
  <c r="AM235" i="1"/>
  <c r="AM257" i="1"/>
  <c r="AM265" i="1"/>
  <c r="AM269" i="1"/>
  <c r="AM273" i="1"/>
  <c r="AM281" i="1"/>
  <c r="AM285" i="1"/>
  <c r="AM291" i="1"/>
  <c r="AM23" i="1"/>
  <c r="AM88" i="1"/>
  <c r="AM92" i="1"/>
  <c r="AM82" i="1"/>
  <c r="AM83" i="1"/>
  <c r="AM86" i="1"/>
  <c r="AM68" i="1"/>
  <c r="AM56" i="1"/>
  <c r="AM48" i="1"/>
  <c r="Y436" i="1"/>
  <c r="AM11" i="1"/>
  <c r="AM13" i="1"/>
  <c r="AM17" i="1"/>
  <c r="AM9" i="1"/>
  <c r="AM14" i="1"/>
  <c r="AM114" i="1"/>
  <c r="AM126" i="1"/>
  <c r="AM142" i="1"/>
  <c r="Y142" i="1"/>
  <c r="AM327" i="1"/>
  <c r="AM345" i="1"/>
  <c r="AM377" i="1"/>
  <c r="AM418" i="1"/>
  <c r="AM63" i="1"/>
  <c r="Y27" i="1"/>
  <c r="Z27" i="1" s="1"/>
  <c r="AA27" i="1" s="1"/>
  <c r="AB27" i="1" s="1"/>
  <c r="AM124" i="1"/>
  <c r="AM128" i="1"/>
  <c r="AM138" i="1"/>
  <c r="Y138" i="1"/>
  <c r="AM329" i="1"/>
  <c r="AM389" i="1"/>
  <c r="AM426" i="1"/>
  <c r="Y603" i="1"/>
  <c r="Z603" i="1" s="1"/>
  <c r="AA603" i="1" s="1"/>
  <c r="AB603" i="1" s="1"/>
  <c r="Y627" i="1"/>
  <c r="Y595" i="1"/>
  <c r="Y611" i="1"/>
  <c r="Y5" i="1"/>
  <c r="Z5" i="1" s="1"/>
  <c r="Y11" i="1"/>
  <c r="Y86" i="1"/>
  <c r="Z86" i="1" s="1"/>
  <c r="AA86" i="1" s="1"/>
  <c r="AB86" i="1" s="1"/>
  <c r="Y246" i="1"/>
  <c r="Z246" i="1" s="1"/>
  <c r="AA246" i="1" s="1"/>
  <c r="AB246" i="1" s="1"/>
  <c r="Y223" i="1"/>
  <c r="Y281" i="1"/>
  <c r="Z281" i="1" s="1"/>
  <c r="AA281" i="1" s="1"/>
  <c r="AB281" i="1" s="1"/>
  <c r="Y435" i="1"/>
  <c r="Y250" i="1"/>
  <c r="Z250" i="1" s="1"/>
  <c r="AA250" i="1" s="1"/>
  <c r="AB250" i="1" s="1"/>
  <c r="Y491" i="1"/>
  <c r="Y495" i="1"/>
  <c r="Z495" i="1" s="1"/>
  <c r="AA495" i="1" s="1"/>
  <c r="AB495" i="1" s="1"/>
  <c r="Y497" i="1"/>
  <c r="Y44" i="1"/>
  <c r="Z44" i="1" s="1"/>
  <c r="AA44" i="1" s="1"/>
  <c r="AB44" i="1" s="1"/>
  <c r="Y40" i="1"/>
  <c r="Y158" i="1"/>
  <c r="Y188" i="1"/>
  <c r="Z188" i="1" s="1"/>
  <c r="AA188" i="1" s="1"/>
  <c r="AB188" i="1" s="1"/>
  <c r="Y219" i="1"/>
  <c r="Z219" i="1" s="1"/>
  <c r="AA219" i="1" s="1"/>
  <c r="AB219" i="1" s="1"/>
  <c r="Y336" i="1"/>
  <c r="Y340" i="1"/>
  <c r="Z340" i="1" s="1"/>
  <c r="AA340" i="1" s="1"/>
  <c r="AB340" i="1" s="1"/>
  <c r="Y370" i="1"/>
  <c r="Y571" i="1"/>
  <c r="Z571" i="1" s="1"/>
  <c r="AA571" i="1" s="1"/>
  <c r="AB571" i="1" s="1"/>
  <c r="Y587" i="1"/>
  <c r="Z587" i="1" s="1"/>
  <c r="AA587" i="1" s="1"/>
  <c r="AB587" i="1" s="1"/>
  <c r="Y562" i="1"/>
  <c r="Z562" i="1" s="1"/>
  <c r="AA562" i="1" s="1"/>
  <c r="AB562" i="1" s="1"/>
  <c r="Y579" i="1"/>
  <c r="AM3" i="1"/>
  <c r="Y93" i="1"/>
  <c r="Z93" i="1" s="1"/>
  <c r="Y108" i="1"/>
  <c r="Z108" i="1" s="1"/>
  <c r="AA108" i="1" s="1"/>
  <c r="AB108" i="1" s="1"/>
  <c r="Y115" i="1"/>
  <c r="Y119" i="1"/>
  <c r="Z119" i="1" s="1"/>
  <c r="AA119" i="1" s="1"/>
  <c r="AB119" i="1" s="1"/>
  <c r="Y121" i="1"/>
  <c r="Y136" i="1"/>
  <c r="Y163" i="1"/>
  <c r="Y179" i="1"/>
  <c r="Y276" i="1"/>
  <c r="Y299" i="1"/>
  <c r="Z299" i="1" s="1"/>
  <c r="AA299" i="1" s="1"/>
  <c r="AB299" i="1" s="1"/>
  <c r="Y323" i="1"/>
  <c r="Z323" i="1" s="1"/>
  <c r="AA323" i="1" s="1"/>
  <c r="AB323" i="1" s="1"/>
  <c r="Y384" i="1"/>
  <c r="Y409" i="1"/>
  <c r="Y421" i="1"/>
  <c r="Y489" i="1"/>
  <c r="Y567" i="1"/>
  <c r="Y573" i="1"/>
  <c r="Y581" i="1"/>
  <c r="Z581" i="1" s="1"/>
  <c r="AA581" i="1" s="1"/>
  <c r="AB581" i="1" s="1"/>
  <c r="Y589" i="1"/>
  <c r="Y597" i="1"/>
  <c r="Z597" i="1" s="1"/>
  <c r="AA597" i="1" s="1"/>
  <c r="AB597" i="1" s="1"/>
  <c r="Y605" i="1"/>
  <c r="Y613" i="1"/>
  <c r="Y621" i="1"/>
  <c r="Y629" i="1"/>
  <c r="Y637" i="1"/>
  <c r="Z637" i="1" s="1"/>
  <c r="AA637" i="1" s="1"/>
  <c r="AB637" i="1" s="1"/>
  <c r="Y657" i="1"/>
  <c r="Y699" i="1"/>
  <c r="Z699" i="1" s="1"/>
  <c r="AA699" i="1" s="1"/>
  <c r="AB699" i="1" s="1"/>
  <c r="Y709" i="1"/>
  <c r="Y769" i="1"/>
  <c r="Z769" i="1" s="1"/>
  <c r="AA769" i="1" s="1"/>
  <c r="AB769" i="1" s="1"/>
  <c r="Y750" i="1"/>
  <c r="Y756" i="1"/>
  <c r="Y764" i="1"/>
  <c r="Y716" i="1"/>
  <c r="Y639" i="1"/>
  <c r="Z639" i="1" s="1"/>
  <c r="AA639" i="1" s="1"/>
  <c r="AB639" i="1" s="1"/>
  <c r="Y647" i="1"/>
  <c r="Z647" i="1" s="1"/>
  <c r="AA647" i="1" s="1"/>
  <c r="AB647" i="1" s="1"/>
  <c r="Y655" i="1"/>
  <c r="Z655" i="1" s="1"/>
  <c r="AA655" i="1" s="1"/>
  <c r="AB655" i="1" s="1"/>
  <c r="Y669" i="1"/>
  <c r="Z669" i="1" s="1"/>
  <c r="AA669" i="1" s="1"/>
  <c r="AB669" i="1" s="1"/>
  <c r="Y675" i="1"/>
  <c r="Z675" i="1" s="1"/>
  <c r="AA675" i="1" s="1"/>
  <c r="AB675" i="1" s="1"/>
  <c r="Y685" i="1"/>
  <c r="Y691" i="1"/>
  <c r="Y760" i="1"/>
  <c r="Y712" i="1"/>
  <c r="Y667" i="1"/>
  <c r="Y677" i="1"/>
  <c r="Z677" i="1" s="1"/>
  <c r="AA677" i="1" s="1"/>
  <c r="AB677" i="1" s="1"/>
  <c r="Y683" i="1"/>
  <c r="Y693" i="1"/>
  <c r="Z693" i="1" s="1"/>
  <c r="AA693" i="1" s="1"/>
  <c r="AB693" i="1" s="1"/>
  <c r="Y701" i="1"/>
  <c r="Y707" i="1"/>
  <c r="Y742" i="1"/>
  <c r="Z742" i="1" s="1"/>
  <c r="AA742" i="1" s="1"/>
  <c r="AB742" i="1" s="1"/>
  <c r="Y748" i="1"/>
  <c r="Y758" i="1"/>
  <c r="Y762" i="1"/>
  <c r="Y766" i="1"/>
  <c r="Y714" i="1"/>
  <c r="Y718" i="1"/>
  <c r="Y13" i="1"/>
  <c r="Y7" i="1"/>
  <c r="Y28" i="1"/>
  <c r="Y43" i="1"/>
  <c r="Z43" i="1" s="1"/>
  <c r="AA43" i="1" s="1"/>
  <c r="AB43" i="1" s="1"/>
  <c r="Y113" i="1"/>
  <c r="Z113" i="1" s="1"/>
  <c r="Y117" i="1"/>
  <c r="Z117" i="1" s="1"/>
  <c r="AA117" i="1" s="1"/>
  <c r="AB117" i="1" s="1"/>
  <c r="Y118" i="1"/>
  <c r="Z118" i="1" s="1"/>
  <c r="AM239" i="1"/>
  <c r="Y239" i="1"/>
  <c r="Y241" i="1"/>
  <c r="Y344" i="1"/>
  <c r="Y376" i="1"/>
  <c r="Z376" i="1" s="1"/>
  <c r="AA376" i="1" s="1"/>
  <c r="AB376" i="1" s="1"/>
  <c r="Y417" i="1"/>
  <c r="Z417" i="1" s="1"/>
  <c r="AM152" i="1"/>
  <c r="AM154" i="1"/>
  <c r="Y248" i="1"/>
  <c r="Z248" i="1" s="1"/>
  <c r="AA248" i="1" s="1"/>
  <c r="AB248" i="1" s="1"/>
  <c r="Y169" i="1"/>
  <c r="Y186" i="1"/>
  <c r="Y196" i="1"/>
  <c r="Y197" i="1"/>
  <c r="Z197" i="1" s="1"/>
  <c r="Y201" i="1"/>
  <c r="Z201" i="1" s="1"/>
  <c r="AA201" i="1" s="1"/>
  <c r="AB201" i="1" s="1"/>
  <c r="Y217" i="1"/>
  <c r="Y221" i="1"/>
  <c r="Z221" i="1" s="1"/>
  <c r="AA221" i="1" s="1"/>
  <c r="AB221" i="1" s="1"/>
  <c r="Y232" i="1"/>
  <c r="Y233" i="1"/>
  <c r="Y292" i="1"/>
  <c r="Y311" i="1"/>
  <c r="Y325" i="1"/>
  <c r="Z325" i="1" s="1"/>
  <c r="AA325" i="1" s="1"/>
  <c r="AB325" i="1" s="1"/>
  <c r="Y328" i="1"/>
  <c r="AM401" i="1"/>
  <c r="Y401" i="1"/>
  <c r="AM403" i="1"/>
  <c r="Y403" i="1"/>
  <c r="AM405" i="1"/>
  <c r="Y405" i="1"/>
  <c r="AM407" i="1"/>
  <c r="Y407" i="1"/>
  <c r="AM410" i="1"/>
  <c r="AM432" i="1"/>
  <c r="Y432" i="1"/>
  <c r="AM434" i="1"/>
  <c r="Y434" i="1"/>
  <c r="Z434" i="1" s="1"/>
  <c r="AA434" i="1" s="1"/>
  <c r="AB434" i="1" s="1"/>
  <c r="Y252" i="1"/>
  <c r="Y671" i="1"/>
  <c r="Y687" i="1"/>
  <c r="Y697" i="1"/>
  <c r="Y767" i="1"/>
  <c r="Y754" i="1"/>
  <c r="Y338" i="1"/>
  <c r="AM347" i="1"/>
  <c r="Y347" i="1"/>
  <c r="Y349" i="1"/>
  <c r="AM361" i="1"/>
  <c r="Y361" i="1"/>
  <c r="AM363" i="1"/>
  <c r="Y363" i="1"/>
  <c r="AM365" i="1"/>
  <c r="Y365" i="1"/>
  <c r="AM367" i="1"/>
  <c r="Y367" i="1"/>
  <c r="Z367" i="1" s="1"/>
  <c r="AA367" i="1" s="1"/>
  <c r="AB367" i="1" s="1"/>
  <c r="Y369" i="1"/>
  <c r="AM371" i="1"/>
  <c r="Y379" i="1"/>
  <c r="AM381" i="1"/>
  <c r="Y381" i="1"/>
  <c r="AM383" i="1"/>
  <c r="Y383" i="1"/>
  <c r="Z383" i="1" s="1"/>
  <c r="AA383" i="1" s="1"/>
  <c r="AB383" i="1" s="1"/>
  <c r="AM385" i="1"/>
  <c r="Y398" i="1"/>
  <c r="AM420" i="1"/>
  <c r="Y420" i="1"/>
  <c r="AM422" i="1"/>
  <c r="Y429" i="1"/>
  <c r="Y663" i="1"/>
  <c r="Y679" i="1"/>
  <c r="Z679" i="1" s="1"/>
  <c r="Y695" i="1"/>
  <c r="Y705" i="1"/>
  <c r="Y746" i="1"/>
  <c r="Y643" i="1"/>
  <c r="Y645" i="1"/>
  <c r="Y651" i="1"/>
  <c r="Z651" i="1" s="1"/>
  <c r="AA651" i="1" s="1"/>
  <c r="AB651" i="1" s="1"/>
  <c r="Y653" i="1"/>
  <c r="Y659" i="1"/>
  <c r="Z659" i="1" s="1"/>
  <c r="AA659" i="1" s="1"/>
  <c r="AB659" i="1" s="1"/>
  <c r="Y661" i="1"/>
  <c r="Y703" i="1"/>
  <c r="Y740" i="1"/>
  <c r="Y744" i="1"/>
  <c r="Y752" i="1"/>
  <c r="Y462" i="1"/>
  <c r="Y493" i="1"/>
  <c r="Y519" i="1"/>
  <c r="Z519" i="1" s="1"/>
  <c r="Y530" i="1"/>
  <c r="Y554" i="1"/>
  <c r="Z554" i="1" s="1"/>
  <c r="Y560" i="1"/>
  <c r="Y569" i="1"/>
  <c r="Z569" i="1" s="1"/>
  <c r="Y575" i="1"/>
  <c r="Y577" i="1"/>
  <c r="Z577" i="1" s="1"/>
  <c r="Y583" i="1"/>
  <c r="Y585" i="1"/>
  <c r="Z585" i="1" s="1"/>
  <c r="Y591" i="1"/>
  <c r="Y593" i="1"/>
  <c r="Z593" i="1" s="1"/>
  <c r="Y599" i="1"/>
  <c r="Y601" i="1"/>
  <c r="Y607" i="1"/>
  <c r="Y609" i="1"/>
  <c r="Y615" i="1"/>
  <c r="Y617" i="1"/>
  <c r="Y623" i="1"/>
  <c r="Y625" i="1"/>
  <c r="Y631" i="1"/>
  <c r="Y633" i="1"/>
  <c r="Z633" i="1" s="1"/>
  <c r="Y665" i="1"/>
  <c r="Y673" i="1"/>
  <c r="Z673" i="1" s="1"/>
  <c r="Y681" i="1"/>
  <c r="Y689" i="1"/>
  <c r="AM566" i="1"/>
  <c r="E1" i="4"/>
  <c r="B51" i="4" s="1"/>
  <c r="Y564" i="1"/>
  <c r="E1" i="6"/>
  <c r="B8" i="6" s="1"/>
  <c r="H8" i="6" s="1"/>
  <c r="D1" i="5"/>
  <c r="E1" i="5" s="1"/>
  <c r="B49" i="5" s="1"/>
  <c r="AD594" i="1"/>
  <c r="AD682" i="1"/>
  <c r="AD690" i="1"/>
  <c r="AD18" i="1"/>
  <c r="AD584" i="1"/>
  <c r="AG590" i="1"/>
  <c r="AD590" i="1"/>
  <c r="AG598" i="1"/>
  <c r="AD598" i="1"/>
  <c r="AG606" i="1"/>
  <c r="AD606" i="1"/>
  <c r="AG613" i="1"/>
  <c r="AG621" i="1"/>
  <c r="AG629" i="1"/>
  <c r="AD640" i="1"/>
  <c r="AG646" i="1"/>
  <c r="AD646" i="1"/>
  <c r="AG653" i="1"/>
  <c r="AD696" i="1"/>
  <c r="AG710" i="1"/>
  <c r="AD710" i="1"/>
  <c r="AD741" i="1"/>
  <c r="AD440" i="1"/>
  <c r="AD572" i="1"/>
  <c r="AD604" i="1"/>
  <c r="AG609" i="1"/>
  <c r="AG617" i="1"/>
  <c r="AG625" i="1"/>
  <c r="AG665" i="1"/>
  <c r="AD676" i="1"/>
  <c r="AG705" i="1"/>
  <c r="AD770" i="1"/>
  <c r="AD749" i="1"/>
  <c r="Y198" i="1"/>
  <c r="Z198" i="1" s="1"/>
  <c r="Y203" i="1"/>
  <c r="Z203" i="1" s="1"/>
  <c r="Y254" i="1"/>
  <c r="Z254" i="1" s="1"/>
  <c r="Y258" i="1"/>
  <c r="Z258" i="1" s="1"/>
  <c r="Y225" i="1"/>
  <c r="Z225" i="1" s="1"/>
  <c r="Y181" i="1"/>
  <c r="Z181" i="1" s="1"/>
  <c r="AA181" i="1" s="1"/>
  <c r="AB181" i="1" s="1"/>
  <c r="Y200" i="1"/>
  <c r="Y227" i="1"/>
  <c r="Z227" i="1" s="1"/>
  <c r="Y260" i="1"/>
  <c r="Z260" i="1" s="1"/>
  <c r="Y566" i="1"/>
  <c r="Y574" i="1"/>
  <c r="Y582" i="1"/>
  <c r="Y590" i="1"/>
  <c r="Y598" i="1"/>
  <c r="Y606" i="1"/>
  <c r="Y614" i="1"/>
  <c r="Y622" i="1"/>
  <c r="Y630" i="1"/>
  <c r="Y638" i="1"/>
  <c r="Y646" i="1"/>
  <c r="Y654" i="1"/>
  <c r="Y662" i="1"/>
  <c r="Y670" i="1"/>
  <c r="Y678" i="1"/>
  <c r="Y686" i="1"/>
  <c r="Y694" i="1"/>
  <c r="Y702" i="1"/>
  <c r="Y710" i="1"/>
  <c r="Y743" i="1"/>
  <c r="Y751" i="1"/>
  <c r="Y207" i="1"/>
  <c r="Y270" i="1"/>
  <c r="Z270" i="1" s="1"/>
  <c r="AA270" i="1" s="1"/>
  <c r="AB270" i="1" s="1"/>
  <c r="AM326" i="1"/>
  <c r="Y4" i="1"/>
  <c r="Z4" i="1" s="1"/>
  <c r="AA4" i="1" s="1"/>
  <c r="AB4" i="1" s="1"/>
  <c r="Z11" i="1"/>
  <c r="AA11" i="1" s="1"/>
  <c r="AB11" i="1" s="1"/>
  <c r="Z13" i="1"/>
  <c r="Y14" i="1"/>
  <c r="Y18" i="1"/>
  <c r="AC18" i="1"/>
  <c r="Y20" i="1"/>
  <c r="Z20" i="1" s="1"/>
  <c r="AA20" i="1" s="1"/>
  <c r="AB20" i="1" s="1"/>
  <c r="Y47" i="1"/>
  <c r="Y59" i="1"/>
  <c r="Y63" i="1"/>
  <c r="Y65" i="1"/>
  <c r="Y71" i="1"/>
  <c r="Z82" i="1"/>
  <c r="AA82" i="1" s="1"/>
  <c r="AB82" i="1" s="1"/>
  <c r="Y83" i="1"/>
  <c r="Y87" i="1"/>
  <c r="Z87" i="1" s="1"/>
  <c r="Z88" i="1"/>
  <c r="AA88" i="1" s="1"/>
  <c r="AB88" i="1" s="1"/>
  <c r="Z90" i="1"/>
  <c r="AA90" i="1" s="1"/>
  <c r="AB90" i="1" s="1"/>
  <c r="Z94" i="1"/>
  <c r="AA94" i="1" s="1"/>
  <c r="AB94" i="1" s="1"/>
  <c r="Y23" i="1"/>
  <c r="Z26" i="1"/>
  <c r="AA26" i="1" s="1"/>
  <c r="AB26" i="1" s="1"/>
  <c r="Y31" i="1"/>
  <c r="Z34" i="1"/>
  <c r="AA34" i="1" s="1"/>
  <c r="AB34" i="1" s="1"/>
  <c r="Z38" i="1"/>
  <c r="AA38" i="1" s="1"/>
  <c r="AB38" i="1" s="1"/>
  <c r="Z40" i="1"/>
  <c r="AA40" i="1" s="1"/>
  <c r="AB40" i="1" s="1"/>
  <c r="Y95" i="1"/>
  <c r="Z98" i="1"/>
  <c r="AA98" i="1" s="1"/>
  <c r="AB98" i="1" s="1"/>
  <c r="Y101" i="1"/>
  <c r="Z101" i="1" s="1"/>
  <c r="AA101" i="1" s="1"/>
  <c r="AB101" i="1" s="1"/>
  <c r="Y103" i="1"/>
  <c r="Z104" i="1"/>
  <c r="AA104" i="1" s="1"/>
  <c r="AB104" i="1" s="1"/>
  <c r="Y107" i="1"/>
  <c r="Y114" i="1"/>
  <c r="Z114" i="1" s="1"/>
  <c r="AA114" i="1" s="1"/>
  <c r="AB114" i="1" s="1"/>
  <c r="Z115" i="1"/>
  <c r="AA115" i="1" s="1"/>
  <c r="AB115" i="1" s="1"/>
  <c r="Y120" i="1"/>
  <c r="Z120" i="1" s="1"/>
  <c r="AA120" i="1" s="1"/>
  <c r="AB120" i="1" s="1"/>
  <c r="Z121" i="1"/>
  <c r="AA121" i="1" s="1"/>
  <c r="AB121" i="1" s="1"/>
  <c r="Y122" i="1"/>
  <c r="Y124" i="1"/>
  <c r="Y126" i="1"/>
  <c r="Y128" i="1"/>
  <c r="Y130" i="1"/>
  <c r="Z133" i="1"/>
  <c r="AA133" i="1" s="1"/>
  <c r="AB133" i="1" s="1"/>
  <c r="Z139" i="1"/>
  <c r="AA139" i="1" s="1"/>
  <c r="AB139" i="1" s="1"/>
  <c r="Z143" i="1"/>
  <c r="AA143" i="1" s="1"/>
  <c r="AB143" i="1" s="1"/>
  <c r="Y146" i="1"/>
  <c r="Y148" i="1"/>
  <c r="Z149" i="1"/>
  <c r="AA149" i="1" s="1"/>
  <c r="AB149" i="1" s="1"/>
  <c r="Y150" i="1"/>
  <c r="Z151" i="1"/>
  <c r="AA151" i="1" s="1"/>
  <c r="AB151" i="1" s="1"/>
  <c r="Y152" i="1"/>
  <c r="Z152" i="1" s="1"/>
  <c r="AA152" i="1" s="1"/>
  <c r="AB152" i="1" s="1"/>
  <c r="Y154" i="1"/>
  <c r="Y156" i="1"/>
  <c r="Z157" i="1"/>
  <c r="AA157" i="1" s="1"/>
  <c r="AB157" i="1" s="1"/>
  <c r="Z242" i="1"/>
  <c r="Y243" i="1"/>
  <c r="Z244" i="1"/>
  <c r="AA244" i="1" s="1"/>
  <c r="AB244" i="1" s="1"/>
  <c r="Y245" i="1"/>
  <c r="Y247" i="1"/>
  <c r="Z160" i="1"/>
  <c r="AA160" i="1" s="1"/>
  <c r="AB160" i="1" s="1"/>
  <c r="Z164" i="1"/>
  <c r="AA164" i="1" s="1"/>
  <c r="AB164" i="1" s="1"/>
  <c r="Y167" i="1"/>
  <c r="Z167" i="1" s="1"/>
  <c r="Y171" i="1"/>
  <c r="Z200" i="1"/>
  <c r="AA200" i="1" s="1"/>
  <c r="AB200" i="1" s="1"/>
  <c r="Z207" i="1"/>
  <c r="AA207" i="1" s="1"/>
  <c r="AB207" i="1" s="1"/>
  <c r="AM211" i="1"/>
  <c r="AM215" i="1"/>
  <c r="AM224" i="1"/>
  <c r="Y570" i="1"/>
  <c r="Z570" i="1" s="1"/>
  <c r="AA570" i="1" s="1"/>
  <c r="AB570" i="1" s="1"/>
  <c r="Y578" i="1"/>
  <c r="Z578" i="1" s="1"/>
  <c r="AA578" i="1" s="1"/>
  <c r="AB578" i="1" s="1"/>
  <c r="Y586" i="1"/>
  <c r="Z586" i="1" s="1"/>
  <c r="AA586" i="1" s="1"/>
  <c r="AB586" i="1" s="1"/>
  <c r="Y594" i="1"/>
  <c r="Z594" i="1"/>
  <c r="AA594" i="1" s="1"/>
  <c r="AB594" i="1" s="1"/>
  <c r="Y602" i="1"/>
  <c r="Z602" i="1" s="1"/>
  <c r="AA602" i="1" s="1"/>
  <c r="AB602" i="1" s="1"/>
  <c r="Y610" i="1"/>
  <c r="Z610" i="1" s="1"/>
  <c r="AA610" i="1" s="1"/>
  <c r="AB610" i="1" s="1"/>
  <c r="Y618" i="1"/>
  <c r="Z618" i="1" s="1"/>
  <c r="AA618" i="1" s="1"/>
  <c r="AB618" i="1" s="1"/>
  <c r="Y626" i="1"/>
  <c r="Z626" i="1" s="1"/>
  <c r="AA626" i="1" s="1"/>
  <c r="AB626" i="1" s="1"/>
  <c r="Y634" i="1"/>
  <c r="Z634" i="1" s="1"/>
  <c r="AA634" i="1" s="1"/>
  <c r="AB634" i="1" s="1"/>
  <c r="Y642" i="1"/>
  <c r="Z642" i="1" s="1"/>
  <c r="AA642" i="1" s="1"/>
  <c r="AB642" i="1" s="1"/>
  <c r="Y650" i="1"/>
  <c r="Z650" i="1" s="1"/>
  <c r="AA650" i="1" s="1"/>
  <c r="AB650" i="1" s="1"/>
  <c r="Y658" i="1"/>
  <c r="Z658" i="1" s="1"/>
  <c r="AA658" i="1" s="1"/>
  <c r="AB658" i="1" s="1"/>
  <c r="Y666" i="1"/>
  <c r="Z666" i="1" s="1"/>
  <c r="AA666" i="1" s="1"/>
  <c r="AB666" i="1" s="1"/>
  <c r="Y674" i="1"/>
  <c r="Z674" i="1" s="1"/>
  <c r="AA674" i="1" s="1"/>
  <c r="AB674" i="1" s="1"/>
  <c r="Y682" i="1"/>
  <c r="Z682" i="1"/>
  <c r="AA682" i="1" s="1"/>
  <c r="AB682" i="1" s="1"/>
  <c r="Y690" i="1"/>
  <c r="Z690" i="1"/>
  <c r="AA690" i="1" s="1"/>
  <c r="AB690" i="1" s="1"/>
  <c r="Y698" i="1"/>
  <c r="Z698" i="1" s="1"/>
  <c r="AA698" i="1" s="1"/>
  <c r="AB698" i="1" s="1"/>
  <c r="Y706" i="1"/>
  <c r="Z706" i="1" s="1"/>
  <c r="AA706" i="1" s="1"/>
  <c r="AB706" i="1" s="1"/>
  <c r="Y768" i="1"/>
  <c r="Z768" i="1" s="1"/>
  <c r="AA768" i="1" s="1"/>
  <c r="AB768" i="1" s="1"/>
  <c r="Y747" i="1"/>
  <c r="Z747" i="1" s="1"/>
  <c r="AA747" i="1" s="1"/>
  <c r="AB747" i="1" s="1"/>
  <c r="Y755" i="1"/>
  <c r="Z755" i="1" s="1"/>
  <c r="AA755" i="1" s="1"/>
  <c r="AB755" i="1" s="1"/>
  <c r="Z176" i="1"/>
  <c r="AA176" i="1" s="1"/>
  <c r="AB176" i="1" s="1"/>
  <c r="Z180" i="1"/>
  <c r="AA180" i="1" s="1"/>
  <c r="AB180" i="1" s="1"/>
  <c r="Z186" i="1"/>
  <c r="AA186" i="1" s="1"/>
  <c r="AB186" i="1" s="1"/>
  <c r="Z196" i="1"/>
  <c r="AA196" i="1" s="1"/>
  <c r="AB196" i="1" s="1"/>
  <c r="Z206" i="1"/>
  <c r="AA206" i="1" s="1"/>
  <c r="AB206" i="1" s="1"/>
  <c r="Z217" i="1"/>
  <c r="AA217" i="1" s="1"/>
  <c r="Z223" i="1"/>
  <c r="AA223" i="1" s="1"/>
  <c r="AB223" i="1" s="1"/>
  <c r="Z226" i="1"/>
  <c r="AA226" i="1" s="1"/>
  <c r="AB226" i="1" s="1"/>
  <c r="Z253" i="1"/>
  <c r="AA253" i="1" s="1"/>
  <c r="AB253" i="1" s="1"/>
  <c r="Z275" i="1"/>
  <c r="AA275" i="1" s="1"/>
  <c r="AB275" i="1" s="1"/>
  <c r="Y288" i="1"/>
  <c r="Z288" i="1" s="1"/>
  <c r="Y290" i="1"/>
  <c r="Z290" i="1" s="1"/>
  <c r="Z297" i="1"/>
  <c r="AA297" i="1" s="1"/>
  <c r="AB297" i="1" s="1"/>
  <c r="Z301" i="1"/>
  <c r="AA301" i="1" s="1"/>
  <c r="AB301" i="1" s="1"/>
  <c r="Y302" i="1"/>
  <c r="Z302" i="1" s="1"/>
  <c r="AA302" i="1" s="1"/>
  <c r="AB302" i="1" s="1"/>
  <c r="Y304" i="1"/>
  <c r="Z304" i="1" s="1"/>
  <c r="Z309" i="1"/>
  <c r="AA309" i="1" s="1"/>
  <c r="AB309" i="1" s="1"/>
  <c r="Y310" i="1"/>
  <c r="Z310" i="1" s="1"/>
  <c r="AA310" i="1" s="1"/>
  <c r="AB310" i="1" s="1"/>
  <c r="Z311" i="1"/>
  <c r="AA311" i="1" s="1"/>
  <c r="AB311" i="1" s="1"/>
  <c r="AD311" i="1"/>
  <c r="Y312" i="1"/>
  <c r="Z312" i="1" s="1"/>
  <c r="AA312" i="1" s="1"/>
  <c r="AB312" i="1" s="1"/>
  <c r="Z313" i="1"/>
  <c r="AA313" i="1" s="1"/>
  <c r="AB313" i="1" s="1"/>
  <c r="Y314" i="1"/>
  <c r="Z314" i="1" s="1"/>
  <c r="Z315" i="1"/>
  <c r="AA315" i="1" s="1"/>
  <c r="AB315" i="1" s="1"/>
  <c r="Z317" i="1"/>
  <c r="AA317" i="1" s="1"/>
  <c r="AB317" i="1" s="1"/>
  <c r="Y318" i="1"/>
  <c r="Z319" i="1"/>
  <c r="AA319" i="1" s="1"/>
  <c r="AB319" i="1" s="1"/>
  <c r="Y320" i="1"/>
  <c r="Z321" i="1"/>
  <c r="AA321" i="1" s="1"/>
  <c r="AB321" i="1" s="1"/>
  <c r="Y322" i="1"/>
  <c r="Y324" i="1"/>
  <c r="Z324" i="1" s="1"/>
  <c r="Y327" i="1"/>
  <c r="Z327" i="1" s="1"/>
  <c r="Z328" i="1"/>
  <c r="AA328" i="1" s="1"/>
  <c r="AB328" i="1" s="1"/>
  <c r="Y329" i="1"/>
  <c r="Z329" i="1" s="1"/>
  <c r="Z330" i="1"/>
  <c r="AA330" i="1" s="1"/>
  <c r="AB330" i="1" s="1"/>
  <c r="Y331" i="1"/>
  <c r="Z331" i="1" s="1"/>
  <c r="Z332" i="1"/>
  <c r="AA332" i="1" s="1"/>
  <c r="AB332" i="1" s="1"/>
  <c r="Y333" i="1"/>
  <c r="Z333" i="1" s="1"/>
  <c r="Z334" i="1"/>
  <c r="AA334" i="1" s="1"/>
  <c r="AB334" i="1" s="1"/>
  <c r="Y335" i="1"/>
  <c r="Z335" i="1" s="1"/>
  <c r="AA335" i="1" s="1"/>
  <c r="AB335" i="1" s="1"/>
  <c r="Z336" i="1"/>
  <c r="AA336" i="1" s="1"/>
  <c r="AB336" i="1" s="1"/>
  <c r="Y337" i="1"/>
  <c r="Z337" i="1" s="1"/>
  <c r="Z338" i="1"/>
  <c r="Y339" i="1"/>
  <c r="Y341" i="1"/>
  <c r="Z341" i="1" s="1"/>
  <c r="AA341" i="1" s="1"/>
  <c r="AB341" i="1" s="1"/>
  <c r="Z344" i="1"/>
  <c r="AD344" i="1"/>
  <c r="Y345" i="1"/>
  <c r="Z346" i="1"/>
  <c r="AA346" i="1" s="1"/>
  <c r="AB346" i="1" s="1"/>
  <c r="Z348" i="1"/>
  <c r="AA348" i="1" s="1"/>
  <c r="AB348" i="1" s="1"/>
  <c r="Z350" i="1"/>
  <c r="AA350" i="1" s="1"/>
  <c r="AB350" i="1" s="1"/>
  <c r="Y351" i="1"/>
  <c r="Z352" i="1"/>
  <c r="AA352" i="1" s="1"/>
  <c r="AB352" i="1" s="1"/>
  <c r="Y353" i="1"/>
  <c r="Y355" i="1"/>
  <c r="Z355" i="1" s="1"/>
  <c r="Z356" i="1"/>
  <c r="AA356" i="1" s="1"/>
  <c r="AB356" i="1" s="1"/>
  <c r="Y357" i="1"/>
  <c r="Z357" i="1" s="1"/>
  <c r="AA357" i="1" s="1"/>
  <c r="AB357" i="1" s="1"/>
  <c r="Z358" i="1"/>
  <c r="AA358" i="1" s="1"/>
  <c r="AB358" i="1" s="1"/>
  <c r="Y359" i="1"/>
  <c r="Z359" i="1" s="1"/>
  <c r="Z362" i="1"/>
  <c r="AA362" i="1" s="1"/>
  <c r="AB362" i="1" s="1"/>
  <c r="Z366" i="1"/>
  <c r="AA366" i="1" s="1"/>
  <c r="AB366" i="1" s="1"/>
  <c r="Z370" i="1"/>
  <c r="AA370" i="1" s="1"/>
  <c r="AB370" i="1" s="1"/>
  <c r="Y371" i="1"/>
  <c r="Z372" i="1"/>
  <c r="AA372" i="1" s="1"/>
  <c r="AB372" i="1" s="1"/>
  <c r="Z374" i="1"/>
  <c r="AA374" i="1" s="1"/>
  <c r="AB374" i="1" s="1"/>
  <c r="Y377" i="1"/>
  <c r="Z378" i="1"/>
  <c r="AA378" i="1" s="1"/>
  <c r="AB378" i="1" s="1"/>
  <c r="Z380" i="1"/>
  <c r="AA380" i="1" s="1"/>
  <c r="AB380" i="1" s="1"/>
  <c r="Z382" i="1"/>
  <c r="AA382" i="1" s="1"/>
  <c r="AB382" i="1" s="1"/>
  <c r="Z384" i="1"/>
  <c r="AA384" i="1" s="1"/>
  <c r="AB384" i="1" s="1"/>
  <c r="AD384" i="1"/>
  <c r="Y385" i="1"/>
  <c r="Z385" i="1" s="1"/>
  <c r="AA385" i="1" s="1"/>
  <c r="AB385" i="1" s="1"/>
  <c r="Z386" i="1"/>
  <c r="AA386" i="1" s="1"/>
  <c r="AB386" i="1" s="1"/>
  <c r="Z388" i="1"/>
  <c r="AA388" i="1" s="1"/>
  <c r="AB388" i="1" s="1"/>
  <c r="Y389" i="1"/>
  <c r="Z389" i="1" s="1"/>
  <c r="AA389" i="1" s="1"/>
  <c r="AB389" i="1" s="1"/>
  <c r="Z390" i="1"/>
  <c r="AA390" i="1" s="1"/>
  <c r="AB390" i="1" s="1"/>
  <c r="Z392" i="1"/>
  <c r="AA392" i="1" s="1"/>
  <c r="AB392" i="1" s="1"/>
  <c r="Y393" i="1"/>
  <c r="Z393" i="1" s="1"/>
  <c r="AA393" i="1" s="1"/>
  <c r="AB393" i="1" s="1"/>
  <c r="Z394" i="1"/>
  <c r="AA394" i="1" s="1"/>
  <c r="AB394" i="1" s="1"/>
  <c r="Y395" i="1"/>
  <c r="Z396" i="1"/>
  <c r="AA396" i="1" s="1"/>
  <c r="AB396" i="1" s="1"/>
  <c r="Z398" i="1"/>
  <c r="Z400" i="1"/>
  <c r="AA400" i="1" s="1"/>
  <c r="AB400" i="1" s="1"/>
  <c r="Z402" i="1"/>
  <c r="AA402" i="1" s="1"/>
  <c r="AB402" i="1" s="1"/>
  <c r="Z404" i="1"/>
  <c r="AA404" i="1" s="1"/>
  <c r="AB404" i="1" s="1"/>
  <c r="Z406" i="1"/>
  <c r="AA406" i="1" s="1"/>
  <c r="AB406" i="1" s="1"/>
  <c r="Z408" i="1"/>
  <c r="AA408" i="1" s="1"/>
  <c r="AB408" i="1" s="1"/>
  <c r="Z409" i="1"/>
  <c r="AA409" i="1" s="1"/>
  <c r="AB409" i="1" s="1"/>
  <c r="AD409" i="1"/>
  <c r="Y410" i="1"/>
  <c r="Z411" i="1"/>
  <c r="AA411" i="1" s="1"/>
  <c r="AB411" i="1" s="1"/>
  <c r="Z413" i="1"/>
  <c r="AA413" i="1" s="1"/>
  <c r="AB413" i="1" s="1"/>
  <c r="Z415" i="1"/>
  <c r="AA415" i="1" s="1"/>
  <c r="AB415" i="1" s="1"/>
  <c r="Y418" i="1"/>
  <c r="Z418" i="1" s="1"/>
  <c r="AA418" i="1" s="1"/>
  <c r="AB418" i="1" s="1"/>
  <c r="Z419" i="1"/>
  <c r="AA419" i="1" s="1"/>
  <c r="AB419" i="1" s="1"/>
  <c r="Z421" i="1"/>
  <c r="AA421" i="1" s="1"/>
  <c r="AB421" i="1" s="1"/>
  <c r="Y422" i="1"/>
  <c r="Z423" i="1"/>
  <c r="AA423" i="1" s="1"/>
  <c r="AB423" i="1" s="1"/>
  <c r="Z425" i="1"/>
  <c r="AA425" i="1" s="1"/>
  <c r="AB425" i="1" s="1"/>
  <c r="Y426" i="1"/>
  <c r="Z427" i="1"/>
  <c r="AA427" i="1" s="1"/>
  <c r="AB427" i="1" s="1"/>
  <c r="Z429" i="1"/>
  <c r="Z431" i="1"/>
  <c r="AA431" i="1" s="1"/>
  <c r="AB431" i="1" s="1"/>
  <c r="Z433" i="1"/>
  <c r="AA433" i="1" s="1"/>
  <c r="AB433" i="1" s="1"/>
  <c r="Z435" i="1"/>
  <c r="AA435" i="1" s="1"/>
  <c r="AB435" i="1" s="1"/>
  <c r="AD435" i="1"/>
  <c r="Y438" i="1"/>
  <c r="Z438" i="1" s="1"/>
  <c r="Z439" i="1"/>
  <c r="AA439" i="1" s="1"/>
  <c r="AB439" i="1" s="1"/>
  <c r="Y440" i="1"/>
  <c r="AA440" i="1" s="1"/>
  <c r="AB440" i="1" s="1"/>
  <c r="AC440" i="1"/>
  <c r="Z441" i="1"/>
  <c r="AA441" i="1" s="1"/>
  <c r="AB441" i="1" s="1"/>
  <c r="Y442" i="1"/>
  <c r="Z442" i="1" s="1"/>
  <c r="Z445" i="1"/>
  <c r="AA445" i="1" s="1"/>
  <c r="AB445" i="1" s="1"/>
  <c r="Z447" i="1"/>
  <c r="AA447" i="1" s="1"/>
  <c r="AB447" i="1" s="1"/>
  <c r="Z449" i="1"/>
  <c r="AA449" i="1" s="1"/>
  <c r="AB449" i="1" s="1"/>
  <c r="Y450" i="1"/>
  <c r="Y451" i="1"/>
  <c r="Z451" i="1" s="1"/>
  <c r="AA451" i="1" s="1"/>
  <c r="AB451" i="1" s="1"/>
  <c r="Y452" i="1"/>
  <c r="Z452" i="1" s="1"/>
  <c r="Y453" i="1"/>
  <c r="Z453" i="1" s="1"/>
  <c r="AA453" i="1" s="1"/>
  <c r="AB453" i="1" s="1"/>
  <c r="Y454" i="1"/>
  <c r="Z454" i="1" s="1"/>
  <c r="AA454" i="1" s="1"/>
  <c r="AB454" i="1" s="1"/>
  <c r="Y455" i="1"/>
  <c r="Z455" i="1" s="1"/>
  <c r="AA455" i="1" s="1"/>
  <c r="AB455" i="1" s="1"/>
  <c r="Y456" i="1"/>
  <c r="Z456" i="1" s="1"/>
  <c r="Y457" i="1"/>
  <c r="Z457" i="1" s="1"/>
  <c r="AA457" i="1" s="1"/>
  <c r="AB457" i="1" s="1"/>
  <c r="Y458" i="1"/>
  <c r="Z458" i="1" s="1"/>
  <c r="AA458" i="1" s="1"/>
  <c r="AB458" i="1" s="1"/>
  <c r="Y459" i="1"/>
  <c r="Y460" i="1"/>
  <c r="Z460" i="1" s="1"/>
  <c r="Y461" i="1"/>
  <c r="Z461" i="1" s="1"/>
  <c r="Z462" i="1"/>
  <c r="Z463" i="1"/>
  <c r="AA463" i="1" s="1"/>
  <c r="AB463" i="1" s="1"/>
  <c r="Z464" i="1"/>
  <c r="AA464" i="1" s="1"/>
  <c r="AB464" i="1" s="1"/>
  <c r="Z470" i="1"/>
  <c r="AA470" i="1" s="1"/>
  <c r="AB470" i="1" s="1"/>
  <c r="Z472" i="1"/>
  <c r="AA472" i="1" s="1"/>
  <c r="AB472" i="1" s="1"/>
  <c r="Z476" i="1"/>
  <c r="AA476" i="1" s="1"/>
  <c r="AB476" i="1" s="1"/>
  <c r="Y478" i="1"/>
  <c r="Z478" i="1" s="1"/>
  <c r="AA478" i="1" s="1"/>
  <c r="AB478" i="1" s="1"/>
  <c r="Z479" i="1"/>
  <c r="AA479" i="1" s="1"/>
  <c r="AB479" i="1" s="1"/>
  <c r="Y480" i="1"/>
  <c r="Z480" i="1" s="1"/>
  <c r="AA480" i="1" s="1"/>
  <c r="AB480" i="1" s="1"/>
  <c r="Z481" i="1"/>
  <c r="AA481" i="1" s="1"/>
  <c r="AB481" i="1" s="1"/>
  <c r="Y484" i="1"/>
  <c r="Z485" i="1"/>
  <c r="AA485" i="1" s="1"/>
  <c r="AB485" i="1" s="1"/>
  <c r="Y486" i="1"/>
  <c r="Z486" i="1" s="1"/>
  <c r="Z487" i="1"/>
  <c r="AA487" i="1" s="1"/>
  <c r="AB487" i="1" s="1"/>
  <c r="Y488" i="1"/>
  <c r="Z488" i="1" s="1"/>
  <c r="AA488" i="1" s="1"/>
  <c r="AB488" i="1" s="1"/>
  <c r="Z489" i="1"/>
  <c r="AA489" i="1" s="1"/>
  <c r="AB489" i="1" s="1"/>
  <c r="Y490" i="1"/>
  <c r="Z490" i="1" s="1"/>
  <c r="AA490" i="1" s="1"/>
  <c r="AB490" i="1" s="1"/>
  <c r="Z491" i="1"/>
  <c r="AA491" i="1" s="1"/>
  <c r="AB491" i="1" s="1"/>
  <c r="Z493" i="1"/>
  <c r="Y494" i="1"/>
  <c r="Y496" i="1"/>
  <c r="Z497" i="1"/>
  <c r="AA497" i="1" s="1"/>
  <c r="AB497" i="1" s="1"/>
  <c r="Z499" i="1"/>
  <c r="AA499" i="1" s="1"/>
  <c r="AB499" i="1" s="1"/>
  <c r="Z501" i="1"/>
  <c r="AA501" i="1" s="1"/>
  <c r="AB501" i="1" s="1"/>
  <c r="Z503" i="1"/>
  <c r="AA503" i="1" s="1"/>
  <c r="AB503" i="1" s="1"/>
  <c r="Y504" i="1"/>
  <c r="Z505" i="1"/>
  <c r="AA505" i="1" s="1"/>
  <c r="AB505" i="1" s="1"/>
  <c r="Y506" i="1"/>
  <c r="Z506" i="1" s="1"/>
  <c r="AA506" i="1" s="1"/>
  <c r="AB506" i="1" s="1"/>
  <c r="Z509" i="1"/>
  <c r="AA509" i="1" s="1"/>
  <c r="AB509" i="1" s="1"/>
  <c r="Z511" i="1"/>
  <c r="AA511" i="1" s="1"/>
  <c r="AB511" i="1" s="1"/>
  <c r="Y512" i="1"/>
  <c r="Z512" i="1" s="1"/>
  <c r="AA512" i="1" s="1"/>
  <c r="AB512" i="1" s="1"/>
  <c r="Z513" i="1"/>
  <c r="AA513" i="1" s="1"/>
  <c r="AB513" i="1" s="1"/>
  <c r="Y514" i="1"/>
  <c r="Z514" i="1" s="1"/>
  <c r="AA514" i="1" s="1"/>
  <c r="AB514" i="1" s="1"/>
  <c r="Z515" i="1"/>
  <c r="AA515" i="1" s="1"/>
  <c r="AB515" i="1" s="1"/>
  <c r="Y516" i="1"/>
  <c r="Z516" i="1" s="1"/>
  <c r="AA516" i="1" s="1"/>
  <c r="AB516" i="1" s="1"/>
  <c r="Z517" i="1"/>
  <c r="AA517" i="1" s="1"/>
  <c r="AB517" i="1" s="1"/>
  <c r="Y518" i="1"/>
  <c r="Z518" i="1" s="1"/>
  <c r="AA518" i="1" s="1"/>
  <c r="AB518" i="1" s="1"/>
  <c r="Z521" i="1"/>
  <c r="AA521" i="1" s="1"/>
  <c r="AB521" i="1" s="1"/>
  <c r="Y522" i="1"/>
  <c r="Z523" i="1"/>
  <c r="AA523" i="1" s="1"/>
  <c r="AB523" i="1" s="1"/>
  <c r="Y524" i="1"/>
  <c r="Z524" i="1" s="1"/>
  <c r="AA524" i="1" s="1"/>
  <c r="AB524" i="1" s="1"/>
  <c r="Z525" i="1"/>
  <c r="AA525" i="1" s="1"/>
  <c r="AB525" i="1" s="1"/>
  <c r="Y526" i="1"/>
  <c r="Z527" i="1"/>
  <c r="AA527" i="1" s="1"/>
  <c r="AB527" i="1" s="1"/>
  <c r="Y528" i="1"/>
  <c r="Z528" i="1" s="1"/>
  <c r="AA528" i="1" s="1"/>
  <c r="AB528" i="1" s="1"/>
  <c r="Y529" i="1"/>
  <c r="AA529" i="1"/>
  <c r="AB529" i="1" s="1"/>
  <c r="Z530" i="1"/>
  <c r="Y531" i="1"/>
  <c r="AA531" i="1"/>
  <c r="AB531" i="1" s="1"/>
  <c r="Z532" i="1"/>
  <c r="AA532" i="1" s="1"/>
  <c r="AB532" i="1" s="1"/>
  <c r="Y533" i="1"/>
  <c r="Z533" i="1" s="1"/>
  <c r="Z534" i="1"/>
  <c r="AA534" i="1" s="1"/>
  <c r="AB534" i="1" s="1"/>
  <c r="Y535" i="1"/>
  <c r="Y541" i="1"/>
  <c r="Z542" i="1"/>
  <c r="AA542" i="1" s="1"/>
  <c r="AB542" i="1" s="1"/>
  <c r="Y543" i="1"/>
  <c r="Z546" i="1"/>
  <c r="AA546" i="1" s="1"/>
  <c r="AB546" i="1" s="1"/>
  <c r="Y547" i="1"/>
  <c r="Z548" i="1"/>
  <c r="AA548" i="1" s="1"/>
  <c r="AB548" i="1" s="1"/>
  <c r="Y549" i="1"/>
  <c r="Z549" i="1" s="1"/>
  <c r="Y551" i="1"/>
  <c r="Y557" i="1"/>
  <c r="Z557" i="1" s="1"/>
  <c r="AA557" i="1" s="1"/>
  <c r="AB557" i="1" s="1"/>
  <c r="Z558" i="1"/>
  <c r="AA558" i="1" s="1"/>
  <c r="AB558" i="1" s="1"/>
  <c r="Z560" i="1"/>
  <c r="AD560" i="1"/>
  <c r="Z564" i="1"/>
  <c r="AA564" i="1" s="1"/>
  <c r="AB564" i="1" s="1"/>
  <c r="Y565" i="1"/>
  <c r="AC609" i="1"/>
  <c r="AC613" i="1"/>
  <c r="AG615" i="1"/>
  <c r="AC617" i="1"/>
  <c r="AC621" i="1"/>
  <c r="AG623" i="1"/>
  <c r="AC625" i="1"/>
  <c r="AC629" i="1"/>
  <c r="AG631" i="1"/>
  <c r="AC653" i="1"/>
  <c r="AC665" i="1"/>
  <c r="AG703" i="1"/>
  <c r="AC705" i="1"/>
  <c r="AG707" i="1"/>
  <c r="AG744" i="1"/>
  <c r="AG752" i="1"/>
  <c r="AG756" i="1"/>
  <c r="AC311" i="1"/>
  <c r="Z316" i="1"/>
  <c r="AA316" i="1" s="1"/>
  <c r="AB316" i="1" s="1"/>
  <c r="Z318" i="1"/>
  <c r="Z320" i="1"/>
  <c r="Z322" i="1"/>
  <c r="Z339" i="1"/>
  <c r="AC344" i="1"/>
  <c r="Z347" i="1"/>
  <c r="AA347" i="1" s="1"/>
  <c r="AB347" i="1" s="1"/>
  <c r="Z363" i="1"/>
  <c r="AA363" i="1" s="1"/>
  <c r="AB363" i="1" s="1"/>
  <c r="Z379" i="1"/>
  <c r="AA379" i="1" s="1"/>
  <c r="AB379" i="1" s="1"/>
  <c r="AC384" i="1"/>
  <c r="Z395" i="1"/>
  <c r="AA395" i="1" s="1"/>
  <c r="AB395" i="1" s="1"/>
  <c r="Z403" i="1"/>
  <c r="AA403" i="1" s="1"/>
  <c r="AB403" i="1" s="1"/>
  <c r="Z407" i="1"/>
  <c r="AA407" i="1" s="1"/>
  <c r="AB407" i="1" s="1"/>
  <c r="AC409" i="1"/>
  <c r="Z430" i="1"/>
  <c r="AA430" i="1" s="1"/>
  <c r="AB430" i="1" s="1"/>
  <c r="AC435" i="1"/>
  <c r="Z252" i="1"/>
  <c r="Z440" i="1"/>
  <c r="Z450" i="1"/>
  <c r="Z459" i="1"/>
  <c r="AA459" i="1" s="1"/>
  <c r="AB459" i="1" s="1"/>
  <c r="Z484" i="1"/>
  <c r="AA484" i="1" s="1"/>
  <c r="AB484" i="1" s="1"/>
  <c r="Z494" i="1"/>
  <c r="AA494" i="1" s="1"/>
  <c r="AB494" i="1" s="1"/>
  <c r="Z520" i="1"/>
  <c r="AA520" i="1" s="1"/>
  <c r="AB520" i="1" s="1"/>
  <c r="Z529" i="1"/>
  <c r="Z531" i="1"/>
  <c r="AC560" i="1"/>
  <c r="Z565" i="1"/>
  <c r="AA565" i="1" s="1"/>
  <c r="AB565" i="1" s="1"/>
  <c r="AA572" i="1"/>
  <c r="Y572" i="1"/>
  <c r="Z572" i="1" s="1"/>
  <c r="AB572" i="1"/>
  <c r="Y576" i="1"/>
  <c r="Z576" i="1" s="1"/>
  <c r="Y580" i="1"/>
  <c r="Z580" i="1" s="1"/>
  <c r="AA584" i="1"/>
  <c r="Y584" i="1"/>
  <c r="Z584" i="1" s="1"/>
  <c r="AB584" i="1"/>
  <c r="Y588" i="1"/>
  <c r="Z588" i="1" s="1"/>
  <c r="AA588" i="1" s="1"/>
  <c r="AB588" i="1" s="1"/>
  <c r="Y592" i="1"/>
  <c r="Z592" i="1" s="1"/>
  <c r="Y596" i="1"/>
  <c r="Z596" i="1" s="1"/>
  <c r="Y600" i="1"/>
  <c r="Z600" i="1" s="1"/>
  <c r="AA604" i="1"/>
  <c r="Y604" i="1"/>
  <c r="Z604" i="1" s="1"/>
  <c r="AB604" i="1"/>
  <c r="AA608" i="1"/>
  <c r="Y608" i="1"/>
  <c r="Z608" i="1" s="1"/>
  <c r="AB608" i="1"/>
  <c r="Y612" i="1"/>
  <c r="Z612" i="1" s="1"/>
  <c r="AC615" i="1"/>
  <c r="Y616" i="1"/>
  <c r="Z616" i="1" s="1"/>
  <c r="Y620" i="1"/>
  <c r="Z620" i="1" s="1"/>
  <c r="AC623" i="1"/>
  <c r="Y624" i="1"/>
  <c r="Z624" i="1" s="1"/>
  <c r="Y628" i="1"/>
  <c r="Z628" i="1" s="1"/>
  <c r="AC631" i="1"/>
  <c r="Y632" i="1"/>
  <c r="Z632" i="1" s="1"/>
  <c r="Y636" i="1"/>
  <c r="Z636" i="1" s="1"/>
  <c r="AA640" i="1"/>
  <c r="Y640" i="1"/>
  <c r="Z640" i="1" s="1"/>
  <c r="AB640" i="1"/>
  <c r="Y644" i="1"/>
  <c r="Z644" i="1" s="1"/>
  <c r="Y648" i="1"/>
  <c r="Z648" i="1" s="1"/>
  <c r="Y652" i="1"/>
  <c r="Z652" i="1" s="1"/>
  <c r="Y656" i="1"/>
  <c r="Z656" i="1" s="1"/>
  <c r="Y660" i="1"/>
  <c r="Z660" i="1" s="1"/>
  <c r="Y664" i="1"/>
  <c r="Z664" i="1" s="1"/>
  <c r="Y668" i="1"/>
  <c r="Z668" i="1" s="1"/>
  <c r="Y672" i="1"/>
  <c r="Z672" i="1" s="1"/>
  <c r="AA676" i="1"/>
  <c r="Y676" i="1"/>
  <c r="Z676" i="1" s="1"/>
  <c r="AB676" i="1"/>
  <c r="Y680" i="1"/>
  <c r="Z680" i="1" s="1"/>
  <c r="AA684" i="1"/>
  <c r="Y684" i="1"/>
  <c r="Z684" i="1" s="1"/>
  <c r="AB684" i="1"/>
  <c r="AA688" i="1"/>
  <c r="Y688" i="1"/>
  <c r="Z688" i="1" s="1"/>
  <c r="AB688" i="1"/>
  <c r="Y692" i="1"/>
  <c r="Z692" i="1" s="1"/>
  <c r="AA696" i="1"/>
  <c r="Y696" i="1"/>
  <c r="Z696" i="1" s="1"/>
  <c r="AB696" i="1"/>
  <c r="Y700" i="1"/>
  <c r="Z700" i="1" s="1"/>
  <c r="AC703" i="1"/>
  <c r="Y704" i="1"/>
  <c r="Z704" i="1" s="1"/>
  <c r="AC707" i="1"/>
  <c r="Y708" i="1"/>
  <c r="Z708" i="1" s="1"/>
  <c r="AA741" i="1"/>
  <c r="Y741" i="1"/>
  <c r="Z741" i="1" s="1"/>
  <c r="AB741" i="1"/>
  <c r="AA770" i="1"/>
  <c r="Y770" i="1"/>
  <c r="Z770" i="1" s="1"/>
  <c r="AB770" i="1"/>
  <c r="AC744" i="1"/>
  <c r="Y745" i="1"/>
  <c r="Z745" i="1" s="1"/>
  <c r="AA749" i="1"/>
  <c r="Y749" i="1"/>
  <c r="Z749" i="1" s="1"/>
  <c r="AB749" i="1"/>
  <c r="AC752" i="1"/>
  <c r="Y753" i="1"/>
  <c r="Z753" i="1" s="1"/>
  <c r="AC756" i="1"/>
  <c r="Y757" i="1"/>
  <c r="Z757" i="1" s="1"/>
  <c r="Z567" i="1"/>
  <c r="AA567" i="1" s="1"/>
  <c r="AB567" i="1" s="1"/>
  <c r="AC572" i="1"/>
  <c r="Z573" i="1"/>
  <c r="AA573" i="1" s="1"/>
  <c r="AB573" i="1" s="1"/>
  <c r="Z575" i="1"/>
  <c r="Z579" i="1"/>
  <c r="AA579" i="1" s="1"/>
  <c r="AB579" i="1" s="1"/>
  <c r="Z583" i="1"/>
  <c r="AC584" i="1"/>
  <c r="Z589" i="1"/>
  <c r="AA589" i="1" s="1"/>
  <c r="AB589" i="1" s="1"/>
  <c r="AC590" i="1"/>
  <c r="Z591" i="1"/>
  <c r="AC594" i="1"/>
  <c r="Z595" i="1"/>
  <c r="AA595" i="1" s="1"/>
  <c r="AB595" i="1" s="1"/>
  <c r="AC598" i="1"/>
  <c r="Z599" i="1"/>
  <c r="Z601" i="1"/>
  <c r="AC604" i="1"/>
  <c r="Z605" i="1"/>
  <c r="AA605" i="1" s="1"/>
  <c r="AB605" i="1" s="1"/>
  <c r="AC606" i="1"/>
  <c r="Z607" i="1"/>
  <c r="Z609" i="1"/>
  <c r="Z611" i="1"/>
  <c r="AA611" i="1" s="1"/>
  <c r="AB611" i="1" s="1"/>
  <c r="Z613" i="1"/>
  <c r="AA613" i="1" s="1"/>
  <c r="AB613" i="1" s="1"/>
  <c r="Z615" i="1"/>
  <c r="Z617" i="1"/>
  <c r="Z619" i="1"/>
  <c r="AA619" i="1" s="1"/>
  <c r="AB619" i="1" s="1"/>
  <c r="Z621" i="1"/>
  <c r="AA621" i="1" s="1"/>
  <c r="AB621" i="1" s="1"/>
  <c r="Z623" i="1"/>
  <c r="Z625" i="1"/>
  <c r="Z627" i="1"/>
  <c r="AA627" i="1" s="1"/>
  <c r="AB627" i="1" s="1"/>
  <c r="Z629" i="1"/>
  <c r="AA629" i="1" s="1"/>
  <c r="AB629" i="1" s="1"/>
  <c r="Z631" i="1"/>
  <c r="Z635" i="1"/>
  <c r="AA635" i="1" s="1"/>
  <c r="AB635" i="1" s="1"/>
  <c r="AC640" i="1"/>
  <c r="Z641" i="1"/>
  <c r="AA641" i="1" s="1"/>
  <c r="AB641" i="1" s="1"/>
  <c r="Z643" i="1"/>
  <c r="AA643" i="1" s="1"/>
  <c r="AB643" i="1" s="1"/>
  <c r="Z645" i="1"/>
  <c r="AA645" i="1" s="1"/>
  <c r="AB645" i="1" s="1"/>
  <c r="AC646" i="1"/>
  <c r="Z649" i="1"/>
  <c r="AA649" i="1" s="1"/>
  <c r="AB649" i="1" s="1"/>
  <c r="Z653" i="1"/>
  <c r="AA653" i="1" s="1"/>
  <c r="AB653" i="1" s="1"/>
  <c r="Z657" i="1"/>
  <c r="AA657" i="1" s="1"/>
  <c r="AB657" i="1" s="1"/>
  <c r="Z661" i="1"/>
  <c r="AA661" i="1" s="1"/>
  <c r="AB661" i="1" s="1"/>
  <c r="Z663" i="1"/>
  <c r="AA663" i="1" s="1"/>
  <c r="AB663" i="1" s="1"/>
  <c r="Z665" i="1"/>
  <c r="Z667" i="1"/>
  <c r="AA667" i="1" s="1"/>
  <c r="AB667" i="1" s="1"/>
  <c r="Z671" i="1"/>
  <c r="AC676" i="1"/>
  <c r="Z681" i="1"/>
  <c r="AC682" i="1"/>
  <c r="Z683" i="1"/>
  <c r="AA683" i="1" s="1"/>
  <c r="AB683" i="1" s="1"/>
  <c r="Z685" i="1"/>
  <c r="AA685" i="1" s="1"/>
  <c r="AB685" i="1" s="1"/>
  <c r="Z687" i="1"/>
  <c r="AA687" i="1" s="1"/>
  <c r="AB687" i="1" s="1"/>
  <c r="Z689" i="1"/>
  <c r="AC690" i="1"/>
  <c r="Z691" i="1"/>
  <c r="AA691" i="1" s="1"/>
  <c r="AB691" i="1" s="1"/>
  <c r="Z695" i="1"/>
  <c r="AA695" i="1" s="1"/>
  <c r="AB695" i="1" s="1"/>
  <c r="AC696" i="1"/>
  <c r="Z697" i="1"/>
  <c r="Z701" i="1"/>
  <c r="AA701" i="1" s="1"/>
  <c r="AB701" i="1" s="1"/>
  <c r="Z703" i="1"/>
  <c r="AA703" i="1" s="1"/>
  <c r="AB703" i="1" s="1"/>
  <c r="Z705" i="1"/>
  <c r="Z707" i="1"/>
  <c r="AA707" i="1" s="1"/>
  <c r="AB707" i="1" s="1"/>
  <c r="Z709" i="1"/>
  <c r="AA709" i="1" s="1"/>
  <c r="AB709" i="1" s="1"/>
  <c r="AC710" i="1"/>
  <c r="Z740" i="1"/>
  <c r="AA740" i="1" s="1"/>
  <c r="AB740" i="1" s="1"/>
  <c r="AC741" i="1"/>
  <c r="Z767" i="1"/>
  <c r="AA767" i="1" s="1"/>
  <c r="AB767" i="1" s="1"/>
  <c r="AC770" i="1"/>
  <c r="Z744" i="1"/>
  <c r="AA744" i="1" s="1"/>
  <c r="AB744" i="1" s="1"/>
  <c r="Z746" i="1"/>
  <c r="AA746" i="1" s="1"/>
  <c r="AB746" i="1" s="1"/>
  <c r="Z748" i="1"/>
  <c r="AA748" i="1" s="1"/>
  <c r="AB748" i="1" s="1"/>
  <c r="AC749" i="1"/>
  <c r="Z750" i="1"/>
  <c r="AA750" i="1" s="1"/>
  <c r="AB750" i="1" s="1"/>
  <c r="Z752" i="1"/>
  <c r="AA752" i="1" s="1"/>
  <c r="AB752" i="1" s="1"/>
  <c r="Z754" i="1"/>
  <c r="Z756" i="1"/>
  <c r="AA756" i="1" s="1"/>
  <c r="AB756" i="1" s="1"/>
  <c r="Z758" i="1"/>
  <c r="AA758" i="1" s="1"/>
  <c r="AB758" i="1" s="1"/>
  <c r="Y759" i="1"/>
  <c r="Z760" i="1"/>
  <c r="AA760" i="1" s="1"/>
  <c r="AB760" i="1" s="1"/>
  <c r="Y761" i="1"/>
  <c r="Z761" i="1" s="1"/>
  <c r="AA761" i="1" s="1"/>
  <c r="AB761" i="1" s="1"/>
  <c r="Z762" i="1"/>
  <c r="AA762" i="1" s="1"/>
  <c r="AB762" i="1" s="1"/>
  <c r="Y763" i="1"/>
  <c r="Z764" i="1"/>
  <c r="AA764" i="1" s="1"/>
  <c r="AB764" i="1" s="1"/>
  <c r="AD764" i="1"/>
  <c r="Y765" i="1"/>
  <c r="Z766" i="1"/>
  <c r="AA766" i="1" s="1"/>
  <c r="AB766" i="1" s="1"/>
  <c r="AD766" i="1"/>
  <c r="Y711" i="1"/>
  <c r="Z712" i="1"/>
  <c r="AA712" i="1" s="1"/>
  <c r="AB712" i="1" s="1"/>
  <c r="Y713" i="1"/>
  <c r="Z714" i="1"/>
  <c r="AA714" i="1" s="1"/>
  <c r="AB714" i="1" s="1"/>
  <c r="AD714" i="1"/>
  <c r="Y715" i="1"/>
  <c r="Z716" i="1"/>
  <c r="AA716" i="1" s="1"/>
  <c r="AB716" i="1" s="1"/>
  <c r="Y717" i="1"/>
  <c r="Z718" i="1"/>
  <c r="AA718" i="1" s="1"/>
  <c r="AB718" i="1" s="1"/>
  <c r="Y719" i="1"/>
  <c r="AC764" i="1"/>
  <c r="AC766" i="1"/>
  <c r="Z713" i="1"/>
  <c r="AC714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23" i="8"/>
  <c r="B19" i="8"/>
  <c r="B15" i="8"/>
  <c r="B11" i="8"/>
  <c r="B7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AA708" i="1" l="1"/>
  <c r="AB708" i="1" s="1"/>
  <c r="AA700" i="1"/>
  <c r="AB700" i="1" s="1"/>
  <c r="AA636" i="1"/>
  <c r="AB636" i="1" s="1"/>
  <c r="AA713" i="1"/>
  <c r="AB713" i="1" s="1"/>
  <c r="Z436" i="1"/>
  <c r="AA436" i="1" s="1"/>
  <c r="AB436" i="1" s="1"/>
  <c r="Z232" i="1"/>
  <c r="AA232" i="1" s="1"/>
  <c r="AB232" i="1" s="1"/>
  <c r="Z545" i="1"/>
  <c r="AA545" i="1" s="1"/>
  <c r="AB545" i="1" s="1"/>
  <c r="Z412" i="1"/>
  <c r="AA412" i="1" s="1"/>
  <c r="AB412" i="1" s="1"/>
  <c r="Z399" i="1"/>
  <c r="AA399" i="1" s="1"/>
  <c r="AB399" i="1" s="1"/>
  <c r="Z544" i="1"/>
  <c r="AA544" i="1" s="1"/>
  <c r="AB544" i="1" s="1"/>
  <c r="Z265" i="1"/>
  <c r="AA265" i="1" s="1"/>
  <c r="AB265" i="1" s="1"/>
  <c r="Z15" i="1"/>
  <c r="AA15" i="1" s="1"/>
  <c r="AB15" i="1" s="1"/>
  <c r="Z9" i="1"/>
  <c r="AA9" i="1" s="1"/>
  <c r="AB9" i="1" s="1"/>
  <c r="Y208" i="1"/>
  <c r="Z208" i="1" s="1"/>
  <c r="Z296" i="1"/>
  <c r="Z550" i="1"/>
  <c r="AA550" i="1" s="1"/>
  <c r="AB550" i="1" s="1"/>
  <c r="Z475" i="1"/>
  <c r="AA475" i="1" s="1"/>
  <c r="AB475" i="1" s="1"/>
  <c r="Z289" i="1"/>
  <c r="AA289" i="1" s="1"/>
  <c r="AB289" i="1" s="1"/>
  <c r="Z261" i="1"/>
  <c r="AA261" i="1" s="1"/>
  <c r="AB261" i="1" s="1"/>
  <c r="Z210" i="1"/>
  <c r="AA210" i="1" s="1"/>
  <c r="AB210" i="1" s="1"/>
  <c r="Z192" i="1"/>
  <c r="AA192" i="1" s="1"/>
  <c r="AB192" i="1" s="1"/>
  <c r="Z236" i="1"/>
  <c r="AA236" i="1" s="1"/>
  <c r="AB236" i="1" s="1"/>
  <c r="Z168" i="1"/>
  <c r="AA168" i="1" s="1"/>
  <c r="AB168" i="1" s="1"/>
  <c r="Z240" i="1"/>
  <c r="AA240" i="1" s="1"/>
  <c r="AB240" i="1" s="1"/>
  <c r="Z131" i="1"/>
  <c r="AA131" i="1" s="1"/>
  <c r="AB131" i="1" s="1"/>
  <c r="Z24" i="1"/>
  <c r="AA24" i="1" s="1"/>
  <c r="AB24" i="1" s="1"/>
  <c r="Z22" i="1"/>
  <c r="AA22" i="1" s="1"/>
  <c r="AB22" i="1" s="1"/>
  <c r="Z64" i="1"/>
  <c r="AA64" i="1" s="1"/>
  <c r="AB64" i="1" s="1"/>
  <c r="Z717" i="1"/>
  <c r="AA717" i="1" s="1"/>
  <c r="AB717" i="1" s="1"/>
  <c r="Z765" i="1"/>
  <c r="AA765" i="1" s="1"/>
  <c r="AB765" i="1" s="1"/>
  <c r="AA757" i="1"/>
  <c r="AB757" i="1" s="1"/>
  <c r="AA680" i="1"/>
  <c r="AB680" i="1" s="1"/>
  <c r="AA632" i="1"/>
  <c r="AB632" i="1" s="1"/>
  <c r="AA616" i="1"/>
  <c r="AB616" i="1" s="1"/>
  <c r="AA612" i="1"/>
  <c r="AB612" i="1" s="1"/>
  <c r="AA596" i="1"/>
  <c r="AB596" i="1" s="1"/>
  <c r="AA580" i="1"/>
  <c r="AB580" i="1" s="1"/>
  <c r="AA753" i="1"/>
  <c r="AB753" i="1" s="1"/>
  <c r="AA745" i="1"/>
  <c r="AB745" i="1" s="1"/>
  <c r="AA704" i="1"/>
  <c r="AB704" i="1" s="1"/>
  <c r="AA692" i="1"/>
  <c r="AB692" i="1" s="1"/>
  <c r="AA672" i="1"/>
  <c r="AB672" i="1" s="1"/>
  <c r="AA668" i="1"/>
  <c r="AB668" i="1" s="1"/>
  <c r="AA664" i="1"/>
  <c r="AB664" i="1" s="1"/>
  <c r="AA660" i="1"/>
  <c r="AB660" i="1" s="1"/>
  <c r="AA656" i="1"/>
  <c r="AB656" i="1" s="1"/>
  <c r="AA652" i="1"/>
  <c r="AB652" i="1" s="1"/>
  <c r="AA648" i="1"/>
  <c r="AB648" i="1" s="1"/>
  <c r="AA644" i="1"/>
  <c r="AB644" i="1" s="1"/>
  <c r="AA628" i="1"/>
  <c r="AB628" i="1" s="1"/>
  <c r="AA620" i="1"/>
  <c r="AB620" i="1" s="1"/>
  <c r="AA592" i="1"/>
  <c r="AB592" i="1" s="1"/>
  <c r="AA624" i="1"/>
  <c r="AB624" i="1" s="1"/>
  <c r="AA600" i="1"/>
  <c r="AB600" i="1" s="1"/>
  <c r="AA576" i="1"/>
  <c r="AB576" i="1" s="1"/>
  <c r="Z556" i="1"/>
  <c r="AA556" i="1" s="1"/>
  <c r="AB556" i="1" s="1"/>
  <c r="AA549" i="1"/>
  <c r="AB549" i="1" s="1"/>
  <c r="Z541" i="1"/>
  <c r="AA541" i="1" s="1"/>
  <c r="AB541" i="1" s="1"/>
  <c r="AA533" i="1"/>
  <c r="AB533" i="1" s="1"/>
  <c r="Z496" i="1"/>
  <c r="AA496" i="1" s="1"/>
  <c r="AB496" i="1" s="1"/>
  <c r="Z492" i="1"/>
  <c r="AA492" i="1" s="1"/>
  <c r="AB492" i="1" s="1"/>
  <c r="Z482" i="1"/>
  <c r="Z468" i="1"/>
  <c r="AA468" i="1" s="1"/>
  <c r="AB468" i="1" s="1"/>
  <c r="Z467" i="1"/>
  <c r="AA467" i="1" s="1"/>
  <c r="AB467" i="1" s="1"/>
  <c r="AA461" i="1"/>
  <c r="AB461" i="1" s="1"/>
  <c r="AA460" i="1"/>
  <c r="AB460" i="1" s="1"/>
  <c r="AA456" i="1"/>
  <c r="AB456" i="1" s="1"/>
  <c r="AA452" i="1"/>
  <c r="AB452" i="1" s="1"/>
  <c r="AA450" i="1"/>
  <c r="AB450" i="1" s="1"/>
  <c r="AA442" i="1"/>
  <c r="AB442" i="1" s="1"/>
  <c r="AA438" i="1"/>
  <c r="AB438" i="1" s="1"/>
  <c r="Z424" i="1"/>
  <c r="AA424" i="1" s="1"/>
  <c r="AB424" i="1" s="1"/>
  <c r="Y555" i="1"/>
  <c r="Z555" i="1" s="1"/>
  <c r="AA555" i="1" s="1"/>
  <c r="AB555" i="1" s="1"/>
  <c r="Y510" i="1"/>
  <c r="Z510" i="1" s="1"/>
  <c r="AA510" i="1" s="1"/>
  <c r="AB510" i="1" s="1"/>
  <c r="Y224" i="1"/>
  <c r="Z224" i="1" s="1"/>
  <c r="AA224" i="1" s="1"/>
  <c r="AB224" i="1" s="1"/>
  <c r="Y213" i="1"/>
  <c r="Z213" i="1" s="1"/>
  <c r="Y211" i="1"/>
  <c r="Y269" i="1"/>
  <c r="Z269" i="1" s="1"/>
  <c r="AA269" i="1" s="1"/>
  <c r="AB269" i="1" s="1"/>
  <c r="Y178" i="1"/>
  <c r="Z178" i="1" s="1"/>
  <c r="AA178" i="1" s="1"/>
  <c r="AB178" i="1" s="1"/>
  <c r="Y116" i="1"/>
  <c r="Y286" i="1"/>
  <c r="Z286" i="1" s="1"/>
  <c r="AA286" i="1" s="1"/>
  <c r="AB286" i="1" s="1"/>
  <c r="Y285" i="1"/>
  <c r="Z285" i="1" s="1"/>
  <c r="AA285" i="1" s="1"/>
  <c r="AB285" i="1" s="1"/>
  <c r="Y282" i="1"/>
  <c r="Z282" i="1" s="1"/>
  <c r="AA282" i="1" s="1"/>
  <c r="AB282" i="1" s="1"/>
  <c r="Y280" i="1"/>
  <c r="Z280" i="1" s="1"/>
  <c r="AA280" i="1" s="1"/>
  <c r="AB280" i="1" s="1"/>
  <c r="Y279" i="1"/>
  <c r="Z279" i="1" s="1"/>
  <c r="AA279" i="1" s="1"/>
  <c r="AB279" i="1" s="1"/>
  <c r="Y264" i="1"/>
  <c r="Y127" i="1"/>
  <c r="Z127" i="1" s="1"/>
  <c r="AA127" i="1" s="1"/>
  <c r="AB127" i="1" s="1"/>
  <c r="Y70" i="1"/>
  <c r="Y67" i="1"/>
  <c r="Z67" i="1" s="1"/>
  <c r="AA67" i="1" s="1"/>
  <c r="AB67" i="1" s="1"/>
  <c r="Y66" i="1"/>
  <c r="Z66" i="1" s="1"/>
  <c r="AA66" i="1" s="1"/>
  <c r="AB66" i="1" s="1"/>
  <c r="Y55" i="1"/>
  <c r="Z55" i="1" s="1"/>
  <c r="Y54" i="1"/>
  <c r="Y46" i="1"/>
  <c r="Z46" i="1" s="1"/>
  <c r="AA46" i="1" s="1"/>
  <c r="AB46" i="1" s="1"/>
  <c r="Y256" i="1"/>
  <c r="Z256" i="1" s="1"/>
  <c r="AA256" i="1" s="1"/>
  <c r="AB256" i="1" s="1"/>
  <c r="Y255" i="1"/>
  <c r="Z255" i="1" s="1"/>
  <c r="AA255" i="1" s="1"/>
  <c r="AB255" i="1" s="1"/>
  <c r="Y170" i="1"/>
  <c r="Z170" i="1" s="1"/>
  <c r="AA170" i="1" s="1"/>
  <c r="AB170" i="1" s="1"/>
  <c r="Y72" i="1"/>
  <c r="Z72" i="1" s="1"/>
  <c r="AA72" i="1" s="1"/>
  <c r="AB72" i="1" s="1"/>
  <c r="Y48" i="1"/>
  <c r="Z48" i="1" s="1"/>
  <c r="AA48" i="1" s="1"/>
  <c r="AB48" i="1" s="1"/>
  <c r="Y174" i="1"/>
  <c r="Z174" i="1" s="1"/>
  <c r="AA174" i="1" s="1"/>
  <c r="AB174" i="1" s="1"/>
  <c r="Y49" i="1"/>
  <c r="Z49" i="1" s="1"/>
  <c r="AA49" i="1" s="1"/>
  <c r="AB49" i="1" s="1"/>
  <c r="Y343" i="1"/>
  <c r="Z343" i="1" s="1"/>
  <c r="AA343" i="1" s="1"/>
  <c r="AB343" i="1" s="1"/>
  <c r="Y308" i="1"/>
  <c r="Z308" i="1" s="1"/>
  <c r="AA308" i="1" s="1"/>
  <c r="AB308" i="1" s="1"/>
  <c r="Y307" i="1"/>
  <c r="Z307" i="1" s="1"/>
  <c r="AA307" i="1" s="1"/>
  <c r="AB307" i="1" s="1"/>
  <c r="Y267" i="1"/>
  <c r="Z267" i="1" s="1"/>
  <c r="AA267" i="1" s="1"/>
  <c r="AB267" i="1" s="1"/>
  <c r="Y216" i="1"/>
  <c r="Z216" i="1" s="1"/>
  <c r="Y215" i="1"/>
  <c r="Z215" i="1" s="1"/>
  <c r="AA215" i="1" s="1"/>
  <c r="AB215" i="1" s="1"/>
  <c r="Y189" i="1"/>
  <c r="Z189" i="1" s="1"/>
  <c r="Y266" i="1"/>
  <c r="Z266" i="1" s="1"/>
  <c r="AA266" i="1" s="1"/>
  <c r="AB266" i="1" s="1"/>
  <c r="Y193" i="1"/>
  <c r="Z193" i="1" s="1"/>
  <c r="AA193" i="1" s="1"/>
  <c r="AB193" i="1" s="1"/>
  <c r="Y123" i="1"/>
  <c r="Z123" i="1" s="1"/>
  <c r="AA123" i="1" s="1"/>
  <c r="AB123" i="1" s="1"/>
  <c r="Y283" i="1"/>
  <c r="Z283" i="1" s="1"/>
  <c r="AA283" i="1" s="1"/>
  <c r="AB283" i="1" s="1"/>
  <c r="Y259" i="1"/>
  <c r="Z259" i="1" s="1"/>
  <c r="AA259" i="1" s="1"/>
  <c r="AB259" i="1" s="1"/>
  <c r="Y177" i="1"/>
  <c r="Z177" i="1" s="1"/>
  <c r="Y166" i="1"/>
  <c r="Z166" i="1" s="1"/>
  <c r="AA166" i="1" s="1"/>
  <c r="AB166" i="1" s="1"/>
  <c r="Y129" i="1"/>
  <c r="Z129" i="1" s="1"/>
  <c r="AA129" i="1" s="1"/>
  <c r="AB129" i="1" s="1"/>
  <c r="Y68" i="1"/>
  <c r="Z68" i="1" s="1"/>
  <c r="AA68" i="1" s="1"/>
  <c r="AB68" i="1" s="1"/>
  <c r="Y58" i="1"/>
  <c r="Z58" i="1" s="1"/>
  <c r="AA58" i="1" s="1"/>
  <c r="AB58" i="1" s="1"/>
  <c r="Y57" i="1"/>
  <c r="Y56" i="1"/>
  <c r="Z56" i="1" s="1"/>
  <c r="AA56" i="1" s="1"/>
  <c r="AB56" i="1" s="1"/>
  <c r="Y295" i="1"/>
  <c r="Z295" i="1" s="1"/>
  <c r="AA295" i="1" s="1"/>
  <c r="AB295" i="1" s="1"/>
  <c r="Y293" i="1"/>
  <c r="Z293" i="1" s="1"/>
  <c r="AA293" i="1" s="1"/>
  <c r="AB293" i="1" s="1"/>
  <c r="Y287" i="1"/>
  <c r="Z287" i="1" s="1"/>
  <c r="AA287" i="1" s="1"/>
  <c r="AB287" i="1" s="1"/>
  <c r="Y62" i="1"/>
  <c r="Z62" i="1" s="1"/>
  <c r="AA62" i="1" s="1"/>
  <c r="AB62" i="1" s="1"/>
  <c r="Y60" i="1"/>
  <c r="Z60" i="1" s="1"/>
  <c r="AA60" i="1" s="1"/>
  <c r="AB60" i="1" s="1"/>
  <c r="Y50" i="1"/>
  <c r="Z50" i="1" s="1"/>
  <c r="AA50" i="1" s="1"/>
  <c r="AB50" i="1" s="1"/>
  <c r="Y228" i="1"/>
  <c r="Z228" i="1" s="1"/>
  <c r="AA228" i="1" s="1"/>
  <c r="AB228" i="1" s="1"/>
  <c r="Y61" i="1"/>
  <c r="Z61" i="1" s="1"/>
  <c r="AA61" i="1" s="1"/>
  <c r="AB61" i="1" s="1"/>
  <c r="Y52" i="1"/>
  <c r="Z52" i="1" s="1"/>
  <c r="AA52" i="1" s="1"/>
  <c r="AB52" i="1" s="1"/>
  <c r="Z292" i="1"/>
  <c r="AA292" i="1" s="1"/>
  <c r="AB292" i="1" s="1"/>
  <c r="Z158" i="1"/>
  <c r="AA158" i="1" s="1"/>
  <c r="AB158" i="1" s="1"/>
  <c r="Z498" i="1"/>
  <c r="AA498" i="1" s="1"/>
  <c r="AB498" i="1" s="1"/>
  <c r="Z448" i="1"/>
  <c r="AA448" i="1" s="1"/>
  <c r="AB448" i="1" s="1"/>
  <c r="Z416" i="1"/>
  <c r="AA416" i="1" s="1"/>
  <c r="AB416" i="1" s="1"/>
  <c r="Y563" i="1"/>
  <c r="Z536" i="1"/>
  <c r="AA536" i="1" s="1"/>
  <c r="AB536" i="1" s="1"/>
  <c r="Y508" i="1"/>
  <c r="Z483" i="1"/>
  <c r="AA483" i="1" s="1"/>
  <c r="AB483" i="1" s="1"/>
  <c r="Z474" i="1"/>
  <c r="AA474" i="1" s="1"/>
  <c r="AB474" i="1" s="1"/>
  <c r="Z471" i="1"/>
  <c r="AA471" i="1" s="1"/>
  <c r="AB471" i="1" s="1"/>
  <c r="Z466" i="1"/>
  <c r="AA466" i="1" s="1"/>
  <c r="AB466" i="1" s="1"/>
  <c r="Z251" i="1"/>
  <c r="AA251" i="1" s="1"/>
  <c r="AB251" i="1" s="1"/>
  <c r="Y306" i="1"/>
  <c r="AA306" i="1" s="1"/>
  <c r="AB306" i="1" s="1"/>
  <c r="Z182" i="1"/>
  <c r="AA182" i="1" s="1"/>
  <c r="AB182" i="1" s="1"/>
  <c r="Z185" i="1"/>
  <c r="AA185" i="1" s="1"/>
  <c r="AB185" i="1" s="1"/>
  <c r="Z135" i="1"/>
  <c r="AA135" i="1" s="1"/>
  <c r="AB135" i="1" s="1"/>
  <c r="Z92" i="1"/>
  <c r="AA92" i="1" s="1"/>
  <c r="AB92" i="1" s="1"/>
  <c r="Z54" i="1"/>
  <c r="AA54" i="1" s="1"/>
  <c r="AB54" i="1" s="1"/>
  <c r="Z17" i="1"/>
  <c r="AA17" i="1" s="1"/>
  <c r="AB17" i="1" s="1"/>
  <c r="Z3" i="1"/>
  <c r="AA3" i="1" s="1"/>
  <c r="AB3" i="1" s="1"/>
  <c r="AA359" i="1"/>
  <c r="AB359" i="1" s="1"/>
  <c r="Z353" i="1"/>
  <c r="AA353" i="1" s="1"/>
  <c r="AB353" i="1" s="1"/>
  <c r="Z351" i="1"/>
  <c r="AA351" i="1" s="1"/>
  <c r="AB351" i="1" s="1"/>
  <c r="AA339" i="1"/>
  <c r="AB339" i="1" s="1"/>
  <c r="Z263" i="1"/>
  <c r="AA263" i="1" s="1"/>
  <c r="AB263" i="1" s="1"/>
  <c r="Z257" i="1"/>
  <c r="AA257" i="1" s="1"/>
  <c r="AB257" i="1" s="1"/>
  <c r="Z70" i="1"/>
  <c r="AA70" i="1" s="1"/>
  <c r="AB70" i="1" s="1"/>
  <c r="Y106" i="1"/>
  <c r="Z106" i="1" s="1"/>
  <c r="AA106" i="1" s="1"/>
  <c r="AB106" i="1" s="1"/>
  <c r="Y100" i="1"/>
  <c r="Z100" i="1"/>
  <c r="AA100" i="1" s="1"/>
  <c r="AB100" i="1" s="1"/>
  <c r="Z552" i="1"/>
  <c r="AA552" i="1" s="1"/>
  <c r="AB552" i="1" s="1"/>
  <c r="Z502" i="1"/>
  <c r="AA502" i="1" s="1"/>
  <c r="AB502" i="1" s="1"/>
  <c r="Z444" i="1"/>
  <c r="AA444" i="1" s="1"/>
  <c r="AB444" i="1" s="1"/>
  <c r="Z540" i="1"/>
  <c r="AA540" i="1" s="1"/>
  <c r="AB540" i="1" s="1"/>
  <c r="Z538" i="1"/>
  <c r="AA538" i="1" s="1"/>
  <c r="AB538" i="1" s="1"/>
  <c r="Z507" i="1"/>
  <c r="AA507" i="1" s="1"/>
  <c r="AB507" i="1" s="1"/>
  <c r="Z477" i="1"/>
  <c r="AA477" i="1" s="1"/>
  <c r="AB477" i="1" s="1"/>
  <c r="Z473" i="1"/>
  <c r="AA473" i="1" s="1"/>
  <c r="AB473" i="1" s="1"/>
  <c r="Z469" i="1"/>
  <c r="AA469" i="1" s="1"/>
  <c r="AB469" i="1" s="1"/>
  <c r="Z465" i="1"/>
  <c r="AA465" i="1" s="1"/>
  <c r="AB465" i="1" s="1"/>
  <c r="Z443" i="1"/>
  <c r="AA443" i="1" s="1"/>
  <c r="AB443" i="1" s="1"/>
  <c r="Z305" i="1"/>
  <c r="AA305" i="1" s="1"/>
  <c r="AB305" i="1" s="1"/>
  <c r="Z303" i="1"/>
  <c r="AA303" i="1" s="1"/>
  <c r="AB303" i="1" s="1"/>
  <c r="Z214" i="1"/>
  <c r="AA214" i="1" s="1"/>
  <c r="AB214" i="1" s="1"/>
  <c r="Z194" i="1"/>
  <c r="AA194" i="1" s="1"/>
  <c r="AB194" i="1" s="1"/>
  <c r="Z211" i="1"/>
  <c r="AA211" i="1" s="1"/>
  <c r="AB211" i="1" s="1"/>
  <c r="AA205" i="1"/>
  <c r="AB205" i="1" s="1"/>
  <c r="Z153" i="1"/>
  <c r="AA153" i="1" s="1"/>
  <c r="AB153" i="1" s="1"/>
  <c r="Z145" i="1"/>
  <c r="AA145" i="1" s="1"/>
  <c r="AB145" i="1" s="1"/>
  <c r="Y110" i="1"/>
  <c r="Z110" i="1" s="1"/>
  <c r="AA110" i="1" s="1"/>
  <c r="AB110" i="1" s="1"/>
  <c r="Y42" i="1"/>
  <c r="Z42" i="1" s="1"/>
  <c r="AA42" i="1" s="1"/>
  <c r="AB42" i="1" s="1"/>
  <c r="AA213" i="1"/>
  <c r="AB213" i="1" s="1"/>
  <c r="AA258" i="1"/>
  <c r="AB258" i="1" s="1"/>
  <c r="AA254" i="1"/>
  <c r="AB254" i="1" s="1"/>
  <c r="AA234" i="1"/>
  <c r="AB234" i="1" s="1"/>
  <c r="AA203" i="1"/>
  <c r="AB203" i="1" s="1"/>
  <c r="AA198" i="1"/>
  <c r="AB198" i="1" s="1"/>
  <c r="Z719" i="1"/>
  <c r="AA719" i="1" s="1"/>
  <c r="AB719" i="1" s="1"/>
  <c r="Z715" i="1"/>
  <c r="AA715" i="1" s="1"/>
  <c r="AB715" i="1" s="1"/>
  <c r="Z711" i="1"/>
  <c r="AA711" i="1" s="1"/>
  <c r="AB711" i="1" s="1"/>
  <c r="Z763" i="1"/>
  <c r="AA763" i="1" s="1"/>
  <c r="AB763" i="1" s="1"/>
  <c r="Z759" i="1"/>
  <c r="AA759" i="1" s="1"/>
  <c r="AB759" i="1" s="1"/>
  <c r="Z551" i="1"/>
  <c r="AA551" i="1" s="1"/>
  <c r="AB551" i="1" s="1"/>
  <c r="Z547" i="1"/>
  <c r="AA547" i="1" s="1"/>
  <c r="AB547" i="1" s="1"/>
  <c r="Z543" i="1"/>
  <c r="AA543" i="1" s="1"/>
  <c r="AB543" i="1" s="1"/>
  <c r="AA559" i="1"/>
  <c r="AB559" i="1" s="1"/>
  <c r="AA482" i="1"/>
  <c r="AB482" i="1" s="1"/>
  <c r="AA355" i="1"/>
  <c r="AB355" i="1" s="1"/>
  <c r="AA333" i="1"/>
  <c r="AB333" i="1" s="1"/>
  <c r="AA331" i="1"/>
  <c r="AB331" i="1" s="1"/>
  <c r="AA329" i="1"/>
  <c r="AB329" i="1" s="1"/>
  <c r="AA324" i="1"/>
  <c r="AB324" i="1" s="1"/>
  <c r="AA300" i="1"/>
  <c r="AB300" i="1" s="1"/>
  <c r="AA561" i="1"/>
  <c r="AB561" i="1" s="1"/>
  <c r="AA327" i="1"/>
  <c r="AB327" i="1" s="1"/>
  <c r="AA322" i="1"/>
  <c r="AB322" i="1" s="1"/>
  <c r="AA320" i="1"/>
  <c r="AB320" i="1" s="1"/>
  <c r="AA318" i="1"/>
  <c r="AB318" i="1" s="1"/>
  <c r="AA314" i="1"/>
  <c r="AB314" i="1" s="1"/>
  <c r="AA304" i="1"/>
  <c r="AB304" i="1" s="1"/>
  <c r="AA298" i="1"/>
  <c r="AB298" i="1" s="1"/>
  <c r="AA296" i="1"/>
  <c r="AB296" i="1" s="1"/>
  <c r="Z18" i="1"/>
  <c r="AA18" i="1" s="1"/>
  <c r="AB18" i="1" s="1"/>
  <c r="Z6" i="1"/>
  <c r="AA6" i="1" s="1"/>
  <c r="AB6" i="1" s="1"/>
  <c r="Z437" i="1"/>
  <c r="AA437" i="1" s="1"/>
  <c r="AB437" i="1" s="1"/>
  <c r="Z751" i="1"/>
  <c r="AA751" i="1" s="1"/>
  <c r="AB751" i="1" s="1"/>
  <c r="Z743" i="1"/>
  <c r="AA743" i="1" s="1"/>
  <c r="AB743" i="1" s="1"/>
  <c r="Z710" i="1"/>
  <c r="AA710" i="1" s="1"/>
  <c r="AB710" i="1" s="1"/>
  <c r="Z702" i="1"/>
  <c r="AA702" i="1" s="1"/>
  <c r="AB702" i="1" s="1"/>
  <c r="Z694" i="1"/>
  <c r="AA694" i="1" s="1"/>
  <c r="AB694" i="1" s="1"/>
  <c r="Z686" i="1"/>
  <c r="AA686" i="1" s="1"/>
  <c r="AB686" i="1" s="1"/>
  <c r="AA689" i="1"/>
  <c r="AB689" i="1" s="1"/>
  <c r="AA681" i="1"/>
  <c r="AB681" i="1" s="1"/>
  <c r="AA665" i="1"/>
  <c r="AB665" i="1" s="1"/>
  <c r="AA631" i="1"/>
  <c r="AB631" i="1" s="1"/>
  <c r="AA625" i="1"/>
  <c r="AB625" i="1" s="1"/>
  <c r="AA615" i="1"/>
  <c r="AB615" i="1" s="1"/>
  <c r="AA609" i="1"/>
  <c r="AB609" i="1" s="1"/>
  <c r="AA601" i="1"/>
  <c r="AB601" i="1" s="1"/>
  <c r="AA593" i="1"/>
  <c r="AB593" i="1" s="1"/>
  <c r="AA585" i="1"/>
  <c r="AB585" i="1" s="1"/>
  <c r="AA577" i="1"/>
  <c r="AB577" i="1" s="1"/>
  <c r="AA569" i="1"/>
  <c r="AB569" i="1" s="1"/>
  <c r="AA530" i="1"/>
  <c r="AB530" i="1" s="1"/>
  <c r="AA462" i="1"/>
  <c r="AB462" i="1" s="1"/>
  <c r="AA754" i="1"/>
  <c r="AB754" i="1" s="1"/>
  <c r="AA697" i="1"/>
  <c r="AB697" i="1" s="1"/>
  <c r="AA671" i="1"/>
  <c r="AB671" i="1" s="1"/>
  <c r="AA417" i="1"/>
  <c r="AB417" i="1" s="1"/>
  <c r="AA344" i="1"/>
  <c r="AB344" i="1" s="1"/>
  <c r="Z678" i="1"/>
  <c r="AA678" i="1" s="1"/>
  <c r="AB678" i="1" s="1"/>
  <c r="Z670" i="1"/>
  <c r="AA670" i="1" s="1"/>
  <c r="AB670" i="1" s="1"/>
  <c r="Z662" i="1"/>
  <c r="AA662" i="1" s="1"/>
  <c r="AB662" i="1" s="1"/>
  <c r="Z654" i="1"/>
  <c r="AA654" i="1" s="1"/>
  <c r="AB654" i="1" s="1"/>
  <c r="Z646" i="1"/>
  <c r="AA646" i="1" s="1"/>
  <c r="AB646" i="1" s="1"/>
  <c r="Z638" i="1"/>
  <c r="AA638" i="1" s="1"/>
  <c r="AB638" i="1" s="1"/>
  <c r="Z630" i="1"/>
  <c r="AA630" i="1" s="1"/>
  <c r="AB630" i="1" s="1"/>
  <c r="Z622" i="1"/>
  <c r="AA622" i="1" s="1"/>
  <c r="AB622" i="1" s="1"/>
  <c r="Z614" i="1"/>
  <c r="AA614" i="1" s="1"/>
  <c r="AB614" i="1" s="1"/>
  <c r="Z606" i="1"/>
  <c r="AA606" i="1" s="1"/>
  <c r="AB606" i="1" s="1"/>
  <c r="Z598" i="1"/>
  <c r="AA598" i="1" s="1"/>
  <c r="AB598" i="1" s="1"/>
  <c r="Z590" i="1"/>
  <c r="AA590" i="1" s="1"/>
  <c r="AB590" i="1" s="1"/>
  <c r="Z582" i="1"/>
  <c r="AA582" i="1" s="1"/>
  <c r="AB582" i="1" s="1"/>
  <c r="Z574" i="1"/>
  <c r="AA574" i="1" s="1"/>
  <c r="AB574" i="1" s="1"/>
  <c r="AA225" i="1"/>
  <c r="AB225" i="1" s="1"/>
  <c r="AA673" i="1"/>
  <c r="AB673" i="1" s="1"/>
  <c r="AA633" i="1"/>
  <c r="AB633" i="1" s="1"/>
  <c r="AA623" i="1"/>
  <c r="AB623" i="1" s="1"/>
  <c r="AA617" i="1"/>
  <c r="AB617" i="1" s="1"/>
  <c r="AA607" i="1"/>
  <c r="AB607" i="1" s="1"/>
  <c r="AA599" i="1"/>
  <c r="AB599" i="1" s="1"/>
  <c r="AA591" i="1"/>
  <c r="AB591" i="1" s="1"/>
  <c r="AA583" i="1"/>
  <c r="AB583" i="1" s="1"/>
  <c r="AA575" i="1"/>
  <c r="AB575" i="1" s="1"/>
  <c r="AA560" i="1"/>
  <c r="AB560" i="1" s="1"/>
  <c r="AA554" i="1"/>
  <c r="AB554" i="1" s="1"/>
  <c r="AA519" i="1"/>
  <c r="AB519" i="1" s="1"/>
  <c r="AA493" i="1"/>
  <c r="AB493" i="1" s="1"/>
  <c r="AA705" i="1"/>
  <c r="AB705" i="1" s="1"/>
  <c r="AA679" i="1"/>
  <c r="AB679" i="1" s="1"/>
  <c r="AA429" i="1"/>
  <c r="AB429" i="1" s="1"/>
  <c r="AA398" i="1"/>
  <c r="AB398" i="1" s="1"/>
  <c r="AA338" i="1"/>
  <c r="AB338" i="1" s="1"/>
  <c r="AA252" i="1"/>
  <c r="AB252" i="1" s="1"/>
  <c r="AA13" i="1"/>
  <c r="AB13" i="1" s="1"/>
  <c r="Z83" i="1"/>
  <c r="AA83" i="1" s="1"/>
  <c r="AB83" i="1" s="1"/>
  <c r="AA113" i="1"/>
  <c r="AB113" i="1" s="1"/>
  <c r="AA288" i="1"/>
  <c r="AB288" i="1" s="1"/>
  <c r="Z59" i="1"/>
  <c r="AA59" i="1" s="1"/>
  <c r="AB59" i="1" s="1"/>
  <c r="Z95" i="1"/>
  <c r="AA95" i="1" s="1"/>
  <c r="AB95" i="1" s="1"/>
  <c r="Z150" i="1"/>
  <c r="AA150" i="1" s="1"/>
  <c r="AB150" i="1" s="1"/>
  <c r="Z130" i="1"/>
  <c r="AA130" i="1" s="1"/>
  <c r="AB130" i="1" s="1"/>
  <c r="Z124" i="1"/>
  <c r="AA124" i="1" s="1"/>
  <c r="AB124" i="1" s="1"/>
  <c r="Z79" i="1"/>
  <c r="AA79" i="1" s="1"/>
  <c r="AB79" i="1" s="1"/>
  <c r="Z77" i="1"/>
  <c r="AA77" i="1" s="1"/>
  <c r="AB77" i="1" s="1"/>
  <c r="AA260" i="1"/>
  <c r="AB260" i="1" s="1"/>
  <c r="AA227" i="1"/>
  <c r="AB227" i="1" s="1"/>
  <c r="AA294" i="1"/>
  <c r="AB294" i="1" s="1"/>
  <c r="AA290" i="1"/>
  <c r="AB290" i="1" s="1"/>
  <c r="Z146" i="1"/>
  <c r="AA146" i="1" s="1"/>
  <c r="AB146" i="1" s="1"/>
  <c r="Z154" i="1"/>
  <c r="AA154" i="1" s="1"/>
  <c r="AB154" i="1" s="1"/>
  <c r="AA229" i="1"/>
  <c r="AB229" i="1" s="1"/>
  <c r="AA242" i="1"/>
  <c r="AB242" i="1" s="1"/>
  <c r="Z148" i="1"/>
  <c r="AA148" i="1" s="1"/>
  <c r="AB148" i="1" s="1"/>
  <c r="Z31" i="1"/>
  <c r="AA31" i="1" s="1"/>
  <c r="AB31" i="1" s="1"/>
  <c r="AB217" i="1"/>
  <c r="Z116" i="1"/>
  <c r="AA116" i="1" s="1"/>
  <c r="AB116" i="1" s="1"/>
  <c r="Z268" i="1"/>
  <c r="AA268" i="1" s="1"/>
  <c r="AB268" i="1" s="1"/>
  <c r="Z264" i="1"/>
  <c r="AA264" i="1" s="1"/>
  <c r="AB264" i="1" s="1"/>
  <c r="Z128" i="1"/>
  <c r="AA128" i="1" s="1"/>
  <c r="AB128" i="1" s="1"/>
  <c r="Z126" i="1"/>
  <c r="AA126" i="1" s="1"/>
  <c r="AB126" i="1" s="1"/>
  <c r="Z25" i="1"/>
  <c r="AA25" i="1" s="1"/>
  <c r="AB25" i="1" s="1"/>
  <c r="Z23" i="1"/>
  <c r="AA23" i="1" s="1"/>
  <c r="AB23" i="1" s="1"/>
  <c r="Z73" i="1"/>
  <c r="AA73" i="1" s="1"/>
  <c r="AB73" i="1" s="1"/>
  <c r="Z71" i="1"/>
  <c r="AA71" i="1" s="1"/>
  <c r="AB71" i="1" s="1"/>
  <c r="Z63" i="1"/>
  <c r="AA63" i="1" s="1"/>
  <c r="AB63" i="1" s="1"/>
  <c r="Z51" i="1"/>
  <c r="AA51" i="1" s="1"/>
  <c r="AB51" i="1" s="1"/>
  <c r="Z47" i="1"/>
  <c r="AA47" i="1" s="1"/>
  <c r="AB47" i="1" s="1"/>
  <c r="AA5" i="1"/>
  <c r="AB5" i="1" s="1"/>
  <c r="Z16" i="1"/>
  <c r="AA16" i="1" s="1"/>
  <c r="AB16" i="1" s="1"/>
  <c r="Z14" i="1"/>
  <c r="AA14" i="1" s="1"/>
  <c r="AB14" i="1" s="1"/>
  <c r="Z7" i="1"/>
  <c r="AA7" i="1" s="1"/>
  <c r="AB7" i="1" s="1"/>
  <c r="AA486" i="1"/>
  <c r="AB486" i="1" s="1"/>
  <c r="AA337" i="1"/>
  <c r="AB337" i="1" s="1"/>
  <c r="Z233" i="1"/>
  <c r="AA233" i="1" s="1"/>
  <c r="AB233" i="1" s="1"/>
  <c r="Z231" i="1"/>
  <c r="AA231" i="1" s="1"/>
  <c r="AB231" i="1" s="1"/>
  <c r="Z183" i="1"/>
  <c r="AA183" i="1" s="1"/>
  <c r="AB183" i="1" s="1"/>
  <c r="Z179" i="1"/>
  <c r="AA179" i="1" s="1"/>
  <c r="AB179" i="1" s="1"/>
  <c r="Z175" i="1"/>
  <c r="AA175" i="1" s="1"/>
  <c r="AB175" i="1" s="1"/>
  <c r="Z173" i="1"/>
  <c r="AA173" i="1" s="1"/>
  <c r="AB173" i="1" s="1"/>
  <c r="Z30" i="1"/>
  <c r="AA30" i="1" s="1"/>
  <c r="AB30" i="1" s="1"/>
  <c r="Z28" i="1"/>
  <c r="AA28" i="1" s="1"/>
  <c r="AB28" i="1" s="1"/>
  <c r="AA197" i="1"/>
  <c r="AB197" i="1" s="1"/>
  <c r="AA118" i="1"/>
  <c r="AB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Z568" i="1"/>
  <c r="AA568" i="1" s="1"/>
  <c r="AB568" i="1" s="1"/>
  <c r="Z566" i="1"/>
  <c r="AA566" i="1" s="1"/>
  <c r="AB56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46" i="5"/>
  <c r="E46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Y326" i="1"/>
  <c r="Z326" i="1" s="1"/>
  <c r="Z159" i="1"/>
  <c r="AA159" i="1" s="1"/>
  <c r="AB159" i="1" s="1"/>
  <c r="Z241" i="1"/>
  <c r="AA241" i="1" s="1"/>
  <c r="AB241" i="1" s="1"/>
  <c r="Z140" i="1"/>
  <c r="AA140" i="1" s="1"/>
  <c r="AB140" i="1" s="1"/>
  <c r="Z89" i="1"/>
  <c r="AA89" i="1" s="1"/>
  <c r="AB89" i="1" s="1"/>
  <c r="Z169" i="1"/>
  <c r="AA169" i="1" s="1"/>
  <c r="AB169" i="1" s="1"/>
  <c r="Z161" i="1"/>
  <c r="AA161" i="1" s="1"/>
  <c r="AB161" i="1" s="1"/>
  <c r="Z247" i="1"/>
  <c r="AA247" i="1" s="1"/>
  <c r="AB247" i="1" s="1"/>
  <c r="Z243" i="1"/>
  <c r="AA243" i="1" s="1"/>
  <c r="AB243" i="1" s="1"/>
  <c r="Z142" i="1"/>
  <c r="AA142" i="1" s="1"/>
  <c r="AB142" i="1" s="1"/>
  <c r="Z35" i="1"/>
  <c r="AA35" i="1" s="1"/>
  <c r="AB35" i="1" s="1"/>
  <c r="Z21" i="1"/>
  <c r="AA21" i="1" s="1"/>
  <c r="AB21" i="1" s="1"/>
  <c r="Z57" i="1"/>
  <c r="AA57" i="1" s="1"/>
  <c r="AB57" i="1" s="1"/>
  <c r="AA134" i="1"/>
  <c r="AB134" i="1" s="1"/>
  <c r="AA91" i="1"/>
  <c r="AB91" i="1" s="1"/>
  <c r="AA111" i="1"/>
  <c r="AB111" i="1" s="1"/>
  <c r="AA87" i="1"/>
  <c r="AB87" i="1" s="1"/>
  <c r="AA167" i="1"/>
  <c r="AB167" i="1" s="1"/>
  <c r="AA41" i="1"/>
  <c r="AB41" i="1" s="1"/>
  <c r="B7" i="12"/>
  <c r="B5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Z171" i="1"/>
  <c r="AA171" i="1" s="1"/>
  <c r="AB171" i="1" s="1"/>
  <c r="Z249" i="1"/>
  <c r="AA249" i="1" s="1"/>
  <c r="AB249" i="1" s="1"/>
  <c r="Z245" i="1"/>
  <c r="AA245" i="1" s="1"/>
  <c r="AB245" i="1" s="1"/>
  <c r="Z132" i="1"/>
  <c r="AA132" i="1" s="1"/>
  <c r="AB132" i="1" s="1"/>
  <c r="Z39" i="1"/>
  <c r="AA39" i="1" s="1"/>
  <c r="AB39" i="1" s="1"/>
  <c r="Z163" i="1"/>
  <c r="AA163" i="1" s="1"/>
  <c r="AB163" i="1" s="1"/>
  <c r="Y237" i="1"/>
  <c r="Z237" i="1" s="1"/>
  <c r="Z85" i="1"/>
  <c r="AA85" i="1" s="1"/>
  <c r="AB85" i="1" s="1"/>
  <c r="AA33" i="1"/>
  <c r="AB33" i="1" s="1"/>
  <c r="AA93" i="1"/>
  <c r="AB93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Z553" i="1"/>
  <c r="AA553" i="1" s="1"/>
  <c r="AB553" i="1" s="1"/>
  <c r="Z539" i="1"/>
  <c r="AA539" i="1" s="1"/>
  <c r="AB539" i="1" s="1"/>
  <c r="Z535" i="1"/>
  <c r="AA535" i="1" s="1"/>
  <c r="AB535" i="1" s="1"/>
  <c r="Z526" i="1"/>
  <c r="AA526" i="1" s="1"/>
  <c r="AB526" i="1" s="1"/>
  <c r="Z522" i="1"/>
  <c r="AA522" i="1" s="1"/>
  <c r="AB522" i="1" s="1"/>
  <c r="Z504" i="1"/>
  <c r="AA504" i="1" s="1"/>
  <c r="AB504" i="1" s="1"/>
  <c r="Z500" i="1"/>
  <c r="AA500" i="1" s="1"/>
  <c r="AB500" i="1" s="1"/>
  <c r="Z446" i="1"/>
  <c r="AA446" i="1" s="1"/>
  <c r="AB446" i="1" s="1"/>
  <c r="Z432" i="1"/>
  <c r="AA432" i="1" s="1"/>
  <c r="AB432" i="1" s="1"/>
  <c r="Z426" i="1"/>
  <c r="AA426" i="1" s="1"/>
  <c r="AB426" i="1" s="1"/>
  <c r="Z422" i="1"/>
  <c r="AA422" i="1" s="1"/>
  <c r="AB422" i="1" s="1"/>
  <c r="Z420" i="1"/>
  <c r="AA420" i="1" s="1"/>
  <c r="AB420" i="1" s="1"/>
  <c r="Z414" i="1"/>
  <c r="AA414" i="1" s="1"/>
  <c r="AB414" i="1" s="1"/>
  <c r="Z410" i="1"/>
  <c r="AA410" i="1" s="1"/>
  <c r="AB410" i="1" s="1"/>
  <c r="Z405" i="1"/>
  <c r="AA405" i="1" s="1"/>
  <c r="AB405" i="1" s="1"/>
  <c r="Z401" i="1"/>
  <c r="AA401" i="1" s="1"/>
  <c r="AB401" i="1" s="1"/>
  <c r="Z391" i="1"/>
  <c r="AA391" i="1" s="1"/>
  <c r="AB391" i="1" s="1"/>
  <c r="Z387" i="1"/>
  <c r="AA387" i="1" s="1"/>
  <c r="AB387" i="1" s="1"/>
  <c r="Z381" i="1"/>
  <c r="AA381" i="1" s="1"/>
  <c r="AB381" i="1" s="1"/>
  <c r="Z377" i="1"/>
  <c r="AA377" i="1" s="1"/>
  <c r="AB377" i="1" s="1"/>
  <c r="Z375" i="1"/>
  <c r="AA375" i="1" s="1"/>
  <c r="AB375" i="1" s="1"/>
  <c r="Z371" i="1"/>
  <c r="AA371" i="1" s="1"/>
  <c r="AB371" i="1" s="1"/>
  <c r="Z369" i="1"/>
  <c r="AA369" i="1" s="1"/>
  <c r="AB369" i="1" s="1"/>
  <c r="Z365" i="1"/>
  <c r="AA365" i="1" s="1"/>
  <c r="AB365" i="1" s="1"/>
  <c r="Z361" i="1"/>
  <c r="AA361" i="1" s="1"/>
  <c r="AB361" i="1" s="1"/>
  <c r="Z349" i="1"/>
  <c r="AA349" i="1" s="1"/>
  <c r="AB349" i="1" s="1"/>
  <c r="Z345" i="1"/>
  <c r="AA345" i="1" s="1"/>
  <c r="AB345" i="1" s="1"/>
  <c r="Z284" i="1"/>
  <c r="AA284" i="1" s="1"/>
  <c r="AB284" i="1" s="1"/>
  <c r="Z278" i="1"/>
  <c r="AA278" i="1" s="1"/>
  <c r="AB278" i="1" s="1"/>
  <c r="Z276" i="1"/>
  <c r="AA276" i="1" s="1"/>
  <c r="AB276" i="1" s="1"/>
  <c r="Z272" i="1"/>
  <c r="AA272" i="1" s="1"/>
  <c r="AB272" i="1" s="1"/>
  <c r="AA222" i="1"/>
  <c r="AB222" i="1" s="1"/>
  <c r="AA220" i="1"/>
  <c r="AB220" i="1" s="1"/>
  <c r="AA218" i="1"/>
  <c r="AB218" i="1" s="1"/>
  <c r="AA209" i="1"/>
  <c r="AB209" i="1" s="1"/>
  <c r="Z239" i="1"/>
  <c r="AA239" i="1" s="1"/>
  <c r="AB239" i="1" s="1"/>
  <c r="Z99" i="1"/>
  <c r="AA99" i="1" s="1"/>
  <c r="AB99" i="1" s="1"/>
  <c r="Z37" i="1"/>
  <c r="AA37" i="1" s="1"/>
  <c r="AB37" i="1" s="1"/>
  <c r="Z84" i="1"/>
  <c r="AA84" i="1" s="1"/>
  <c r="AB84" i="1" s="1"/>
  <c r="Z53" i="1"/>
  <c r="AA53" i="1" s="1"/>
  <c r="AB53" i="1" s="1"/>
  <c r="Z165" i="1"/>
  <c r="AA165" i="1" s="1"/>
  <c r="AB165" i="1" s="1"/>
  <c r="Z156" i="1"/>
  <c r="AA156" i="1" s="1"/>
  <c r="AB156" i="1" s="1"/>
  <c r="Z144" i="1"/>
  <c r="AA144" i="1" s="1"/>
  <c r="AB144" i="1" s="1"/>
  <c r="Z138" i="1"/>
  <c r="AA138" i="1" s="1"/>
  <c r="AB138" i="1" s="1"/>
  <c r="Z136" i="1"/>
  <c r="AA136" i="1" s="1"/>
  <c r="AB136" i="1" s="1"/>
  <c r="Z122" i="1"/>
  <c r="AA122" i="1" s="1"/>
  <c r="AB122" i="1" s="1"/>
  <c r="Z81" i="1"/>
  <c r="AA81" i="1" s="1"/>
  <c r="AB81" i="1" s="1"/>
  <c r="Z107" i="1"/>
  <c r="AA107" i="1" s="1"/>
  <c r="AB107" i="1" s="1"/>
  <c r="Z103" i="1"/>
  <c r="AA103" i="1" s="1"/>
  <c r="AB103" i="1" s="1"/>
  <c r="Z69" i="1"/>
  <c r="AA69" i="1" s="1"/>
  <c r="AB69" i="1" s="1"/>
  <c r="Z65" i="1"/>
  <c r="AA65" i="1" s="1"/>
  <c r="AB65" i="1" s="1"/>
  <c r="Z12" i="1"/>
  <c r="AA12" i="1" s="1"/>
  <c r="AB12" i="1" s="1"/>
  <c r="H5" i="10" l="1"/>
  <c r="I5" i="10"/>
  <c r="H7" i="10"/>
  <c r="I7" i="10"/>
  <c r="H9" i="10"/>
  <c r="I9" i="10"/>
  <c r="H11" i="10"/>
  <c r="I11" i="10"/>
  <c r="H4" i="10"/>
  <c r="I4" i="10"/>
  <c r="H6" i="10"/>
  <c r="I6" i="10"/>
  <c r="H8" i="10"/>
  <c r="I8" i="10"/>
  <c r="H10" i="10"/>
  <c r="I10" i="10"/>
  <c r="AA216" i="1"/>
  <c r="AB216" i="1" s="1"/>
  <c r="AA177" i="1"/>
  <c r="AB177" i="1" s="1"/>
  <c r="AA208" i="1"/>
  <c r="AB208" i="1" s="1"/>
  <c r="AA55" i="1"/>
  <c r="AB55" i="1" s="1"/>
  <c r="AA189" i="1"/>
  <c r="AB189" i="1" s="1"/>
  <c r="N5" i="10"/>
  <c r="N7" i="10"/>
  <c r="N9" i="10"/>
  <c r="N11" i="10"/>
  <c r="N4" i="10"/>
  <c r="N6" i="10"/>
  <c r="N8" i="10"/>
  <c r="N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AA237" i="1"/>
  <c r="AB237" i="1" s="1"/>
  <c r="AA326" i="1"/>
  <c r="AB326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E14" i="6"/>
  <c r="K18" i="8"/>
  <c r="L18" i="8" s="1"/>
  <c r="M18" i="8" s="1"/>
  <c r="E42" i="4"/>
  <c r="G9" i="6"/>
  <c r="F49" i="4"/>
  <c r="D36" i="5"/>
  <c r="G41" i="4"/>
  <c r="G47" i="5"/>
  <c r="F11" i="6"/>
  <c r="F45" i="4"/>
  <c r="G37" i="4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F40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F42" i="5"/>
  <c r="J42" i="5"/>
  <c r="E42" i="5"/>
  <c r="F47" i="4"/>
  <c r="F43" i="4"/>
  <c r="F39" i="4"/>
  <c r="F35" i="4"/>
  <c r="F43" i="5"/>
  <c r="F39" i="5"/>
  <c r="E48" i="5"/>
  <c r="E40" i="5"/>
  <c r="G22" i="6"/>
  <c r="G7" i="6"/>
  <c r="J50" i="4"/>
  <c r="K50" i="4" s="1"/>
  <c r="L50" i="4" s="1"/>
  <c r="M50" i="4" s="1"/>
  <c r="J36" i="4"/>
  <c r="K36" i="4" s="1"/>
  <c r="L36" i="4" s="1"/>
  <c r="M36" i="4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E5" i="6"/>
  <c r="H5" i="6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G4" i="12"/>
  <c r="E4" i="12"/>
  <c r="C4" i="12"/>
  <c r="J4" i="12"/>
  <c r="F4" i="12"/>
  <c r="H4" i="12"/>
  <c r="D4" i="12"/>
  <c r="J7" i="12"/>
  <c r="H7" i="12"/>
  <c r="F7" i="12"/>
  <c r="D7" i="12"/>
  <c r="G7" i="12"/>
  <c r="C7" i="12"/>
  <c r="I7" i="12"/>
  <c r="K7" i="12" s="1"/>
  <c r="E7" i="12"/>
  <c r="K19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E4" i="1"/>
  <c r="AH4" i="1"/>
  <c r="AH6" i="1"/>
  <c r="E6" i="1"/>
  <c r="E8" i="1"/>
  <c r="AH8" i="1"/>
  <c r="E20" i="1"/>
  <c r="AH20" i="1"/>
  <c r="E296" i="1"/>
  <c r="AH296" i="1"/>
  <c r="AH306" i="1"/>
  <c r="E306" i="1"/>
  <c r="AH309" i="1"/>
  <c r="E309" i="1"/>
  <c r="AH313" i="1"/>
  <c r="E313" i="1"/>
  <c r="AH315" i="1"/>
  <c r="E315" i="1"/>
  <c r="AH317" i="1"/>
  <c r="E317" i="1"/>
  <c r="AH320" i="1"/>
  <c r="E320" i="1"/>
  <c r="E322" i="1"/>
  <c r="AH322" i="1"/>
  <c r="AH334" i="1"/>
  <c r="E334" i="1"/>
  <c r="AH356" i="1"/>
  <c r="E356" i="1"/>
  <c r="AH358" i="1"/>
  <c r="E358" i="1"/>
  <c r="AH369" i="1"/>
  <c r="E369" i="1"/>
  <c r="AH372" i="1"/>
  <c r="E372" i="1"/>
  <c r="AH374" i="1"/>
  <c r="E374" i="1"/>
  <c r="AH379" i="1"/>
  <c r="E379" i="1"/>
  <c r="AH386" i="1"/>
  <c r="E386" i="1"/>
  <c r="E391" i="1"/>
  <c r="AH391" i="1"/>
  <c r="E427" i="1"/>
  <c r="AH427" i="1"/>
  <c r="AH430" i="1"/>
  <c r="E430" i="1"/>
  <c r="E433" i="1"/>
  <c r="AH433" i="1"/>
  <c r="AH252" i="1"/>
  <c r="E252" i="1"/>
  <c r="E445" i="1"/>
  <c r="AH445" i="1"/>
  <c r="E448" i="1"/>
  <c r="AH448" i="1"/>
  <c r="AH459" i="1"/>
  <c r="E459" i="1"/>
  <c r="E463" i="1"/>
  <c r="AH463" i="1"/>
  <c r="E466" i="1"/>
  <c r="AH466" i="1"/>
  <c r="AH469" i="1"/>
  <c r="E469" i="1"/>
  <c r="E471" i="1"/>
  <c r="AH471" i="1"/>
  <c r="E483" i="1"/>
  <c r="AH483" i="1"/>
  <c r="E494" i="1"/>
  <c r="AH494" i="1"/>
  <c r="AH500" i="1"/>
  <c r="E500" i="1"/>
  <c r="E508" i="1"/>
  <c r="AH508" i="1"/>
  <c r="E513" i="1"/>
  <c r="AH513" i="1"/>
  <c r="E522" i="1"/>
  <c r="AH522" i="1"/>
  <c r="AH525" i="1"/>
  <c r="E525" i="1"/>
  <c r="E527" i="1"/>
  <c r="AH527" i="1"/>
  <c r="E529" i="1"/>
  <c r="AH529" i="1"/>
  <c r="AH531" i="1"/>
  <c r="E531" i="1"/>
  <c r="E535" i="1"/>
  <c r="AH535" i="1"/>
  <c r="AH538" i="1"/>
  <c r="E538" i="1"/>
  <c r="AH542" i="1"/>
  <c r="E542" i="1"/>
  <c r="AH544" i="1"/>
  <c r="E544" i="1"/>
  <c r="E553" i="1"/>
  <c r="AH553" i="1"/>
  <c r="E563" i="1"/>
  <c r="AH563" i="1"/>
  <c r="J10" i="10" l="1"/>
  <c r="J8" i="10"/>
  <c r="J6" i="10"/>
  <c r="J4" i="10"/>
  <c r="J11" i="10"/>
  <c r="J9" i="10"/>
  <c r="J7" i="10"/>
  <c r="J5" i="10"/>
  <c r="K4" i="12"/>
  <c r="L4" i="12" s="1"/>
  <c r="M4" i="12" s="1"/>
  <c r="K8" i="12"/>
  <c r="L8" i="12" s="1"/>
  <c r="M8" i="12" s="1"/>
  <c r="K6" i="12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I563" i="1"/>
  <c r="AI553" i="1"/>
  <c r="AI535" i="1"/>
  <c r="AI544" i="1"/>
  <c r="AI542" i="1"/>
  <c r="AI538" i="1"/>
  <c r="AI531" i="1"/>
  <c r="AI525" i="1"/>
  <c r="AI500" i="1"/>
  <c r="AI469" i="1"/>
  <c r="AI459" i="1"/>
  <c r="AI252" i="1"/>
  <c r="AI430" i="1"/>
  <c r="AI386" i="1"/>
  <c r="AI379" i="1"/>
  <c r="AI374" i="1"/>
  <c r="AI372" i="1"/>
  <c r="AI369" i="1"/>
  <c r="AI358" i="1"/>
  <c r="AI356" i="1"/>
  <c r="AI334" i="1"/>
  <c r="AI320" i="1"/>
  <c r="AI317" i="1"/>
  <c r="AI315" i="1"/>
  <c r="AI313" i="1"/>
  <c r="AI309" i="1"/>
  <c r="AI306" i="1"/>
  <c r="AI6" i="1"/>
  <c r="AI529" i="1"/>
  <c r="AI527" i="1"/>
  <c r="AI522" i="1"/>
  <c r="AI513" i="1"/>
  <c r="AI508" i="1"/>
  <c r="AI494" i="1"/>
  <c r="AI483" i="1"/>
  <c r="AI471" i="1"/>
  <c r="AI466" i="1"/>
  <c r="AI463" i="1"/>
  <c r="AI448" i="1"/>
  <c r="AI445" i="1"/>
  <c r="AI433" i="1"/>
  <c r="AI427" i="1"/>
  <c r="AI391" i="1"/>
  <c r="AI322" i="1"/>
  <c r="AI296" i="1"/>
  <c r="AI20" i="1"/>
  <c r="AI8" i="1"/>
  <c r="AI4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AK563" i="1"/>
  <c r="AK561" i="1"/>
  <c r="AK544" i="1"/>
  <c r="AK531" i="1"/>
  <c r="AK513" i="1"/>
  <c r="AK463" i="1"/>
  <c r="AK441" i="1"/>
  <c r="AK430" i="1"/>
  <c r="AK410" i="1"/>
  <c r="AK385" i="1"/>
  <c r="AK345" i="1"/>
  <c r="AK312" i="1"/>
  <c r="AK8" i="1"/>
  <c r="AK6" i="1"/>
  <c r="AK3" i="1"/>
  <c r="AK564" i="1"/>
  <c r="AK553" i="1"/>
  <c r="AK545" i="1"/>
  <c r="AK535" i="1"/>
  <c r="AK536" i="1" s="1"/>
  <c r="AK532" i="1"/>
  <c r="AK508" i="1"/>
  <c r="AK509" i="1" s="1"/>
  <c r="AK464" i="1"/>
  <c r="AK252" i="1"/>
  <c r="AK436" i="1" s="1"/>
  <c r="AK431" i="1"/>
  <c r="AK386" i="1"/>
  <c r="AK387" i="1" s="1"/>
  <c r="AK372" i="1"/>
  <c r="AK373" i="1" s="1"/>
  <c r="AK374" i="1" s="1"/>
  <c r="AK313" i="1"/>
  <c r="AK314" i="1" s="1"/>
  <c r="AK315" i="1" s="1"/>
  <c r="AK316" i="1" s="1"/>
  <c r="AK317" i="1" s="1"/>
  <c r="AK318" i="1" s="1"/>
  <c r="AK9" i="1"/>
  <c r="AK4" i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11" i="9"/>
  <c r="M11" i="9" s="1"/>
  <c r="L21" i="8"/>
  <c r="M21" i="8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K19" i="7"/>
  <c r="K13" i="7"/>
  <c r="AC563" i="1"/>
  <c r="AD563" i="1"/>
  <c r="AD553" i="1"/>
  <c r="AG544" i="1"/>
  <c r="AG542" i="1"/>
  <c r="AC542" i="1"/>
  <c r="AC538" i="1"/>
  <c r="AG538" i="1"/>
  <c r="AG535" i="1"/>
  <c r="AC531" i="1"/>
  <c r="AD529" i="1"/>
  <c r="AC529" i="1"/>
  <c r="AD527" i="1"/>
  <c r="AC527" i="1"/>
  <c r="AG525" i="1"/>
  <c r="AD525" i="1"/>
  <c r="AG522" i="1"/>
  <c r="AC522" i="1"/>
  <c r="AC513" i="1"/>
  <c r="AD508" i="1"/>
  <c r="AG500" i="1"/>
  <c r="AD500" i="1"/>
  <c r="AG494" i="1"/>
  <c r="AD494" i="1"/>
  <c r="AC483" i="1"/>
  <c r="AD483" i="1"/>
  <c r="AG471" i="1"/>
  <c r="AG469" i="1"/>
  <c r="AD466" i="1"/>
  <c r="AD463" i="1"/>
  <c r="AC463" i="1"/>
  <c r="AC459" i="1"/>
  <c r="AD448" i="1"/>
  <c r="AC445" i="1"/>
  <c r="AG252" i="1"/>
  <c r="AC433" i="1"/>
  <c r="AC430" i="1"/>
  <c r="AG430" i="1"/>
  <c r="AG427" i="1"/>
  <c r="AD391" i="1"/>
  <c r="AC391" i="1"/>
  <c r="AC386" i="1"/>
  <c r="AG386" i="1"/>
  <c r="AG379" i="1"/>
  <c r="AD379" i="1"/>
  <c r="AC374" i="1"/>
  <c r="AG374" i="1"/>
  <c r="AD372" i="1"/>
  <c r="AG372" i="1"/>
  <c r="AC369" i="1"/>
  <c r="AG369" i="1"/>
  <c r="AG358" i="1"/>
  <c r="AD358" i="1"/>
  <c r="AC356" i="1"/>
  <c r="AG356" i="1"/>
  <c r="AD334" i="1"/>
  <c r="AG334" i="1"/>
  <c r="AD322" i="1"/>
  <c r="AG320" i="1"/>
  <c r="AD317" i="1"/>
  <c r="AC315" i="1"/>
  <c r="AG313" i="1"/>
  <c r="AC309" i="1"/>
  <c r="AC306" i="1"/>
  <c r="AC296" i="1"/>
  <c r="AC20" i="1"/>
  <c r="AG20" i="1"/>
  <c r="AG8" i="1"/>
  <c r="AD8" i="1"/>
  <c r="AC6" i="1"/>
  <c r="AC4" i="1"/>
  <c r="AG4" i="1"/>
  <c r="AG563" i="1"/>
  <c r="AG553" i="1"/>
  <c r="AC553" i="1"/>
  <c r="AC544" i="1"/>
  <c r="AD544" i="1"/>
  <c r="AD542" i="1"/>
  <c r="AD538" i="1"/>
  <c r="AD535" i="1"/>
  <c r="AC535" i="1"/>
  <c r="AG531" i="1"/>
  <c r="AD531" i="1"/>
  <c r="AG529" i="1"/>
  <c r="AG527" i="1"/>
  <c r="AC525" i="1"/>
  <c r="AD522" i="1"/>
  <c r="AG513" i="1"/>
  <c r="AD513" i="1"/>
  <c r="AC508" i="1"/>
  <c r="AG508" i="1"/>
  <c r="AC500" i="1"/>
  <c r="AC494" i="1"/>
  <c r="AG483" i="1"/>
  <c r="AC471" i="1"/>
  <c r="AD471" i="1"/>
  <c r="AC469" i="1"/>
  <c r="AD469" i="1"/>
  <c r="AG466" i="1"/>
  <c r="AC466" i="1"/>
  <c r="AG463" i="1"/>
  <c r="AG459" i="1"/>
  <c r="AD459" i="1"/>
  <c r="AG448" i="1"/>
  <c r="AC448" i="1"/>
  <c r="AD445" i="1"/>
  <c r="AG445" i="1"/>
  <c r="AD252" i="1"/>
  <c r="AC252" i="1"/>
  <c r="AD433" i="1"/>
  <c r="AG433" i="1"/>
  <c r="AD430" i="1"/>
  <c r="AC427" i="1"/>
  <c r="AD427" i="1"/>
  <c r="AG391" i="1"/>
  <c r="AD386" i="1"/>
  <c r="AC379" i="1"/>
  <c r="AD374" i="1"/>
  <c r="AC372" i="1"/>
  <c r="AD369" i="1"/>
  <c r="AC358" i="1"/>
  <c r="AD356" i="1"/>
  <c r="AC334" i="1"/>
  <c r="AG322" i="1"/>
  <c r="AC322" i="1"/>
  <c r="AC320" i="1"/>
  <c r="AD320" i="1"/>
  <c r="AC317" i="1"/>
  <c r="AG317" i="1"/>
  <c r="AD315" i="1"/>
  <c r="AG315" i="1"/>
  <c r="AC313" i="1"/>
  <c r="AD313" i="1"/>
  <c r="AG309" i="1"/>
  <c r="AD309" i="1"/>
  <c r="AG306" i="1"/>
  <c r="AD306" i="1"/>
  <c r="AD296" i="1"/>
  <c r="AG296" i="1"/>
  <c r="AD20" i="1"/>
  <c r="AC8" i="1"/>
  <c r="AD6" i="1"/>
  <c r="AG6" i="1"/>
  <c r="AD4" i="1"/>
  <c r="L19" i="7" l="1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K7" i="1" l="1"/>
  <c r="AK5" i="1"/>
  <c r="B4" i="1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AK20" i="1" l="1"/>
  <c r="I5" i="11" l="1"/>
  <c r="K5" i="11" s="1"/>
  <c r="L5" i="11" s="1"/>
  <c r="M5" i="11" s="1"/>
  <c r="A76" i="2" l="1"/>
  <c r="I76" i="2" s="1"/>
  <c r="A79" i="2"/>
  <c r="H79" i="2" s="1"/>
  <c r="A78" i="2"/>
  <c r="H78" i="2" s="1"/>
  <c r="A77" i="2"/>
  <c r="H77" i="2" s="1"/>
  <c r="A80" i="2"/>
  <c r="F80" i="2" s="1"/>
  <c r="A81" i="2"/>
  <c r="F81" i="2" s="1"/>
  <c r="A82" i="2"/>
  <c r="C82" i="2" s="1"/>
  <c r="A83" i="2"/>
  <c r="I83" i="2" s="1"/>
  <c r="A84" i="2"/>
  <c r="C84" i="2" s="1"/>
  <c r="A86" i="2"/>
  <c r="I86" i="2" s="1"/>
  <c r="A87" i="2"/>
  <c r="C87" i="2" s="1"/>
  <c r="A88" i="2"/>
  <c r="H88" i="2" s="1"/>
  <c r="A93" i="2"/>
  <c r="H93" i="2" s="1"/>
  <c r="A85" i="2"/>
  <c r="I85" i="2" s="1"/>
  <c r="A89" i="2"/>
  <c r="F89" i="2" s="1"/>
  <c r="A90" i="2"/>
  <c r="H90" i="2" s="1"/>
  <c r="A91" i="2"/>
  <c r="I91" i="2" s="1"/>
  <c r="A92" i="2"/>
  <c r="F92" i="2" s="1"/>
  <c r="A3" i="1"/>
  <c r="A2" i="2"/>
  <c r="E3" i="1"/>
  <c r="AH3" i="1"/>
  <c r="A4" i="1"/>
  <c r="C76" i="2" l="1"/>
  <c r="AI3" i="1"/>
  <c r="F82" i="2"/>
  <c r="C77" i="2"/>
  <c r="C89" i="2"/>
  <c r="F91" i="2"/>
  <c r="F85" i="2"/>
  <c r="C80" i="2"/>
  <c r="I92" i="2"/>
  <c r="B83" i="2"/>
  <c r="C92" i="2"/>
  <c r="B92" i="2"/>
  <c r="E92" i="2" s="1"/>
  <c r="H92" i="2"/>
  <c r="I89" i="2"/>
  <c r="I84" i="2"/>
  <c r="C83" i="2"/>
  <c r="AJ4" i="1"/>
  <c r="A47" i="5"/>
  <c r="A48" i="5"/>
  <c r="A40" i="5"/>
  <c r="A14" i="9"/>
  <c r="A16" i="8"/>
  <c r="A48" i="4"/>
  <c r="A47" i="4"/>
  <c r="A10" i="9"/>
  <c r="A49" i="5"/>
  <c r="A5" i="8"/>
  <c r="A14" i="8"/>
  <c r="A13" i="9"/>
  <c r="A20" i="8"/>
  <c r="A42" i="5"/>
  <c r="A22" i="9"/>
  <c r="A23" i="9"/>
  <c r="A20" i="6"/>
  <c r="A51" i="4"/>
  <c r="A12" i="7"/>
  <c r="A23" i="8"/>
  <c r="A9" i="6"/>
  <c r="A9" i="7"/>
  <c r="A11" i="8"/>
  <c r="A25" i="7"/>
  <c r="A24" i="8"/>
  <c r="A18" i="9"/>
  <c r="A10" i="8"/>
  <c r="A35" i="4"/>
  <c r="A17" i="7"/>
  <c r="A14" i="7"/>
  <c r="A16" i="7"/>
  <c r="A5" i="11"/>
  <c r="A11" i="9"/>
  <c r="A6" i="11"/>
  <c r="A5" i="9"/>
  <c r="A24" i="9"/>
  <c r="A15" i="6"/>
  <c r="A8" i="12"/>
  <c r="A49" i="4"/>
  <c r="A25" i="9"/>
  <c r="A4" i="12"/>
  <c r="A5" i="6"/>
  <c r="A21" i="7"/>
  <c r="A24" i="7"/>
  <c r="A14" i="6"/>
  <c r="A43" i="5"/>
  <c r="A8" i="9"/>
  <c r="A26" i="7"/>
  <c r="A45" i="4"/>
  <c r="A10" i="6"/>
  <c r="A6" i="12"/>
  <c r="A38" i="4"/>
  <c r="A16" i="6"/>
  <c r="A19" i="7"/>
  <c r="A17" i="8"/>
  <c r="A13" i="6"/>
  <c r="A19" i="6"/>
  <c r="A12" i="8"/>
  <c r="A29" i="7"/>
  <c r="A46" i="4"/>
  <c r="A7" i="9"/>
  <c r="A20" i="7"/>
  <c r="A11" i="6"/>
  <c r="A25" i="8"/>
  <c r="A44" i="5"/>
  <c r="A46" i="5"/>
  <c r="A20" i="9"/>
  <c r="A50" i="4"/>
  <c r="A13" i="8"/>
  <c r="A39" i="5"/>
  <c r="A44" i="4"/>
  <c r="A15" i="9"/>
  <c r="A18" i="7"/>
  <c r="A18" i="8"/>
  <c r="A18" i="6"/>
  <c r="A22" i="7"/>
  <c r="A32" i="7"/>
  <c r="A15" i="7"/>
  <c r="A34" i="4"/>
  <c r="A16" i="9"/>
  <c r="A36" i="4"/>
  <c r="A17" i="6"/>
  <c r="A12" i="9"/>
  <c r="A23" i="7"/>
  <c r="A12" i="6"/>
  <c r="A5" i="12"/>
  <c r="A40" i="4"/>
  <c r="A37" i="4"/>
  <c r="A41" i="5"/>
  <c r="A41" i="4"/>
  <c r="A30" i="7"/>
  <c r="A22" i="8"/>
  <c r="A45" i="5"/>
  <c r="A52" i="4"/>
  <c r="A38" i="5"/>
  <c r="A21" i="6"/>
  <c r="A22" i="6"/>
  <c r="A28" i="7"/>
  <c r="A43" i="4"/>
  <c r="A13" i="7"/>
  <c r="A42" i="4"/>
  <c r="A11" i="7"/>
  <c r="A15" i="8"/>
  <c r="A7" i="12"/>
  <c r="A7" i="8"/>
  <c r="A39" i="4"/>
  <c r="A17" i="9"/>
  <c r="A6" i="8"/>
  <c r="A50" i="5"/>
  <c r="A8" i="8"/>
  <c r="A9" i="9"/>
  <c r="A8" i="6"/>
  <c r="A19" i="9"/>
  <c r="A21" i="9"/>
  <c r="A8" i="7"/>
  <c r="A7" i="6"/>
  <c r="A10" i="7"/>
  <c r="A6" i="6"/>
  <c r="A37" i="5"/>
  <c r="A4" i="11"/>
  <c r="A19" i="8"/>
  <c r="A9" i="8"/>
  <c r="A6" i="9"/>
  <c r="A4" i="9"/>
  <c r="A21" i="8"/>
  <c r="A36" i="5"/>
  <c r="A27" i="7"/>
  <c r="A31" i="7"/>
  <c r="F83" i="2"/>
  <c r="H83" i="2"/>
  <c r="B81" i="2"/>
  <c r="E81" i="2" s="1"/>
  <c r="H80" i="2"/>
  <c r="H85" i="2"/>
  <c r="B91" i="2"/>
  <c r="E91" i="2" s="1"/>
  <c r="B85" i="2"/>
  <c r="H81" i="2"/>
  <c r="F77" i="2"/>
  <c r="I78" i="2"/>
  <c r="B76" i="2"/>
  <c r="E76" i="2" s="1"/>
  <c r="B88" i="2"/>
  <c r="E88" i="2" s="1"/>
  <c r="B90" i="2"/>
  <c r="E90" i="2" s="1"/>
  <c r="C85" i="2"/>
  <c r="F88" i="2"/>
  <c r="I87" i="2"/>
  <c r="H86" i="2"/>
  <c r="I80" i="2"/>
  <c r="B80" i="2"/>
  <c r="E80" i="2" s="1"/>
  <c r="I77" i="2"/>
  <c r="B77" i="2"/>
  <c r="F78" i="2"/>
  <c r="B78" i="2"/>
  <c r="C79" i="2"/>
  <c r="H76" i="2"/>
  <c r="F90" i="2"/>
  <c r="I90" i="2"/>
  <c r="C86" i="2"/>
  <c r="F86" i="2"/>
  <c r="B93" i="2"/>
  <c r="C90" i="2"/>
  <c r="I93" i="2"/>
  <c r="C88" i="2"/>
  <c r="I88" i="2"/>
  <c r="B87" i="2"/>
  <c r="E87" i="2" s="1"/>
  <c r="B86" i="2"/>
  <c r="F84" i="2"/>
  <c r="I82" i="2"/>
  <c r="F76" i="2"/>
  <c r="H91" i="2"/>
  <c r="C91" i="2"/>
  <c r="B89" i="2"/>
  <c r="E89" i="2" s="1"/>
  <c r="H89" i="2"/>
  <c r="C93" i="2"/>
  <c r="F93" i="2"/>
  <c r="F87" i="2"/>
  <c r="H87" i="2"/>
  <c r="B84" i="2"/>
  <c r="H84" i="2"/>
  <c r="B82" i="2"/>
  <c r="E82" i="2" s="1"/>
  <c r="H82" i="2"/>
  <c r="C81" i="2"/>
  <c r="I81" i="2"/>
  <c r="C78" i="2"/>
  <c r="F79" i="2"/>
  <c r="B79" i="2"/>
  <c r="I79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G76" i="2"/>
  <c r="K76" i="2"/>
  <c r="R76" i="2"/>
  <c r="L76" i="2"/>
  <c r="N92" i="2"/>
  <c r="N91" i="2"/>
  <c r="N90" i="2"/>
  <c r="N89" i="2"/>
  <c r="N84" i="2"/>
  <c r="N83" i="2"/>
  <c r="N82" i="2"/>
  <c r="N81" i="2"/>
  <c r="N80" i="2"/>
  <c r="N85" i="2"/>
  <c r="N93" i="2"/>
  <c r="N88" i="2"/>
  <c r="N87" i="2"/>
  <c r="N86" i="2"/>
  <c r="N77" i="2"/>
  <c r="N78" i="2"/>
  <c r="N79" i="2"/>
  <c r="N76" i="2"/>
  <c r="AH45" i="1"/>
  <c r="E45" i="1"/>
  <c r="E51" i="1"/>
  <c r="AH51" i="1"/>
  <c r="AH53" i="1"/>
  <c r="E53" i="1"/>
  <c r="AH64" i="1"/>
  <c r="E64" i="1"/>
  <c r="E73" i="1"/>
  <c r="AH73" i="1"/>
  <c r="AH84" i="1"/>
  <c r="E84" i="1"/>
  <c r="AH94" i="1"/>
  <c r="E94" i="1"/>
  <c r="AH22" i="1"/>
  <c r="E22" i="1"/>
  <c r="E26" i="1"/>
  <c r="AH26" i="1"/>
  <c r="E43" i="1"/>
  <c r="AH43" i="1"/>
  <c r="AH112" i="1"/>
  <c r="E112" i="1"/>
  <c r="AH97" i="1"/>
  <c r="E97" i="1"/>
  <c r="E101" i="1"/>
  <c r="AH101" i="1"/>
  <c r="E103" i="1"/>
  <c r="AH103" i="1"/>
  <c r="AH105" i="1"/>
  <c r="E105" i="1"/>
  <c r="E107" i="1"/>
  <c r="AH107" i="1"/>
  <c r="AH109" i="1"/>
  <c r="E109" i="1"/>
  <c r="E76" i="1"/>
  <c r="AH76" i="1"/>
  <c r="AH78" i="1"/>
  <c r="E78" i="1"/>
  <c r="E81" i="1"/>
  <c r="AH81" i="1"/>
  <c r="E122" i="1"/>
  <c r="AH122" i="1"/>
  <c r="AH125" i="1"/>
  <c r="E125" i="1"/>
  <c r="E130" i="1"/>
  <c r="AH130" i="1"/>
  <c r="AH132" i="1"/>
  <c r="E132" i="1"/>
  <c r="E134" i="1"/>
  <c r="AH134" i="1"/>
  <c r="E136" i="1"/>
  <c r="AH136" i="1"/>
  <c r="E141" i="1"/>
  <c r="AH141" i="1"/>
  <c r="AH143" i="1"/>
  <c r="E143" i="1"/>
  <c r="AH148" i="1"/>
  <c r="E148" i="1"/>
  <c r="AH157" i="1"/>
  <c r="E157" i="1"/>
  <c r="AH241" i="1"/>
  <c r="E241" i="1"/>
  <c r="AH243" i="1"/>
  <c r="E243" i="1"/>
  <c r="E245" i="1"/>
  <c r="AH245" i="1"/>
  <c r="E249" i="1"/>
  <c r="AH249" i="1"/>
  <c r="E164" i="1"/>
  <c r="AH164" i="1"/>
  <c r="E175" i="1"/>
  <c r="AH175" i="1"/>
  <c r="AH185" i="1"/>
  <c r="E185" i="1"/>
  <c r="AH196" i="1"/>
  <c r="E196" i="1"/>
  <c r="AH200" i="1"/>
  <c r="E200" i="1"/>
  <c r="AH210" i="1"/>
  <c r="E210" i="1"/>
  <c r="E212" i="1"/>
  <c r="AH212" i="1"/>
  <c r="E220" i="1"/>
  <c r="AH220" i="1"/>
  <c r="AH225" i="1"/>
  <c r="E225" i="1"/>
  <c r="AH236" i="1"/>
  <c r="E236" i="1"/>
  <c r="E261" i="1"/>
  <c r="AH261" i="1"/>
  <c r="AH272" i="1"/>
  <c r="E272" i="1"/>
  <c r="AH284" i="1"/>
  <c r="E284" i="1"/>
  <c r="AH288" i="1"/>
  <c r="E288" i="1"/>
  <c r="J83" i="2"/>
  <c r="J92" i="2"/>
  <c r="J81" i="2"/>
  <c r="J78" i="2"/>
  <c r="J87" i="2"/>
  <c r="J91" i="2"/>
  <c r="J84" i="2"/>
  <c r="J85" i="2"/>
  <c r="A5" i="1"/>
  <c r="J77" i="2"/>
  <c r="J80" i="2"/>
  <c r="AI288" i="1" l="1"/>
  <c r="AI284" i="1"/>
  <c r="AI261" i="1"/>
  <c r="AI220" i="1"/>
  <c r="AI212" i="1"/>
  <c r="AI175" i="1"/>
  <c r="AI164" i="1"/>
  <c r="AI249" i="1"/>
  <c r="AI245" i="1"/>
  <c r="AI141" i="1"/>
  <c r="AI136" i="1"/>
  <c r="AI134" i="1"/>
  <c r="AI130" i="1"/>
  <c r="AI122" i="1"/>
  <c r="AI81" i="1"/>
  <c r="AI76" i="1"/>
  <c r="AI107" i="1"/>
  <c r="AI103" i="1"/>
  <c r="AI101" i="1"/>
  <c r="AI43" i="1"/>
  <c r="AI26" i="1"/>
  <c r="AI73" i="1"/>
  <c r="AI51" i="1"/>
  <c r="AI272" i="1"/>
  <c r="AI236" i="1"/>
  <c r="AI225" i="1"/>
  <c r="AI210" i="1"/>
  <c r="AI200" i="1"/>
  <c r="AI196" i="1"/>
  <c r="AI185" i="1"/>
  <c r="AI243" i="1"/>
  <c r="AI241" i="1"/>
  <c r="AI157" i="1"/>
  <c r="AI148" i="1"/>
  <c r="AI143" i="1"/>
  <c r="AI132" i="1"/>
  <c r="AI125" i="1"/>
  <c r="AI78" i="1"/>
  <c r="AI109" i="1"/>
  <c r="AI105" i="1"/>
  <c r="AI97" i="1"/>
  <c r="AI112" i="1"/>
  <c r="AI22" i="1"/>
  <c r="AI94" i="1"/>
  <c r="AI84" i="1"/>
  <c r="AI64" i="1"/>
  <c r="AI53" i="1"/>
  <c r="AI45" i="1"/>
  <c r="M87" i="2"/>
  <c r="O87" i="2" s="1"/>
  <c r="P87" i="2" s="1"/>
  <c r="Q87" i="2" s="1"/>
  <c r="E78" i="2"/>
  <c r="E85" i="2"/>
  <c r="E83" i="2"/>
  <c r="E77" i="2"/>
  <c r="E93" i="2"/>
  <c r="E86" i="2"/>
  <c r="E79" i="2"/>
  <c r="E84" i="2"/>
  <c r="AK226" i="1"/>
  <c r="AK225" i="1"/>
  <c r="AK220" i="1"/>
  <c r="AK212" i="1"/>
  <c r="AK196" i="1"/>
  <c r="AK158" i="1"/>
  <c r="AK148" i="1"/>
  <c r="AK108" i="1"/>
  <c r="AK102" i="1"/>
  <c r="AK101" i="1"/>
  <c r="AK27" i="1"/>
  <c r="AK51" i="1"/>
  <c r="AK46" i="1"/>
  <c r="AK44" i="1"/>
  <c r="AK221" i="1"/>
  <c r="AK213" i="1"/>
  <c r="AK200" i="1"/>
  <c r="AK201" i="1" s="1"/>
  <c r="AK164" i="1"/>
  <c r="AK165" i="1" s="1"/>
  <c r="AK241" i="1"/>
  <c r="AK242" i="1" s="1"/>
  <c r="AK243" i="1" s="1"/>
  <c r="AK244" i="1" s="1"/>
  <c r="AK245" i="1" s="1"/>
  <c r="AK246" i="1" s="1"/>
  <c r="AK149" i="1"/>
  <c r="AK109" i="1"/>
  <c r="AK74" i="1" s="1"/>
  <c r="AK103" i="1"/>
  <c r="AK104" i="1" s="1"/>
  <c r="AK105" i="1" s="1"/>
  <c r="AK106" i="1" s="1"/>
  <c r="AK107" i="1" s="1"/>
  <c r="AK73" i="1"/>
  <c r="AK82" i="1" s="1"/>
  <c r="AK52" i="1"/>
  <c r="AK53" i="1" s="1"/>
  <c r="AK54" i="1" s="1"/>
  <c r="AK45" i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C288" i="1"/>
  <c r="AG284" i="1"/>
  <c r="AD272" i="1"/>
  <c r="AD261" i="1"/>
  <c r="AG236" i="1"/>
  <c r="AD225" i="1"/>
  <c r="AC220" i="1"/>
  <c r="AD220" i="1"/>
  <c r="AC212" i="1"/>
  <c r="AD210" i="1"/>
  <c r="AD200" i="1"/>
  <c r="AC196" i="1"/>
  <c r="AG185" i="1"/>
  <c r="AC185" i="1"/>
  <c r="AD175" i="1"/>
  <c r="AG175" i="1"/>
  <c r="AG164" i="1"/>
  <c r="AC249" i="1"/>
  <c r="AD249" i="1"/>
  <c r="AG245" i="1"/>
  <c r="AD245" i="1"/>
  <c r="AG243" i="1"/>
  <c r="AD243" i="1"/>
  <c r="AG241" i="1"/>
  <c r="AD241" i="1"/>
  <c r="AG157" i="1"/>
  <c r="AC148" i="1"/>
  <c r="AD143" i="1"/>
  <c r="AC141" i="1"/>
  <c r="AG136" i="1"/>
  <c r="AD134" i="1"/>
  <c r="AD132" i="1"/>
  <c r="AG130" i="1"/>
  <c r="AC130" i="1"/>
  <c r="AC125" i="1"/>
  <c r="AG125" i="1"/>
  <c r="AC122" i="1"/>
  <c r="AD122" i="1"/>
  <c r="AC81" i="1"/>
  <c r="AC78" i="1"/>
  <c r="AD76" i="1"/>
  <c r="AC109" i="1"/>
  <c r="AC107" i="1"/>
  <c r="AG107" i="1"/>
  <c r="AG105" i="1"/>
  <c r="AC105" i="1"/>
  <c r="AC103" i="1"/>
  <c r="AC101" i="1"/>
  <c r="AC97" i="1"/>
  <c r="AG112" i="1"/>
  <c r="AC43" i="1"/>
  <c r="AD26" i="1"/>
  <c r="AD22" i="1"/>
  <c r="AD94" i="1"/>
  <c r="AD84" i="1"/>
  <c r="AG84" i="1"/>
  <c r="AC73" i="1"/>
  <c r="AC64" i="1"/>
  <c r="AG64" i="1"/>
  <c r="AD53" i="1"/>
  <c r="AD51" i="1"/>
  <c r="AG51" i="1"/>
  <c r="AC45" i="1"/>
  <c r="AC51" i="1"/>
  <c r="AG45" i="1"/>
  <c r="AG288" i="1"/>
  <c r="AD288" i="1"/>
  <c r="AD284" i="1"/>
  <c r="AC284" i="1"/>
  <c r="AG272" i="1"/>
  <c r="AC272" i="1"/>
  <c r="AC261" i="1"/>
  <c r="AG261" i="1"/>
  <c r="AD236" i="1"/>
  <c r="AC236" i="1"/>
  <c r="AC225" i="1"/>
  <c r="AG225" i="1"/>
  <c r="AG220" i="1"/>
  <c r="AG212" i="1"/>
  <c r="AD212" i="1"/>
  <c r="AC210" i="1"/>
  <c r="AG210" i="1"/>
  <c r="AC200" i="1"/>
  <c r="AG200" i="1"/>
  <c r="AD196" i="1"/>
  <c r="AG196" i="1"/>
  <c r="AD185" i="1"/>
  <c r="AC175" i="1"/>
  <c r="AD164" i="1"/>
  <c r="AC164" i="1"/>
  <c r="AG249" i="1"/>
  <c r="AC245" i="1"/>
  <c r="AC243" i="1"/>
  <c r="AC241" i="1"/>
  <c r="AC157" i="1"/>
  <c r="AD157" i="1"/>
  <c r="AG148" i="1"/>
  <c r="AD148" i="1"/>
  <c r="AG143" i="1"/>
  <c r="AC143" i="1"/>
  <c r="AG141" i="1"/>
  <c r="AD141" i="1"/>
  <c r="AD136" i="1"/>
  <c r="AC136" i="1"/>
  <c r="AC134" i="1"/>
  <c r="AG134" i="1"/>
  <c r="AG132" i="1"/>
  <c r="AC132" i="1"/>
  <c r="AD130" i="1"/>
  <c r="AD125" i="1"/>
  <c r="AG122" i="1"/>
  <c r="AD81" i="1"/>
  <c r="AG81" i="1"/>
  <c r="AD78" i="1"/>
  <c r="AG78" i="1"/>
  <c r="AC76" i="1"/>
  <c r="AG76" i="1"/>
  <c r="AG109" i="1"/>
  <c r="AD109" i="1"/>
  <c r="AD107" i="1"/>
  <c r="AD105" i="1"/>
  <c r="AG103" i="1"/>
  <c r="AD103" i="1"/>
  <c r="AG101" i="1"/>
  <c r="AD101" i="1"/>
  <c r="AG97" i="1"/>
  <c r="AD97" i="1"/>
  <c r="AD112" i="1"/>
  <c r="AC112" i="1"/>
  <c r="AG43" i="1"/>
  <c r="AD43" i="1"/>
  <c r="AG26" i="1"/>
  <c r="AC26" i="1"/>
  <c r="AC22" i="1"/>
  <c r="AG22" i="1"/>
  <c r="AC94" i="1"/>
  <c r="AG94" i="1"/>
  <c r="AC84" i="1"/>
  <c r="AD73" i="1"/>
  <c r="AG73" i="1"/>
  <c r="AD64" i="1"/>
  <c r="AC53" i="1"/>
  <c r="AG53" i="1"/>
  <c r="AD45" i="1"/>
  <c r="E5" i="1"/>
  <c r="A6" i="1"/>
  <c r="AH5" i="1"/>
  <c r="AI5" i="1" l="1"/>
  <c r="AJ6" i="1"/>
  <c r="O79" i="2"/>
  <c r="P79" i="2" s="1"/>
  <c r="Q79" i="2" s="1"/>
  <c r="O76" i="2"/>
  <c r="P76" i="2" s="1"/>
  <c r="Q76" i="2" s="1"/>
  <c r="O78" i="2"/>
  <c r="P78" i="2" s="1"/>
  <c r="Q78" i="2" s="1"/>
  <c r="O86" i="2"/>
  <c r="P86" i="2" s="1"/>
  <c r="Q86" i="2" s="1"/>
  <c r="AH247" i="1"/>
  <c r="E247" i="1"/>
  <c r="J82" i="2"/>
  <c r="J76" i="2"/>
  <c r="A7" i="1"/>
  <c r="J89" i="2"/>
  <c r="A8" i="1"/>
  <c r="I2" i="2"/>
  <c r="J2" i="2"/>
  <c r="J79" i="2"/>
  <c r="AG5" i="1"/>
  <c r="AG3" i="1"/>
  <c r="J88" i="2"/>
  <c r="AH7" i="1"/>
  <c r="J86" i="2"/>
  <c r="E7" i="1"/>
  <c r="F2" i="2"/>
  <c r="J93" i="2"/>
  <c r="J90" i="2"/>
  <c r="H2" i="2"/>
  <c r="AI7" i="1" l="1"/>
  <c r="AJ8" i="1"/>
  <c r="AK247" i="1"/>
  <c r="AK248" i="1" s="1"/>
  <c r="AK249" i="1" s="1"/>
  <c r="AI247" i="1"/>
  <c r="AC247" i="1"/>
  <c r="AD247" i="1"/>
  <c r="AG247" i="1"/>
  <c r="AG7" i="1"/>
  <c r="A9" i="1"/>
  <c r="AH9" i="1"/>
  <c r="E9" i="1"/>
  <c r="A10" i="1"/>
  <c r="E10" i="1"/>
  <c r="AH10" i="1"/>
  <c r="A11" i="1"/>
  <c r="AH11" i="1"/>
  <c r="E11" i="1"/>
  <c r="AI9" i="1" l="1"/>
  <c r="AJ11" i="1"/>
  <c r="AK10" i="1"/>
  <c r="AK11" i="1" s="1"/>
  <c r="AJ10" i="1"/>
  <c r="A12" i="1"/>
  <c r="AG11" i="1"/>
  <c r="AG9" i="1"/>
  <c r="E12" i="1"/>
  <c r="AI10" i="1"/>
  <c r="AG10" i="1"/>
  <c r="AH12" i="1"/>
  <c r="AJ12" i="1" l="1"/>
  <c r="AK12" i="1"/>
  <c r="AG12" i="1"/>
  <c r="AI11" i="1"/>
  <c r="A13" i="1"/>
  <c r="E13" i="1"/>
  <c r="AH13" i="1"/>
  <c r="A14" i="1"/>
  <c r="E14" i="1"/>
  <c r="AH14" i="1"/>
  <c r="AJ14" i="1" l="1"/>
  <c r="AJ13" i="1"/>
  <c r="AK13" i="1"/>
  <c r="AK14" i="1" s="1"/>
  <c r="AK197" i="1"/>
  <c r="A15" i="1"/>
  <c r="AI12" i="1"/>
  <c r="E15" i="1"/>
  <c r="AG13" i="1"/>
  <c r="AG14" i="1"/>
  <c r="AH15" i="1"/>
  <c r="AJ15" i="1" l="1"/>
  <c r="AK15" i="1"/>
  <c r="AK370" i="1"/>
  <c r="AK359" i="1"/>
  <c r="AK323" i="1"/>
  <c r="A16" i="1"/>
  <c r="E16" i="1" s="1"/>
  <c r="AH16" i="1"/>
  <c r="AK16" i="1" l="1"/>
  <c r="AJ16" i="1"/>
  <c r="AK210" i="1"/>
  <c r="AK211" i="1"/>
  <c r="AK236" i="1"/>
  <c r="AK253" i="1"/>
  <c r="AK261" i="1"/>
  <c r="AK262" i="1"/>
  <c r="AK272" i="1"/>
  <c r="AK273" i="1"/>
  <c r="AK284" i="1"/>
  <c r="AK285" i="1"/>
  <c r="AK288" i="1"/>
  <c r="AK289" i="1"/>
  <c r="AK296" i="1"/>
  <c r="AK297" i="1"/>
  <c r="AK306" i="1"/>
  <c r="AK307" i="1"/>
  <c r="AK309" i="1"/>
  <c r="AK310" i="1"/>
  <c r="AK356" i="1"/>
  <c r="AK357" i="1"/>
  <c r="AK358" i="1"/>
  <c r="AK320" i="1"/>
  <c r="AK321" i="1"/>
  <c r="AK322" i="1"/>
  <c r="AK334" i="1"/>
  <c r="AK335" i="1"/>
  <c r="AK369" i="1"/>
  <c r="B4" i="6" l="1"/>
  <c r="A17" i="1"/>
  <c r="AG15" i="1"/>
  <c r="AI13" i="1"/>
  <c r="AH17" i="1"/>
  <c r="E17" i="1"/>
  <c r="A18" i="1"/>
  <c r="AG16" i="1"/>
  <c r="B3" i="11"/>
  <c r="AK17" i="1" l="1"/>
  <c r="AJ18" i="1"/>
  <c r="AJ17" i="1"/>
  <c r="E4" i="6"/>
  <c r="F4" i="6"/>
  <c r="D4" i="6"/>
  <c r="I4" i="6"/>
  <c r="H4" i="6"/>
  <c r="G4" i="6"/>
  <c r="C4" i="6"/>
  <c r="A4" i="6" s="1"/>
  <c r="J4" i="6"/>
  <c r="A19" i="1"/>
  <c r="E19" i="1" s="1"/>
  <c r="G3" i="11"/>
  <c r="D3" i="11"/>
  <c r="F3" i="11"/>
  <c r="AG17" i="1"/>
  <c r="A20" i="1"/>
  <c r="AI14" i="1"/>
  <c r="H3" i="11"/>
  <c r="AH19" i="1"/>
  <c r="AI19" i="1" l="1"/>
  <c r="AJ20" i="1"/>
  <c r="K4" i="6"/>
  <c r="L4" i="6" s="1"/>
  <c r="M4" i="6" s="1"/>
  <c r="AG19" i="1"/>
  <c r="AK484" i="1" l="1"/>
  <c r="AK514" i="1" l="1"/>
  <c r="AK530" i="1" l="1"/>
  <c r="AI15" i="1"/>
  <c r="AK543" i="1" l="1"/>
  <c r="A21" i="1"/>
  <c r="E21" i="1"/>
  <c r="AI16" i="1"/>
  <c r="A22" i="1"/>
  <c r="AH21" i="1"/>
  <c r="A23" i="1"/>
  <c r="E23" i="1"/>
  <c r="A24" i="1"/>
  <c r="AH23" i="1"/>
  <c r="AH24" i="1"/>
  <c r="E24" i="1"/>
  <c r="A25" i="1"/>
  <c r="E25" i="1"/>
  <c r="AH25" i="1"/>
  <c r="A26" i="1"/>
  <c r="A27" i="1"/>
  <c r="AH27" i="1"/>
  <c r="E27" i="1"/>
  <c r="A28" i="1"/>
  <c r="AH28" i="1"/>
  <c r="E28" i="1"/>
  <c r="A29" i="1"/>
  <c r="AH29" i="1"/>
  <c r="E29" i="1"/>
  <c r="A30" i="1"/>
  <c r="E30" i="1"/>
  <c r="AH30" i="1"/>
  <c r="A31" i="1"/>
  <c r="E31" i="1"/>
  <c r="AH31" i="1"/>
  <c r="A32" i="1"/>
  <c r="AH32" i="1"/>
  <c r="E32" i="1"/>
  <c r="A33" i="1"/>
  <c r="AH33" i="1"/>
  <c r="E33" i="1"/>
  <c r="A34" i="1"/>
  <c r="AH34" i="1"/>
  <c r="E34" i="1"/>
  <c r="A35" i="1"/>
  <c r="E35" i="1"/>
  <c r="AH35" i="1"/>
  <c r="A36" i="1"/>
  <c r="AH36" i="1"/>
  <c r="E36" i="1"/>
  <c r="A37" i="1"/>
  <c r="AH37" i="1"/>
  <c r="E37" i="1"/>
  <c r="A38" i="1"/>
  <c r="AH38" i="1"/>
  <c r="E38" i="1"/>
  <c r="A39" i="1"/>
  <c r="E39" i="1"/>
  <c r="AH39" i="1"/>
  <c r="A40" i="1"/>
  <c r="AH40" i="1"/>
  <c r="E40" i="1"/>
  <c r="A41" i="1"/>
  <c r="AH41" i="1"/>
  <c r="E41" i="1"/>
  <c r="A42" i="1"/>
  <c r="E42" i="1"/>
  <c r="AH42" i="1"/>
  <c r="A43" i="1"/>
  <c r="AJ43" i="1" l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K28" i="1"/>
  <c r="AK29" i="1" s="1"/>
  <c r="AK30" i="1" s="1"/>
  <c r="AK31" i="1" s="1"/>
  <c r="AJ28" i="1"/>
  <c r="AI27" i="1"/>
  <c r="AJ26" i="1"/>
  <c r="AJ25" i="1"/>
  <c r="AJ24" i="1"/>
  <c r="AI23" i="1"/>
  <c r="AJ22" i="1"/>
  <c r="AI21" i="1"/>
  <c r="AK554" i="1"/>
  <c r="A44" i="1"/>
  <c r="AG25" i="1"/>
  <c r="AG37" i="1"/>
  <c r="AG29" i="1"/>
  <c r="AG42" i="1"/>
  <c r="AG28" i="1"/>
  <c r="E44" i="1"/>
  <c r="AG40" i="1"/>
  <c r="AI28" i="1"/>
  <c r="AG35" i="1"/>
  <c r="AG27" i="1"/>
  <c r="AG38" i="1"/>
  <c r="AG21" i="1"/>
  <c r="B2" i="2"/>
  <c r="AI17" i="1"/>
  <c r="AG36" i="1"/>
  <c r="AG41" i="1"/>
  <c r="AG33" i="1"/>
  <c r="AG24" i="1"/>
  <c r="AG34" i="1"/>
  <c r="AG23" i="1"/>
  <c r="A45" i="1"/>
  <c r="AG30" i="1"/>
  <c r="AG39" i="1"/>
  <c r="AG31" i="1"/>
  <c r="AI24" i="1"/>
  <c r="AG32" i="1"/>
  <c r="AH44" i="1"/>
  <c r="A46" i="1"/>
  <c r="A47" i="1"/>
  <c r="A48" i="1" s="1"/>
  <c r="A49" i="1" s="1"/>
  <c r="E47" i="1"/>
  <c r="AH47" i="1"/>
  <c r="E48" i="1"/>
  <c r="AH49" i="1"/>
  <c r="A50" i="1"/>
  <c r="A51" i="1" s="1"/>
  <c r="AH50" i="1"/>
  <c r="A52" i="1"/>
  <c r="A53" i="1" s="1"/>
  <c r="E52" i="1"/>
  <c r="A54" i="1"/>
  <c r="A55" i="1" s="1"/>
  <c r="E54" i="1"/>
  <c r="E55" i="1"/>
  <c r="A56" i="1"/>
  <c r="A57" i="1" s="1"/>
  <c r="E56" i="1"/>
  <c r="AH57" i="1"/>
  <c r="A58" i="1"/>
  <c r="A59" i="1" s="1"/>
  <c r="AH58" i="1"/>
  <c r="E59" i="1"/>
  <c r="A60" i="1"/>
  <c r="A61" i="1" s="1"/>
  <c r="AH60" i="1"/>
  <c r="E61" i="1"/>
  <c r="A62" i="1"/>
  <c r="A63" i="1" s="1"/>
  <c r="E62" i="1"/>
  <c r="AH63" i="1"/>
  <c r="A64" i="1"/>
  <c r="A65" i="1" s="1"/>
  <c r="E65" i="1"/>
  <c r="A66" i="1"/>
  <c r="A67" i="1" s="1"/>
  <c r="E66" i="1"/>
  <c r="E67" i="1"/>
  <c r="A68" i="1"/>
  <c r="A69" i="1" s="1"/>
  <c r="AH68" i="1"/>
  <c r="AH69" i="1"/>
  <c r="A70" i="1"/>
  <c r="A71" i="1" s="1"/>
  <c r="E70" i="1"/>
  <c r="AH71" i="1"/>
  <c r="A72" i="1"/>
  <c r="AH72" i="1"/>
  <c r="A73" i="1"/>
  <c r="E72" i="1"/>
  <c r="E71" i="1"/>
  <c r="AH70" i="1"/>
  <c r="E69" i="1"/>
  <c r="E68" i="1"/>
  <c r="AH67" i="1"/>
  <c r="AH66" i="1"/>
  <c r="AH65" i="1"/>
  <c r="E63" i="1"/>
  <c r="AH62" i="1"/>
  <c r="AH61" i="1"/>
  <c r="E60" i="1"/>
  <c r="AH59" i="1"/>
  <c r="E58" i="1"/>
  <c r="E57" i="1"/>
  <c r="AH56" i="1"/>
  <c r="AH55" i="1"/>
  <c r="AH54" i="1"/>
  <c r="AH52" i="1"/>
  <c r="E50" i="1"/>
  <c r="E49" i="1"/>
  <c r="AH48" i="1"/>
  <c r="AH46" i="1"/>
  <c r="E46" i="1"/>
  <c r="A74" i="1"/>
  <c r="AH74" i="1"/>
  <c r="E74" i="1"/>
  <c r="A75" i="1"/>
  <c r="AH75" i="1"/>
  <c r="E75" i="1"/>
  <c r="A76" i="1"/>
  <c r="A77" i="1"/>
  <c r="AH77" i="1"/>
  <c r="E77" i="1"/>
  <c r="A78" i="1"/>
  <c r="A79" i="1"/>
  <c r="AH79" i="1"/>
  <c r="E79" i="1"/>
  <c r="A80" i="1"/>
  <c r="E80" i="1"/>
  <c r="AH80" i="1"/>
  <c r="A81" i="1"/>
  <c r="AJ81" i="1" l="1"/>
  <c r="AJ80" i="1"/>
  <c r="AI79" i="1"/>
  <c r="AJ78" i="1"/>
  <c r="AI77" i="1"/>
  <c r="AJ76" i="1"/>
  <c r="AK75" i="1"/>
  <c r="AK76" i="1" s="1"/>
  <c r="AK77" i="1" s="1"/>
  <c r="AK78" i="1" s="1"/>
  <c r="AK79" i="1" s="1"/>
  <c r="AK80" i="1" s="1"/>
  <c r="AK81" i="1" s="1"/>
  <c r="AK113" i="1" s="1"/>
  <c r="AJ75" i="1"/>
  <c r="AI74" i="1"/>
  <c r="AJ73" i="1"/>
  <c r="AJ72" i="1"/>
  <c r="AJ71" i="1"/>
  <c r="AJ70" i="1"/>
  <c r="AJ69" i="1"/>
  <c r="AJ68" i="1"/>
  <c r="AJ67" i="1"/>
  <c r="AJ66" i="1"/>
  <c r="AI65" i="1"/>
  <c r="AJ64" i="1"/>
  <c r="AJ63" i="1"/>
  <c r="AJ62" i="1"/>
  <c r="AJ61" i="1"/>
  <c r="AJ60" i="1"/>
  <c r="AJ59" i="1"/>
  <c r="AJ58" i="1"/>
  <c r="AJ57" i="1"/>
  <c r="AJ56" i="1"/>
  <c r="AK55" i="1"/>
  <c r="AK56" i="1" s="1"/>
  <c r="AK57" i="1" s="1"/>
  <c r="AK58" i="1" s="1"/>
  <c r="AK59" i="1" s="1"/>
  <c r="AK24" i="1" s="1"/>
  <c r="AK25" i="1" s="1"/>
  <c r="AK26" i="1" s="1"/>
  <c r="AJ55" i="1"/>
  <c r="AI54" i="1"/>
  <c r="AJ53" i="1"/>
  <c r="AI52" i="1"/>
  <c r="AJ51" i="1"/>
  <c r="AJ50" i="1"/>
  <c r="AJ49" i="1"/>
  <c r="AJ48" i="1"/>
  <c r="AK47" i="1"/>
  <c r="AK48" i="1" s="1"/>
  <c r="AK49" i="1" s="1"/>
  <c r="AK50" i="1" s="1"/>
  <c r="AJ47" i="1"/>
  <c r="AI46" i="1"/>
  <c r="AJ45" i="1"/>
  <c r="AI44" i="1"/>
  <c r="AK60" i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82" i="1"/>
  <c r="AG74" i="1"/>
  <c r="AG69" i="1"/>
  <c r="AG56" i="1"/>
  <c r="AG47" i="1"/>
  <c r="AG77" i="1"/>
  <c r="AG63" i="1"/>
  <c r="AG59" i="1"/>
  <c r="AG48" i="1"/>
  <c r="AG80" i="1"/>
  <c r="AG72" i="1"/>
  <c r="AG68" i="1"/>
  <c r="AI55" i="1"/>
  <c r="C3" i="11"/>
  <c r="AI75" i="1"/>
  <c r="AG62" i="1"/>
  <c r="AG58" i="1"/>
  <c r="AG49" i="1"/>
  <c r="AG44" i="1"/>
  <c r="AG54" i="1"/>
  <c r="AG79" i="1"/>
  <c r="AG71" i="1"/>
  <c r="AG67" i="1"/>
  <c r="AG52" i="1"/>
  <c r="AI29" i="1"/>
  <c r="AI66" i="1"/>
  <c r="AG61" i="1"/>
  <c r="AG57" i="1"/>
  <c r="AI25" i="1"/>
  <c r="AG75" i="1"/>
  <c r="AG70" i="1"/>
  <c r="AG66" i="1"/>
  <c r="AG50" i="1"/>
  <c r="AI80" i="1"/>
  <c r="AG65" i="1"/>
  <c r="AG60" i="1"/>
  <c r="AG55" i="1"/>
  <c r="AI47" i="1"/>
  <c r="E82" i="1"/>
  <c r="AG46" i="1"/>
  <c r="AH82" i="1"/>
  <c r="AI82" i="1" l="1"/>
  <c r="G2" i="2"/>
  <c r="A3" i="11"/>
  <c r="AK573" i="1"/>
  <c r="AI67" i="1"/>
  <c r="E3" i="11"/>
  <c r="AI68" i="1"/>
  <c r="AI30" i="1"/>
  <c r="A83" i="1"/>
  <c r="AI56" i="1"/>
  <c r="AG82" i="1"/>
  <c r="AI48" i="1"/>
  <c r="E83" i="1"/>
  <c r="AJ83" i="1" l="1"/>
  <c r="AK585" i="1"/>
  <c r="AH83" i="1"/>
  <c r="AI57" i="1"/>
  <c r="AI69" i="1"/>
  <c r="AI70" i="1"/>
  <c r="A84" i="1"/>
  <c r="AI49" i="1"/>
  <c r="AG83" i="1"/>
  <c r="AI31" i="1"/>
  <c r="AI83" i="1"/>
  <c r="AK83" i="1" l="1"/>
  <c r="AK84" i="1" s="1"/>
  <c r="AK85" i="1" s="1"/>
  <c r="AJ84" i="1"/>
  <c r="AI32" i="1"/>
  <c r="AI33" i="1" s="1"/>
  <c r="A85" i="1"/>
  <c r="AH85" i="1"/>
  <c r="E85" i="1"/>
  <c r="AI50" i="1"/>
  <c r="AI71" i="1"/>
  <c r="AI58" i="1"/>
  <c r="AI85" i="1" l="1"/>
  <c r="AI59" i="1"/>
  <c r="A86" i="1"/>
  <c r="E86" i="1"/>
  <c r="AI34" i="1"/>
  <c r="AI35" i="1" s="1"/>
  <c r="AI72" i="1"/>
  <c r="AG85" i="1"/>
  <c r="AI36" i="1"/>
  <c r="AH86" i="1"/>
  <c r="AK86" i="1" l="1"/>
  <c r="AJ86" i="1"/>
  <c r="AI60" i="1"/>
  <c r="AI37" i="1"/>
  <c r="AI86" i="1"/>
  <c r="A87" i="1"/>
  <c r="AG86" i="1"/>
  <c r="E87" i="1"/>
  <c r="AJ87" i="1" l="1"/>
  <c r="AH87" i="1"/>
  <c r="AG87" i="1"/>
  <c r="AI61" i="1"/>
  <c r="AI62" i="1" s="1"/>
  <c r="AI63" i="1" s="1"/>
  <c r="AI38" i="1"/>
  <c r="AI87" i="1"/>
  <c r="A88" i="1"/>
  <c r="AH88" i="1"/>
  <c r="AK87" i="1" l="1"/>
  <c r="AJ88" i="1"/>
  <c r="AK88" i="1"/>
  <c r="E88" i="1"/>
  <c r="AI39" i="1"/>
  <c r="A89" i="1"/>
  <c r="E89" i="1"/>
  <c r="AJ89" i="1" l="1"/>
  <c r="AK591" i="1"/>
  <c r="AH89" i="1"/>
  <c r="AI88" i="1"/>
  <c r="AI40" i="1"/>
  <c r="AG89" i="1"/>
  <c r="AG88" i="1"/>
  <c r="AI89" i="1"/>
  <c r="A90" i="1"/>
  <c r="AH90" i="1"/>
  <c r="AK89" i="1" l="1"/>
  <c r="AK90" i="1" s="1"/>
  <c r="AJ90" i="1"/>
  <c r="E90" i="1"/>
  <c r="AI41" i="1"/>
  <c r="AI42" i="1"/>
  <c r="A91" i="1"/>
  <c r="E91" i="1" s="1"/>
  <c r="AH91" i="1"/>
  <c r="AJ91" i="1" l="1"/>
  <c r="AK91" i="1"/>
  <c r="AI90" i="1"/>
  <c r="AG91" i="1"/>
  <c r="A92" i="1"/>
  <c r="AH92" i="1"/>
  <c r="AG90" i="1"/>
  <c r="AI91" i="1"/>
  <c r="E92" i="1"/>
  <c r="AJ92" i="1" l="1"/>
  <c r="AK92" i="1"/>
  <c r="A93" i="1"/>
  <c r="AI92" i="1"/>
  <c r="E93" i="1"/>
  <c r="AG92" i="1"/>
  <c r="AJ93" i="1" l="1"/>
  <c r="AK595" i="1"/>
  <c r="AH93" i="1"/>
  <c r="A94" i="1"/>
  <c r="AI93" i="1"/>
  <c r="AG93" i="1"/>
  <c r="AK93" i="1" l="1"/>
  <c r="AK94" i="1" s="1"/>
  <c r="AK21" i="1" s="1"/>
  <c r="AK22" i="1" s="1"/>
  <c r="AK23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110" i="1" s="1"/>
  <c r="AJ94" i="1"/>
  <c r="A95" i="1"/>
  <c r="AH95" i="1"/>
  <c r="AK599" i="1" l="1"/>
  <c r="E95" i="1"/>
  <c r="A96" i="1"/>
  <c r="A97" i="1"/>
  <c r="A98" i="1"/>
  <c r="AH98" i="1"/>
  <c r="E98" i="1"/>
  <c r="AH96" i="1"/>
  <c r="AJ97" i="1" l="1"/>
  <c r="AJ96" i="1"/>
  <c r="AI95" i="1"/>
  <c r="AI98" i="1"/>
  <c r="AH601" i="1"/>
  <c r="E601" i="1"/>
  <c r="AG98" i="1"/>
  <c r="A99" i="1"/>
  <c r="E96" i="1"/>
  <c r="AG95" i="1"/>
  <c r="AH99" i="1"/>
  <c r="AJ99" i="1" l="1"/>
  <c r="AK601" i="1"/>
  <c r="AD601" i="1"/>
  <c r="AC601" i="1"/>
  <c r="AG601" i="1"/>
  <c r="AI601" i="1"/>
  <c r="AG96" i="1"/>
  <c r="E99" i="1"/>
  <c r="AI96" i="1"/>
  <c r="A100" i="1"/>
  <c r="E100" i="1"/>
  <c r="AJ100" i="1" l="1"/>
  <c r="AK602" i="1"/>
  <c r="AH100" i="1"/>
  <c r="AI99" i="1"/>
  <c r="AI100" i="1"/>
  <c r="AG100" i="1"/>
  <c r="AG99" i="1"/>
  <c r="A101" i="1"/>
  <c r="AJ101" i="1" l="1"/>
  <c r="A102" i="1"/>
  <c r="AH102" i="1"/>
  <c r="AK605" i="1" l="1"/>
  <c r="E102" i="1"/>
  <c r="A103" i="1"/>
  <c r="A104" i="1"/>
  <c r="AH104" i="1"/>
  <c r="E104" i="1"/>
  <c r="AJ103" i="1" l="1"/>
  <c r="AI102" i="1"/>
  <c r="AI104" i="1"/>
  <c r="AK607" i="1"/>
  <c r="AG102" i="1"/>
  <c r="AG104" i="1"/>
  <c r="A105" i="1"/>
  <c r="AJ105" i="1" l="1"/>
  <c r="AK610" i="1"/>
  <c r="A106" i="1"/>
  <c r="AH106" i="1"/>
  <c r="E106" i="1"/>
  <c r="AI106" i="1" l="1"/>
  <c r="AK614" i="1"/>
  <c r="A107" i="1"/>
  <c r="AG106" i="1"/>
  <c r="AJ107" i="1" l="1"/>
  <c r="AK616" i="1"/>
  <c r="A108" i="1"/>
  <c r="E108" i="1"/>
  <c r="AH108" i="1"/>
  <c r="AI108" i="1" l="1"/>
  <c r="AK618" i="1"/>
  <c r="AG108" i="1"/>
  <c r="A109" i="1"/>
  <c r="AJ109" i="1" l="1"/>
  <c r="AK622" i="1"/>
  <c r="A110" i="1"/>
  <c r="E110" i="1"/>
  <c r="AH110" i="1"/>
  <c r="AI110" i="1" l="1"/>
  <c r="AK624" i="1"/>
  <c r="A111" i="1"/>
  <c r="AG110" i="1"/>
  <c r="E111" i="1"/>
  <c r="AH111" i="1"/>
  <c r="AK111" i="1" l="1"/>
  <c r="AK112" i="1" s="1"/>
  <c r="AK95" i="1" s="1"/>
  <c r="AK96" i="1" s="1"/>
  <c r="AK97" i="1" s="1"/>
  <c r="AK98" i="1" s="1"/>
  <c r="AK99" i="1" s="1"/>
  <c r="AK100" i="1" s="1"/>
  <c r="AJ111" i="1"/>
  <c r="AK626" i="1"/>
  <c r="AK630" i="1" l="1"/>
  <c r="AK632" i="1" l="1"/>
  <c r="AG111" i="1"/>
  <c r="A112" i="1"/>
  <c r="AI111" i="1"/>
  <c r="A113" i="1"/>
  <c r="E113" i="1"/>
  <c r="A114" i="1"/>
  <c r="AH113" i="1"/>
  <c r="E114" i="1"/>
  <c r="AH114" i="1"/>
  <c r="A115" i="1"/>
  <c r="E115" i="1"/>
  <c r="AH115" i="1"/>
  <c r="A116" i="1"/>
  <c r="AH116" i="1"/>
  <c r="E116" i="1"/>
  <c r="A117" i="1"/>
  <c r="E117" i="1"/>
  <c r="AH117" i="1"/>
  <c r="A118" i="1"/>
  <c r="E118" i="1"/>
  <c r="AH118" i="1"/>
  <c r="A119" i="1"/>
  <c r="AH119" i="1"/>
  <c r="E119" i="1"/>
  <c r="A120" i="1"/>
  <c r="AH120" i="1"/>
  <c r="E120" i="1"/>
  <c r="A121" i="1"/>
  <c r="E121" i="1"/>
  <c r="AH121" i="1"/>
  <c r="A122" i="1"/>
  <c r="A123" i="1"/>
  <c r="E123" i="1"/>
  <c r="AH123" i="1"/>
  <c r="A124" i="1"/>
  <c r="E124" i="1"/>
  <c r="AH124" i="1"/>
  <c r="A125" i="1"/>
  <c r="A126" i="1"/>
  <c r="AH126" i="1"/>
  <c r="E126" i="1"/>
  <c r="A127" i="1"/>
  <c r="E127" i="1"/>
  <c r="AH127" i="1"/>
  <c r="A128" i="1"/>
  <c r="AH128" i="1"/>
  <c r="E128" i="1"/>
  <c r="A129" i="1"/>
  <c r="AH129" i="1"/>
  <c r="E129" i="1"/>
  <c r="A130" i="1"/>
  <c r="A131" i="1"/>
  <c r="E131" i="1"/>
  <c r="AH131" i="1"/>
  <c r="A132" i="1"/>
  <c r="A133" i="1"/>
  <c r="AH133" i="1"/>
  <c r="E133" i="1"/>
  <c r="A134" i="1"/>
  <c r="A135" i="1"/>
  <c r="AH135" i="1"/>
  <c r="E135" i="1"/>
  <c r="A136" i="1"/>
  <c r="A137" i="1"/>
  <c r="E137" i="1"/>
  <c r="AH137" i="1"/>
  <c r="A138" i="1"/>
  <c r="AH138" i="1"/>
  <c r="E138" i="1"/>
  <c r="A139" i="1"/>
  <c r="E139" i="1"/>
  <c r="AH139" i="1"/>
  <c r="A140" i="1"/>
  <c r="E140" i="1"/>
  <c r="AH140" i="1"/>
  <c r="A141" i="1"/>
  <c r="A142" i="1"/>
  <c r="AH142" i="1"/>
  <c r="E142" i="1"/>
  <c r="A143" i="1"/>
  <c r="A144" i="1"/>
  <c r="AH144" i="1"/>
  <c r="E144" i="1"/>
  <c r="A145" i="1"/>
  <c r="AH145" i="1"/>
  <c r="E145" i="1"/>
  <c r="A146" i="1"/>
  <c r="AH146" i="1"/>
  <c r="E146" i="1"/>
  <c r="A147" i="1"/>
  <c r="E147" i="1"/>
  <c r="AH147" i="1"/>
  <c r="A148" i="1"/>
  <c r="A149" i="1"/>
  <c r="AH149" i="1"/>
  <c r="E149" i="1"/>
  <c r="A150" i="1"/>
  <c r="E150" i="1"/>
  <c r="AH150" i="1"/>
  <c r="A151" i="1"/>
  <c r="E151" i="1"/>
  <c r="AH151" i="1"/>
  <c r="A152" i="1"/>
  <c r="E152" i="1"/>
  <c r="AH152" i="1"/>
  <c r="A153" i="1"/>
  <c r="AH153" i="1"/>
  <c r="E153" i="1"/>
  <c r="A154" i="1"/>
  <c r="AH154" i="1"/>
  <c r="E154" i="1"/>
  <c r="A155" i="1"/>
  <c r="E155" i="1"/>
  <c r="AH155" i="1"/>
  <c r="A156" i="1"/>
  <c r="AH156" i="1"/>
  <c r="E156" i="1"/>
  <c r="A157" i="1"/>
  <c r="A158" i="1"/>
  <c r="E158" i="1"/>
  <c r="AH158" i="1"/>
  <c r="A159" i="1"/>
  <c r="AH159" i="1"/>
  <c r="E159" i="1"/>
  <c r="A160" i="1"/>
  <c r="AH160" i="1"/>
  <c r="E160" i="1"/>
  <c r="A161" i="1"/>
  <c r="E161" i="1"/>
  <c r="AH161" i="1"/>
  <c r="A162" i="1"/>
  <c r="AH162" i="1"/>
  <c r="E162" i="1"/>
  <c r="A163" i="1"/>
  <c r="AH163" i="1"/>
  <c r="E163" i="1"/>
  <c r="A164" i="1"/>
  <c r="A165" i="1"/>
  <c r="AH165" i="1"/>
  <c r="E165" i="1"/>
  <c r="A166" i="1"/>
  <c r="E166" i="1"/>
  <c r="AH166" i="1"/>
  <c r="A167" i="1"/>
  <c r="E167" i="1"/>
  <c r="AH167" i="1"/>
  <c r="A168" i="1"/>
  <c r="AH168" i="1"/>
  <c r="E168" i="1"/>
  <c r="A169" i="1"/>
  <c r="E169" i="1"/>
  <c r="AH169" i="1"/>
  <c r="A170" i="1"/>
  <c r="AH170" i="1"/>
  <c r="E170" i="1"/>
  <c r="A171" i="1"/>
  <c r="AH171" i="1"/>
  <c r="E171" i="1"/>
  <c r="A172" i="1"/>
  <c r="AH172" i="1"/>
  <c r="E172" i="1"/>
  <c r="A173" i="1"/>
  <c r="AH173" i="1"/>
  <c r="E173" i="1"/>
  <c r="A174" i="1"/>
  <c r="AH174" i="1"/>
  <c r="E174" i="1"/>
  <c r="A175" i="1"/>
  <c r="A176" i="1"/>
  <c r="AH176" i="1"/>
  <c r="E176" i="1"/>
  <c r="A177" i="1"/>
  <c r="E177" i="1"/>
  <c r="AH177" i="1"/>
  <c r="A178" i="1"/>
  <c r="AH178" i="1"/>
  <c r="E178" i="1"/>
  <c r="A179" i="1"/>
  <c r="AH179" i="1"/>
  <c r="E179" i="1"/>
  <c r="A180" i="1"/>
  <c r="AH180" i="1"/>
  <c r="E180" i="1"/>
  <c r="A181" i="1"/>
  <c r="E181" i="1"/>
  <c r="AH181" i="1"/>
  <c r="A182" i="1"/>
  <c r="E182" i="1"/>
  <c r="AH182" i="1"/>
  <c r="A183" i="1"/>
  <c r="AH183" i="1"/>
  <c r="E183" i="1"/>
  <c r="A184" i="1"/>
  <c r="E184" i="1"/>
  <c r="AH184" i="1"/>
  <c r="A185" i="1"/>
  <c r="A186" i="1"/>
  <c r="E186" i="1"/>
  <c r="AH186" i="1"/>
  <c r="A187" i="1"/>
  <c r="AH187" i="1"/>
  <c r="E187" i="1"/>
  <c r="A188" i="1"/>
  <c r="AH188" i="1"/>
  <c r="E188" i="1"/>
  <c r="A189" i="1"/>
  <c r="AH189" i="1"/>
  <c r="E189" i="1"/>
  <c r="A190" i="1"/>
  <c r="AH190" i="1"/>
  <c r="E190" i="1"/>
  <c r="A191" i="1"/>
  <c r="E191" i="1"/>
  <c r="AH191" i="1"/>
  <c r="A192" i="1"/>
  <c r="AH192" i="1"/>
  <c r="E192" i="1"/>
  <c r="A193" i="1"/>
  <c r="AH193" i="1"/>
  <c r="E193" i="1"/>
  <c r="A194" i="1"/>
  <c r="E194" i="1"/>
  <c r="AH194" i="1"/>
  <c r="A195" i="1"/>
  <c r="E195" i="1"/>
  <c r="AH195" i="1"/>
  <c r="A196" i="1"/>
  <c r="A197" i="1"/>
  <c r="AH197" i="1"/>
  <c r="E197" i="1"/>
  <c r="A198" i="1"/>
  <c r="E198" i="1"/>
  <c r="AH198" i="1"/>
  <c r="A199" i="1"/>
  <c r="E199" i="1"/>
  <c r="AH199" i="1"/>
  <c r="A200" i="1"/>
  <c r="A201" i="1"/>
  <c r="E201" i="1"/>
  <c r="AH201" i="1"/>
  <c r="A202" i="1"/>
  <c r="AH202" i="1"/>
  <c r="E202" i="1"/>
  <c r="A203" i="1"/>
  <c r="AH203" i="1"/>
  <c r="E203" i="1"/>
  <c r="A204" i="1"/>
  <c r="AH204" i="1"/>
  <c r="E204" i="1"/>
  <c r="A205" i="1"/>
  <c r="E205" i="1"/>
  <c r="AH205" i="1"/>
  <c r="A206" i="1"/>
  <c r="E206" i="1"/>
  <c r="AH206" i="1"/>
  <c r="A207" i="1"/>
  <c r="E207" i="1"/>
  <c r="AH207" i="1"/>
  <c r="A208" i="1"/>
  <c r="E208" i="1"/>
  <c r="AH208" i="1"/>
  <c r="A209" i="1"/>
  <c r="AH209" i="1"/>
  <c r="E209" i="1"/>
  <c r="A210" i="1"/>
  <c r="A211" i="1"/>
  <c r="E211" i="1"/>
  <c r="AH211" i="1"/>
  <c r="A212" i="1"/>
  <c r="A213" i="1"/>
  <c r="E213" i="1"/>
  <c r="AH213" i="1"/>
  <c r="A214" i="1"/>
  <c r="E214" i="1"/>
  <c r="AH214" i="1"/>
  <c r="A215" i="1"/>
  <c r="E215" i="1"/>
  <c r="AH215" i="1"/>
  <c r="A216" i="1"/>
  <c r="E216" i="1"/>
  <c r="AH216" i="1"/>
  <c r="A217" i="1"/>
  <c r="AH217" i="1"/>
  <c r="E217" i="1"/>
  <c r="A218" i="1"/>
  <c r="E218" i="1"/>
  <c r="AH218" i="1"/>
  <c r="A219" i="1"/>
  <c r="AH219" i="1"/>
  <c r="E219" i="1"/>
  <c r="A220" i="1"/>
  <c r="A221" i="1"/>
  <c r="E221" i="1"/>
  <c r="AH221" i="1"/>
  <c r="A222" i="1"/>
  <c r="AH222" i="1"/>
  <c r="E222" i="1"/>
  <c r="A223" i="1"/>
  <c r="AH223" i="1"/>
  <c r="E223" i="1"/>
  <c r="A224" i="1"/>
  <c r="AH224" i="1"/>
  <c r="E224" i="1"/>
  <c r="A225" i="1"/>
  <c r="A226" i="1"/>
  <c r="AH226" i="1"/>
  <c r="E226" i="1"/>
  <c r="A227" i="1"/>
  <c r="E227" i="1"/>
  <c r="AH227" i="1"/>
  <c r="A228" i="1"/>
  <c r="E228" i="1"/>
  <c r="AH228" i="1"/>
  <c r="A229" i="1"/>
  <c r="E229" i="1"/>
  <c r="AH229" i="1"/>
  <c r="A230" i="1"/>
  <c r="E230" i="1"/>
  <c r="AH230" i="1"/>
  <c r="A231" i="1"/>
  <c r="E231" i="1"/>
  <c r="AH231" i="1"/>
  <c r="A232" i="1"/>
  <c r="E232" i="1"/>
  <c r="AH232" i="1"/>
  <c r="A233" i="1"/>
  <c r="E233" i="1"/>
  <c r="AH233" i="1"/>
  <c r="A234" i="1"/>
  <c r="AH234" i="1"/>
  <c r="E234" i="1"/>
  <c r="A235" i="1"/>
  <c r="E235" i="1"/>
  <c r="AH235" i="1"/>
  <c r="A236" i="1"/>
  <c r="A237" i="1"/>
  <c r="AH237" i="1"/>
  <c r="E237" i="1"/>
  <c r="A238" i="1"/>
  <c r="E238" i="1"/>
  <c r="AH238" i="1"/>
  <c r="A239" i="1"/>
  <c r="E239" i="1"/>
  <c r="AH239" i="1"/>
  <c r="A240" i="1"/>
  <c r="AH240" i="1"/>
  <c r="E240" i="1"/>
  <c r="A241" i="1"/>
  <c r="A242" i="1"/>
  <c r="AH242" i="1"/>
  <c r="E242" i="1"/>
  <c r="A243" i="1"/>
  <c r="A244" i="1"/>
  <c r="AH244" i="1"/>
  <c r="E244" i="1"/>
  <c r="AI242" i="1" l="1"/>
  <c r="AJ241" i="1"/>
  <c r="AJ240" i="1"/>
  <c r="AJ239" i="1"/>
  <c r="AK238" i="1"/>
  <c r="AK239" i="1" s="1"/>
  <c r="AK240" i="1" s="1"/>
  <c r="AJ238" i="1"/>
  <c r="AI237" i="1"/>
  <c r="AJ236" i="1"/>
  <c r="AJ235" i="1"/>
  <c r="AJ234" i="1"/>
  <c r="AJ233" i="1"/>
  <c r="AJ232" i="1"/>
  <c r="AJ231" i="1"/>
  <c r="AJ230" i="1"/>
  <c r="AJ229" i="1"/>
  <c r="AJ228" i="1"/>
  <c r="AK227" i="1"/>
  <c r="AK228" i="1" s="1"/>
  <c r="AK229" i="1" s="1"/>
  <c r="AK230" i="1" s="1"/>
  <c r="AK231" i="1" s="1"/>
  <c r="AK232" i="1" s="1"/>
  <c r="AK233" i="1" s="1"/>
  <c r="AK234" i="1" s="1"/>
  <c r="AK235" i="1" s="1"/>
  <c r="AJ227" i="1"/>
  <c r="AI226" i="1"/>
  <c r="AJ225" i="1"/>
  <c r="AJ224" i="1"/>
  <c r="AJ223" i="1"/>
  <c r="AK222" i="1"/>
  <c r="AK223" i="1" s="1"/>
  <c r="AK224" i="1" s="1"/>
  <c r="AJ222" i="1"/>
  <c r="AI221" i="1"/>
  <c r="AJ220" i="1"/>
  <c r="AJ219" i="1"/>
  <c r="AJ218" i="1"/>
  <c r="AJ217" i="1"/>
  <c r="AJ216" i="1"/>
  <c r="AJ215" i="1"/>
  <c r="AK214" i="1"/>
  <c r="AK215" i="1" s="1"/>
  <c r="AK216" i="1" s="1"/>
  <c r="AK217" i="1" s="1"/>
  <c r="AK218" i="1" s="1"/>
  <c r="AK219" i="1" s="1"/>
  <c r="AJ214" i="1"/>
  <c r="AI213" i="1"/>
  <c r="AJ212" i="1"/>
  <c r="AI211" i="1"/>
  <c r="AJ210" i="1"/>
  <c r="AJ209" i="1"/>
  <c r="AJ208" i="1"/>
  <c r="AJ207" i="1"/>
  <c r="AJ206" i="1"/>
  <c r="AJ205" i="1"/>
  <c r="AJ204" i="1"/>
  <c r="AJ203" i="1"/>
  <c r="AK202" i="1"/>
  <c r="AK203" i="1" s="1"/>
  <c r="AK204" i="1" s="1"/>
  <c r="AK205" i="1" s="1"/>
  <c r="AK206" i="1" s="1"/>
  <c r="AK207" i="1" s="1"/>
  <c r="AK208" i="1" s="1"/>
  <c r="AK209" i="1" s="1"/>
  <c r="AJ202" i="1"/>
  <c r="AI201" i="1"/>
  <c r="AJ200" i="1"/>
  <c r="AJ199" i="1"/>
  <c r="AK198" i="1"/>
  <c r="AK199" i="1" s="1"/>
  <c r="AJ198" i="1"/>
  <c r="AI197" i="1"/>
  <c r="AJ196" i="1"/>
  <c r="AJ195" i="1"/>
  <c r="AJ194" i="1"/>
  <c r="AJ193" i="1"/>
  <c r="AJ192" i="1"/>
  <c r="AJ191" i="1"/>
  <c r="AJ190" i="1"/>
  <c r="AJ189" i="1"/>
  <c r="AJ188" i="1"/>
  <c r="AJ187" i="1"/>
  <c r="AI186" i="1"/>
  <c r="AJ185" i="1"/>
  <c r="AJ184" i="1"/>
  <c r="AJ183" i="1"/>
  <c r="AJ182" i="1"/>
  <c r="AJ181" i="1"/>
  <c r="AJ180" i="1"/>
  <c r="AJ179" i="1"/>
  <c r="AJ178" i="1"/>
  <c r="AJ177" i="1"/>
  <c r="AI176" i="1"/>
  <c r="AJ175" i="1"/>
  <c r="AJ174" i="1"/>
  <c r="AJ173" i="1"/>
  <c r="AJ172" i="1"/>
  <c r="AJ171" i="1"/>
  <c r="AJ170" i="1"/>
  <c r="AJ169" i="1"/>
  <c r="AJ168" i="1"/>
  <c r="AJ167" i="1"/>
  <c r="AK166" i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J166" i="1"/>
  <c r="AI165" i="1"/>
  <c r="AJ164" i="1"/>
  <c r="AJ163" i="1"/>
  <c r="AJ162" i="1"/>
  <c r="AJ161" i="1"/>
  <c r="AJ160" i="1"/>
  <c r="AK159" i="1"/>
  <c r="AK160" i="1" s="1"/>
  <c r="AK161" i="1" s="1"/>
  <c r="AK162" i="1" s="1"/>
  <c r="AK163" i="1" s="1"/>
  <c r="AJ159" i="1"/>
  <c r="AI158" i="1"/>
  <c r="AJ157" i="1"/>
  <c r="AJ156" i="1"/>
  <c r="AJ155" i="1"/>
  <c r="AJ154" i="1"/>
  <c r="AJ153" i="1"/>
  <c r="AJ152" i="1"/>
  <c r="AJ151" i="1"/>
  <c r="AK150" i="1"/>
  <c r="AK151" i="1" s="1"/>
  <c r="AK152" i="1" s="1"/>
  <c r="AK153" i="1" s="1"/>
  <c r="AK154" i="1" s="1"/>
  <c r="AK155" i="1" s="1"/>
  <c r="AK156" i="1" s="1"/>
  <c r="AK157" i="1" s="1"/>
  <c r="AK237" i="1" s="1"/>
  <c r="AJ150" i="1"/>
  <c r="AI149" i="1"/>
  <c r="AJ148" i="1"/>
  <c r="AJ147" i="1"/>
  <c r="AJ146" i="1"/>
  <c r="AJ145" i="1"/>
  <c r="AI144" i="1"/>
  <c r="AJ143" i="1"/>
  <c r="AI142" i="1"/>
  <c r="AJ141" i="1"/>
  <c r="AJ140" i="1"/>
  <c r="AJ139" i="1"/>
  <c r="AJ138" i="1"/>
  <c r="AI137" i="1"/>
  <c r="AJ136" i="1"/>
  <c r="AI135" i="1"/>
  <c r="AJ134" i="1"/>
  <c r="AI133" i="1"/>
  <c r="AJ132" i="1"/>
  <c r="AI131" i="1"/>
  <c r="AJ130" i="1"/>
  <c r="AJ129" i="1"/>
  <c r="AJ128" i="1"/>
  <c r="AJ127" i="1"/>
  <c r="AI126" i="1"/>
  <c r="AJ125" i="1"/>
  <c r="AJ124" i="1"/>
  <c r="AI123" i="1"/>
  <c r="AJ122" i="1"/>
  <c r="AJ121" i="1"/>
  <c r="AJ120" i="1"/>
  <c r="AJ119" i="1"/>
  <c r="AJ118" i="1"/>
  <c r="AJ117" i="1"/>
  <c r="AJ116" i="1"/>
  <c r="AJ115" i="1"/>
  <c r="AK114" i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J114" i="1"/>
  <c r="AI113" i="1"/>
  <c r="AJ112" i="1"/>
  <c r="AI244" i="1"/>
  <c r="AJ243" i="1"/>
  <c r="AG242" i="1"/>
  <c r="AG238" i="1"/>
  <c r="AG237" i="1"/>
  <c r="AG235" i="1"/>
  <c r="AG234" i="1"/>
  <c r="AG233" i="1"/>
  <c r="AG232" i="1"/>
  <c r="AG231" i="1"/>
  <c r="AG230" i="1"/>
  <c r="AG229" i="1"/>
  <c r="AG228" i="1"/>
  <c r="AI227" i="1"/>
  <c r="AG222" i="1"/>
  <c r="AG221" i="1"/>
  <c r="AG219" i="1"/>
  <c r="AG218" i="1"/>
  <c r="AG217" i="1"/>
  <c r="AG214" i="1"/>
  <c r="AG213" i="1"/>
  <c r="AG205" i="1"/>
  <c r="AG204" i="1"/>
  <c r="AG203" i="1"/>
  <c r="AG202" i="1"/>
  <c r="AI198" i="1"/>
  <c r="AG195" i="1"/>
  <c r="AG194" i="1"/>
  <c r="AG193" i="1"/>
  <c r="AG192" i="1"/>
  <c r="AG191" i="1"/>
  <c r="AG190" i="1"/>
  <c r="AG189" i="1"/>
  <c r="AG188" i="1"/>
  <c r="AG187" i="1"/>
  <c r="AG186" i="1"/>
  <c r="AG184" i="1"/>
  <c r="AG183" i="1"/>
  <c r="AG182" i="1"/>
  <c r="AG181" i="1"/>
  <c r="AG180" i="1"/>
  <c r="AG179" i="1"/>
  <c r="AG178" i="1"/>
  <c r="AG177" i="1"/>
  <c r="AG167" i="1"/>
  <c r="AG166" i="1"/>
  <c r="AG165" i="1"/>
  <c r="AG163" i="1"/>
  <c r="AG161" i="1"/>
  <c r="AG158" i="1"/>
  <c r="AG155" i="1"/>
  <c r="AG153" i="1"/>
  <c r="AG151" i="1"/>
  <c r="AI150" i="1"/>
  <c r="AG140" i="1"/>
  <c r="AI138" i="1"/>
  <c r="AG137" i="1"/>
  <c r="AG133" i="1"/>
  <c r="AI124" i="1"/>
  <c r="A245" i="1"/>
  <c r="AI151" i="1"/>
  <c r="AG240" i="1"/>
  <c r="AG239" i="1"/>
  <c r="AI238" i="1"/>
  <c r="AG227" i="1"/>
  <c r="AG226" i="1"/>
  <c r="AG224" i="1"/>
  <c r="AG223" i="1"/>
  <c r="AI222" i="1"/>
  <c r="AI223" i="1" s="1"/>
  <c r="AI224" i="1" s="1"/>
  <c r="AG216" i="1"/>
  <c r="AG215" i="1"/>
  <c r="AI214" i="1"/>
  <c r="AG211" i="1"/>
  <c r="AG209" i="1"/>
  <c r="AG208" i="1"/>
  <c r="AG207" i="1"/>
  <c r="AG206" i="1"/>
  <c r="AI202" i="1"/>
  <c r="AG201" i="1"/>
  <c r="AG199" i="1"/>
  <c r="AG198" i="1"/>
  <c r="AG197" i="1"/>
  <c r="AI187" i="1"/>
  <c r="AI177" i="1"/>
  <c r="AI178" i="1" s="1"/>
  <c r="AG176" i="1"/>
  <c r="AG174" i="1"/>
  <c r="AG173" i="1"/>
  <c r="AG172" i="1"/>
  <c r="AG171" i="1"/>
  <c r="AG170" i="1"/>
  <c r="AG169" i="1"/>
  <c r="AG168" i="1"/>
  <c r="AI166" i="1"/>
  <c r="AI167" i="1" s="1"/>
  <c r="AI168" i="1" s="1"/>
  <c r="AG159" i="1"/>
  <c r="AG150" i="1"/>
  <c r="AG149" i="1"/>
  <c r="AG147" i="1"/>
  <c r="AG146" i="1"/>
  <c r="AG145" i="1"/>
  <c r="AG144" i="1"/>
  <c r="AG138" i="1"/>
  <c r="AG135" i="1"/>
  <c r="AG131" i="1"/>
  <c r="AG129" i="1"/>
  <c r="AG128" i="1"/>
  <c r="AG127" i="1"/>
  <c r="AG126" i="1"/>
  <c r="AG124" i="1"/>
  <c r="AG123" i="1"/>
  <c r="AG121" i="1"/>
  <c r="AG120" i="1"/>
  <c r="AG119" i="1"/>
  <c r="AG118" i="1"/>
  <c r="AG117" i="1"/>
  <c r="AG116" i="1"/>
  <c r="AG115" i="1"/>
  <c r="AI114" i="1"/>
  <c r="AI115" i="1" s="1"/>
  <c r="AG113" i="1"/>
  <c r="AI215" i="1"/>
  <c r="AI239" i="1"/>
  <c r="AG244" i="1"/>
  <c r="AI169" i="1"/>
  <c r="AI139" i="1"/>
  <c r="AI170" i="1"/>
  <c r="A246" i="1"/>
  <c r="AH246" i="1" s="1"/>
  <c r="E246" i="1"/>
  <c r="AG162" i="1"/>
  <c r="AG160" i="1"/>
  <c r="AI159" i="1"/>
  <c r="AI160" i="1" s="1"/>
  <c r="AI161" i="1" s="1"/>
  <c r="AG156" i="1"/>
  <c r="AG154" i="1"/>
  <c r="AG152" i="1"/>
  <c r="AI145" i="1"/>
  <c r="AI146" i="1" s="1"/>
  <c r="AG142" i="1"/>
  <c r="AG139" i="1"/>
  <c r="AI127" i="1"/>
  <c r="AI128" i="1" s="1"/>
  <c r="AG114" i="1"/>
  <c r="AI228" i="1"/>
  <c r="AI199" i="1"/>
  <c r="AI179" i="1"/>
  <c r="AI188" i="1"/>
  <c r="AI203" i="1"/>
  <c r="AI246" i="1" l="1"/>
  <c r="AJ245" i="1"/>
  <c r="AI189" i="1"/>
  <c r="AI129" i="1"/>
  <c r="AI116" i="1"/>
  <c r="AI117" i="1" s="1"/>
  <c r="A247" i="1"/>
  <c r="AI162" i="1"/>
  <c r="A248" i="1"/>
  <c r="AI229" i="1"/>
  <c r="AI147" i="1"/>
  <c r="AI152" i="1"/>
  <c r="AI153" i="1" s="1"/>
  <c r="AI154" i="1" s="1"/>
  <c r="AI140" i="1"/>
  <c r="AI230" i="1"/>
  <c r="AI240" i="1"/>
  <c r="AG246" i="1"/>
  <c r="AI180" i="1"/>
  <c r="AI216" i="1"/>
  <c r="AI171" i="1"/>
  <c r="AH248" i="1"/>
  <c r="AI204" i="1"/>
  <c r="AI118" i="1"/>
  <c r="E248" i="1"/>
  <c r="AI248" i="1" l="1"/>
  <c r="AJ247" i="1"/>
  <c r="AK641" i="1" l="1"/>
  <c r="AI205" i="1"/>
  <c r="AI190" i="1"/>
  <c r="AI191" i="1" s="1"/>
  <c r="AI192" i="1" s="1"/>
  <c r="AI217" i="1"/>
  <c r="AG248" i="1"/>
  <c r="AI163" i="1"/>
  <c r="AI193" i="1"/>
  <c r="AI231" i="1"/>
  <c r="AI232" i="1" s="1"/>
  <c r="AI233" i="1" s="1"/>
  <c r="A249" i="1"/>
  <c r="AI181" i="1"/>
  <c r="AI155" i="1"/>
  <c r="AI119" i="1"/>
  <c r="AI172" i="1"/>
  <c r="A250" i="1"/>
  <c r="A251" i="1" s="1"/>
  <c r="AH250" i="1"/>
  <c r="E251" i="1"/>
  <c r="A252" i="1"/>
  <c r="AI120" i="1"/>
  <c r="AI194" i="1"/>
  <c r="AI234" i="1"/>
  <c r="AI218" i="1"/>
  <c r="AI173" i="1"/>
  <c r="AI156" i="1"/>
  <c r="AI174" i="1"/>
  <c r="AI195" i="1"/>
  <c r="AI121" i="1"/>
  <c r="AI235" i="1"/>
  <c r="AI219" i="1"/>
  <c r="AH251" i="1"/>
  <c r="E250" i="1"/>
  <c r="A253" i="1"/>
  <c r="E253" i="1"/>
  <c r="A254" i="1"/>
  <c r="AH253" i="1"/>
  <c r="AH254" i="1"/>
  <c r="E254" i="1"/>
  <c r="A255" i="1"/>
  <c r="AH255" i="1"/>
  <c r="E255" i="1"/>
  <c r="A256" i="1"/>
  <c r="E256" i="1"/>
  <c r="AH256" i="1"/>
  <c r="A257" i="1"/>
  <c r="AH257" i="1"/>
  <c r="E257" i="1"/>
  <c r="A258" i="1"/>
  <c r="AH258" i="1"/>
  <c r="E258" i="1"/>
  <c r="A259" i="1"/>
  <c r="AH259" i="1"/>
  <c r="E259" i="1"/>
  <c r="A260" i="1"/>
  <c r="E260" i="1"/>
  <c r="AH260" i="1"/>
  <c r="A261" i="1"/>
  <c r="A262" i="1"/>
  <c r="E262" i="1"/>
  <c r="AH262" i="1"/>
  <c r="A263" i="1"/>
  <c r="AH263" i="1"/>
  <c r="E263" i="1"/>
  <c r="A264" i="1"/>
  <c r="AH264" i="1"/>
  <c r="E264" i="1"/>
  <c r="A265" i="1"/>
  <c r="AH265" i="1"/>
  <c r="E265" i="1"/>
  <c r="A266" i="1"/>
  <c r="AH266" i="1"/>
  <c r="E266" i="1"/>
  <c r="A267" i="1"/>
  <c r="AH267" i="1"/>
  <c r="E267" i="1"/>
  <c r="A268" i="1"/>
  <c r="AH268" i="1"/>
  <c r="E268" i="1"/>
  <c r="A269" i="1"/>
  <c r="E269" i="1"/>
  <c r="AH269" i="1"/>
  <c r="A270" i="1"/>
  <c r="E270" i="1"/>
  <c r="AH270" i="1"/>
  <c r="A271" i="1"/>
  <c r="E271" i="1"/>
  <c r="AH271" i="1"/>
  <c r="A272" i="1"/>
  <c r="A273" i="1"/>
  <c r="E273" i="1"/>
  <c r="AH273" i="1"/>
  <c r="A274" i="1"/>
  <c r="E274" i="1"/>
  <c r="AH274" i="1"/>
  <c r="A275" i="1"/>
  <c r="AH275" i="1"/>
  <c r="E275" i="1"/>
  <c r="A276" i="1"/>
  <c r="AH276" i="1"/>
  <c r="E276" i="1"/>
  <c r="A277" i="1"/>
  <c r="AH277" i="1"/>
  <c r="E277" i="1"/>
  <c r="A278" i="1"/>
  <c r="E278" i="1"/>
  <c r="AH278" i="1"/>
  <c r="A279" i="1"/>
  <c r="AH279" i="1"/>
  <c r="E279" i="1"/>
  <c r="A280" i="1"/>
  <c r="E280" i="1"/>
  <c r="AH280" i="1"/>
  <c r="A281" i="1"/>
  <c r="AH281" i="1"/>
  <c r="E281" i="1"/>
  <c r="A282" i="1"/>
  <c r="E282" i="1"/>
  <c r="AH282" i="1"/>
  <c r="A283" i="1"/>
  <c r="E283" i="1"/>
  <c r="AH283" i="1"/>
  <c r="A284" i="1"/>
  <c r="A285" i="1"/>
  <c r="E285" i="1"/>
  <c r="AH285" i="1"/>
  <c r="A286" i="1"/>
  <c r="AH286" i="1"/>
  <c r="E286" i="1"/>
  <c r="A287" i="1"/>
  <c r="E287" i="1"/>
  <c r="AH287" i="1"/>
  <c r="A288" i="1"/>
  <c r="A289" i="1"/>
  <c r="E289" i="1"/>
  <c r="AH289" i="1"/>
  <c r="A290" i="1"/>
  <c r="E290" i="1"/>
  <c r="AH290" i="1"/>
  <c r="A291" i="1"/>
  <c r="E291" i="1"/>
  <c r="AH291" i="1"/>
  <c r="A292" i="1"/>
  <c r="E292" i="1"/>
  <c r="AH292" i="1"/>
  <c r="A293" i="1"/>
  <c r="E293" i="1"/>
  <c r="AH293" i="1"/>
  <c r="A294" i="1"/>
  <c r="E294" i="1"/>
  <c r="AH294" i="1"/>
  <c r="A295" i="1"/>
  <c r="AH295" i="1"/>
  <c r="E295" i="1"/>
  <c r="A296" i="1"/>
  <c r="A297" i="1"/>
  <c r="AH297" i="1"/>
  <c r="E297" i="1"/>
  <c r="A298" i="1"/>
  <c r="E298" i="1"/>
  <c r="AH298" i="1"/>
  <c r="A299" i="1"/>
  <c r="E299" i="1"/>
  <c r="AH299" i="1"/>
  <c r="A300" i="1"/>
  <c r="AH300" i="1"/>
  <c r="E300" i="1"/>
  <c r="A301" i="1"/>
  <c r="E301" i="1"/>
  <c r="AH301" i="1"/>
  <c r="A302" i="1"/>
  <c r="E302" i="1"/>
  <c r="AH302" i="1"/>
  <c r="A303" i="1"/>
  <c r="AH303" i="1"/>
  <c r="E303" i="1"/>
  <c r="A304" i="1"/>
  <c r="AH304" i="1"/>
  <c r="E304" i="1"/>
  <c r="A305" i="1"/>
  <c r="E305" i="1"/>
  <c r="AH305" i="1"/>
  <c r="A306" i="1"/>
  <c r="A307" i="1"/>
  <c r="AH307" i="1"/>
  <c r="E307" i="1"/>
  <c r="A308" i="1"/>
  <c r="E308" i="1"/>
  <c r="AH308" i="1"/>
  <c r="A309" i="1"/>
  <c r="A310" i="1"/>
  <c r="AH310" i="1"/>
  <c r="E310" i="1"/>
  <c r="A311" i="1"/>
  <c r="A312" i="1"/>
  <c r="E312" i="1"/>
  <c r="AH312" i="1"/>
  <c r="A313" i="1"/>
  <c r="A314" i="1"/>
  <c r="E314" i="1"/>
  <c r="AH314" i="1"/>
  <c r="A315" i="1"/>
  <c r="A316" i="1"/>
  <c r="E316" i="1"/>
  <c r="AH316" i="1"/>
  <c r="A317" i="1"/>
  <c r="A318" i="1"/>
  <c r="E318" i="1"/>
  <c r="AH318" i="1"/>
  <c r="A319" i="1"/>
  <c r="E319" i="1"/>
  <c r="AH319" i="1"/>
  <c r="A320" i="1"/>
  <c r="A321" i="1"/>
  <c r="E321" i="1"/>
  <c r="AH321" i="1"/>
  <c r="A322" i="1"/>
  <c r="A323" i="1"/>
  <c r="AH323" i="1"/>
  <c r="E323" i="1"/>
  <c r="A324" i="1"/>
  <c r="E324" i="1"/>
  <c r="AH324" i="1"/>
  <c r="A325" i="1"/>
  <c r="E325" i="1"/>
  <c r="AH325" i="1"/>
  <c r="A326" i="1"/>
  <c r="E326" i="1"/>
  <c r="AH326" i="1"/>
  <c r="A327" i="1"/>
  <c r="E327" i="1"/>
  <c r="AH327" i="1"/>
  <c r="A328" i="1"/>
  <c r="AH328" i="1"/>
  <c r="E328" i="1"/>
  <c r="A329" i="1"/>
  <c r="AH329" i="1"/>
  <c r="E329" i="1"/>
  <c r="A330" i="1"/>
  <c r="AH330" i="1"/>
  <c r="E330" i="1"/>
  <c r="A331" i="1"/>
  <c r="AH331" i="1"/>
  <c r="E331" i="1"/>
  <c r="A332" i="1"/>
  <c r="AH332" i="1"/>
  <c r="E332" i="1"/>
  <c r="A333" i="1"/>
  <c r="E333" i="1"/>
  <c r="AH333" i="1"/>
  <c r="A334" i="1"/>
  <c r="A335" i="1"/>
  <c r="E335" i="1"/>
  <c r="AH335" i="1"/>
  <c r="A336" i="1"/>
  <c r="E336" i="1"/>
  <c r="AH336" i="1"/>
  <c r="A337" i="1"/>
  <c r="AH337" i="1"/>
  <c r="E337" i="1"/>
  <c r="A338" i="1"/>
  <c r="AH338" i="1"/>
  <c r="E338" i="1"/>
  <c r="A339" i="1"/>
  <c r="E339" i="1"/>
  <c r="AH339" i="1"/>
  <c r="A340" i="1"/>
  <c r="AH340" i="1"/>
  <c r="E340" i="1"/>
  <c r="A341" i="1"/>
  <c r="E341" i="1"/>
  <c r="AH341" i="1"/>
  <c r="A342" i="1"/>
  <c r="AH342" i="1"/>
  <c r="E342" i="1"/>
  <c r="A343" i="1"/>
  <c r="E343" i="1"/>
  <c r="AH343" i="1"/>
  <c r="A344" i="1"/>
  <c r="A345" i="1"/>
  <c r="AH345" i="1"/>
  <c r="E345" i="1"/>
  <c r="A346" i="1"/>
  <c r="AH346" i="1"/>
  <c r="E346" i="1"/>
  <c r="A347" i="1"/>
  <c r="E347" i="1"/>
  <c r="AH347" i="1"/>
  <c r="A348" i="1"/>
  <c r="AH348" i="1"/>
  <c r="E348" i="1"/>
  <c r="A349" i="1"/>
  <c r="E349" i="1"/>
  <c r="AH349" i="1"/>
  <c r="A350" i="1"/>
  <c r="AH350" i="1"/>
  <c r="E350" i="1"/>
  <c r="A351" i="1"/>
  <c r="E351" i="1"/>
  <c r="AH351" i="1"/>
  <c r="A352" i="1"/>
  <c r="AH352" i="1"/>
  <c r="E352" i="1"/>
  <c r="A353" i="1"/>
  <c r="E353" i="1"/>
  <c r="AH353" i="1"/>
  <c r="A354" i="1"/>
  <c r="AH354" i="1"/>
  <c r="E354" i="1"/>
  <c r="A355" i="1"/>
  <c r="E355" i="1"/>
  <c r="AH355" i="1"/>
  <c r="A356" i="1"/>
  <c r="A357" i="1"/>
  <c r="AH357" i="1"/>
  <c r="E357" i="1"/>
  <c r="A358" i="1"/>
  <c r="A359" i="1"/>
  <c r="AH359" i="1"/>
  <c r="E359" i="1"/>
  <c r="A360" i="1"/>
  <c r="AH360" i="1"/>
  <c r="E360" i="1"/>
  <c r="A361" i="1"/>
  <c r="E361" i="1"/>
  <c r="AH361" i="1"/>
  <c r="A362" i="1"/>
  <c r="E362" i="1"/>
  <c r="AH362" i="1"/>
  <c r="A363" i="1"/>
  <c r="AH363" i="1"/>
  <c r="E363" i="1"/>
  <c r="A364" i="1"/>
  <c r="E364" i="1"/>
  <c r="AH364" i="1"/>
  <c r="A365" i="1"/>
  <c r="AH365" i="1"/>
  <c r="E365" i="1"/>
  <c r="A366" i="1"/>
  <c r="E366" i="1"/>
  <c r="AH366" i="1"/>
  <c r="A367" i="1"/>
  <c r="AH367" i="1"/>
  <c r="E367" i="1"/>
  <c r="A368" i="1"/>
  <c r="E368" i="1"/>
  <c r="AH368" i="1"/>
  <c r="A369" i="1"/>
  <c r="A370" i="1"/>
  <c r="E370" i="1"/>
  <c r="AH370" i="1"/>
  <c r="A371" i="1"/>
  <c r="AH371" i="1"/>
  <c r="E371" i="1"/>
  <c r="A372" i="1"/>
  <c r="A373" i="1"/>
  <c r="E373" i="1"/>
  <c r="AH373" i="1"/>
  <c r="A374" i="1"/>
  <c r="A375" i="1"/>
  <c r="E375" i="1"/>
  <c r="AH375" i="1"/>
  <c r="A376" i="1"/>
  <c r="AH376" i="1"/>
  <c r="E376" i="1"/>
  <c r="A377" i="1"/>
  <c r="E377" i="1"/>
  <c r="AH377" i="1"/>
  <c r="A378" i="1"/>
  <c r="AH378" i="1"/>
  <c r="E378" i="1"/>
  <c r="A379" i="1"/>
  <c r="A380" i="1"/>
  <c r="E380" i="1"/>
  <c r="AH380" i="1"/>
  <c r="A381" i="1"/>
  <c r="AH381" i="1"/>
  <c r="E381" i="1"/>
  <c r="A382" i="1"/>
  <c r="AH382" i="1"/>
  <c r="E382" i="1"/>
  <c r="A383" i="1"/>
  <c r="E383" i="1"/>
  <c r="AH383" i="1"/>
  <c r="A384" i="1"/>
  <c r="A385" i="1"/>
  <c r="E385" i="1"/>
  <c r="AH385" i="1"/>
  <c r="A386" i="1"/>
  <c r="A387" i="1"/>
  <c r="E387" i="1"/>
  <c r="AH387" i="1"/>
  <c r="A388" i="1"/>
  <c r="AH388" i="1"/>
  <c r="E388" i="1"/>
  <c r="A389" i="1"/>
  <c r="E389" i="1"/>
  <c r="AH389" i="1"/>
  <c r="A390" i="1"/>
  <c r="AH390" i="1"/>
  <c r="E390" i="1"/>
  <c r="A391" i="1"/>
  <c r="A392" i="1"/>
  <c r="E392" i="1"/>
  <c r="AH392" i="1"/>
  <c r="A393" i="1"/>
  <c r="E393" i="1"/>
  <c r="AH393" i="1"/>
  <c r="A394" i="1"/>
  <c r="AH394" i="1"/>
  <c r="E394" i="1"/>
  <c r="A395" i="1"/>
  <c r="E395" i="1"/>
  <c r="AH395" i="1"/>
  <c r="A396" i="1"/>
  <c r="E396" i="1"/>
  <c r="AH396" i="1"/>
  <c r="A397" i="1"/>
  <c r="E397" i="1"/>
  <c r="AH397" i="1"/>
  <c r="A398" i="1"/>
  <c r="AH398" i="1"/>
  <c r="E398" i="1"/>
  <c r="A399" i="1"/>
  <c r="AH399" i="1"/>
  <c r="E399" i="1"/>
  <c r="A400" i="1"/>
  <c r="AH400" i="1"/>
  <c r="E400" i="1"/>
  <c r="A401" i="1"/>
  <c r="AH401" i="1"/>
  <c r="E401" i="1"/>
  <c r="A402" i="1"/>
  <c r="E402" i="1"/>
  <c r="AH402" i="1"/>
  <c r="A403" i="1"/>
  <c r="E403" i="1"/>
  <c r="AH403" i="1"/>
  <c r="A404" i="1"/>
  <c r="AH404" i="1"/>
  <c r="E404" i="1"/>
  <c r="A405" i="1"/>
  <c r="E405" i="1"/>
  <c r="AH405" i="1"/>
  <c r="A406" i="1"/>
  <c r="AH406" i="1"/>
  <c r="E406" i="1"/>
  <c r="A407" i="1"/>
  <c r="AH407" i="1"/>
  <c r="E407" i="1"/>
  <c r="A408" i="1"/>
  <c r="AH408" i="1"/>
  <c r="E408" i="1"/>
  <c r="A409" i="1"/>
  <c r="A410" i="1"/>
  <c r="AH410" i="1"/>
  <c r="E410" i="1"/>
  <c r="A411" i="1"/>
  <c r="AH411" i="1"/>
  <c r="E411" i="1"/>
  <c r="A412" i="1"/>
  <c r="AH412" i="1"/>
  <c r="E412" i="1"/>
  <c r="A413" i="1"/>
  <c r="AH413" i="1"/>
  <c r="E413" i="1"/>
  <c r="A414" i="1"/>
  <c r="AH414" i="1"/>
  <c r="E414" i="1"/>
  <c r="A415" i="1"/>
  <c r="AH415" i="1"/>
  <c r="E415" i="1"/>
  <c r="A416" i="1"/>
  <c r="AH416" i="1"/>
  <c r="E416" i="1"/>
  <c r="A417" i="1"/>
  <c r="E417" i="1"/>
  <c r="AH417" i="1"/>
  <c r="A418" i="1"/>
  <c r="E418" i="1"/>
  <c r="AH418" i="1"/>
  <c r="A419" i="1"/>
  <c r="E419" i="1"/>
  <c r="AH419" i="1"/>
  <c r="A420" i="1"/>
  <c r="E420" i="1"/>
  <c r="AH420" i="1"/>
  <c r="A421" i="1"/>
  <c r="E421" i="1"/>
  <c r="AH421" i="1"/>
  <c r="A422" i="1"/>
  <c r="E422" i="1"/>
  <c r="AH422" i="1"/>
  <c r="A423" i="1"/>
  <c r="AH423" i="1"/>
  <c r="E423" i="1"/>
  <c r="A424" i="1"/>
  <c r="E424" i="1"/>
  <c r="AH424" i="1"/>
  <c r="A425" i="1"/>
  <c r="AH425" i="1"/>
  <c r="E425" i="1"/>
  <c r="A426" i="1"/>
  <c r="AH426" i="1"/>
  <c r="E426" i="1"/>
  <c r="A427" i="1"/>
  <c r="A428" i="1"/>
  <c r="AH428" i="1"/>
  <c r="E428" i="1"/>
  <c r="A429" i="1"/>
  <c r="AH429" i="1"/>
  <c r="E429" i="1"/>
  <c r="A430" i="1"/>
  <c r="A431" i="1"/>
  <c r="AH431" i="1"/>
  <c r="E431" i="1"/>
  <c r="A432" i="1"/>
  <c r="E432" i="1"/>
  <c r="AH432" i="1"/>
  <c r="A433" i="1"/>
  <c r="A434" i="1"/>
  <c r="E434" i="1"/>
  <c r="AH434" i="1"/>
  <c r="A435" i="1"/>
  <c r="A436" i="1"/>
  <c r="E436" i="1"/>
  <c r="AH436" i="1"/>
  <c r="A437" i="1"/>
  <c r="E437" i="1"/>
  <c r="AH437" i="1"/>
  <c r="A438" i="1"/>
  <c r="AH438" i="1"/>
  <c r="E438" i="1"/>
  <c r="A439" i="1"/>
  <c r="AH439" i="1"/>
  <c r="E439" i="1"/>
  <c r="A440" i="1"/>
  <c r="A441" i="1"/>
  <c r="E441" i="1"/>
  <c r="AH441" i="1"/>
  <c r="A442" i="1"/>
  <c r="AH442" i="1"/>
  <c r="E442" i="1"/>
  <c r="A443" i="1"/>
  <c r="E443" i="1"/>
  <c r="AH443" i="1"/>
  <c r="A444" i="1"/>
  <c r="AH444" i="1"/>
  <c r="E444" i="1"/>
  <c r="A445" i="1"/>
  <c r="A446" i="1"/>
  <c r="E446" i="1"/>
  <c r="AH446" i="1"/>
  <c r="A447" i="1"/>
  <c r="AH447" i="1"/>
  <c r="AJ445" i="1" l="1"/>
  <c r="AJ444" i="1"/>
  <c r="AJ443" i="1"/>
  <c r="AK442" i="1"/>
  <c r="AK443" i="1" s="1"/>
  <c r="AK444" i="1" s="1"/>
  <c r="AK445" i="1" s="1"/>
  <c r="AK446" i="1" s="1"/>
  <c r="AJ442" i="1"/>
  <c r="AI441" i="1"/>
  <c r="AJ440" i="1"/>
  <c r="AJ439" i="1"/>
  <c r="AJ438" i="1"/>
  <c r="AK437" i="1"/>
  <c r="AK438" i="1" s="1"/>
  <c r="AK439" i="1" s="1"/>
  <c r="AJ437" i="1"/>
  <c r="AI436" i="1"/>
  <c r="AJ435" i="1"/>
  <c r="AI434" i="1"/>
  <c r="AJ433" i="1"/>
  <c r="AK432" i="1"/>
  <c r="AK433" i="1" s="1"/>
  <c r="AK434" i="1" s="1"/>
  <c r="AJ432" i="1"/>
  <c r="AI431" i="1"/>
  <c r="AJ430" i="1"/>
  <c r="AJ429" i="1"/>
  <c r="AI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K411" i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J411" i="1"/>
  <c r="AI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I392" i="1"/>
  <c r="AJ391" i="1"/>
  <c r="AJ390" i="1"/>
  <c r="AJ389" i="1"/>
  <c r="AK388" i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J388" i="1"/>
  <c r="AI387" i="1"/>
  <c r="AJ386" i="1"/>
  <c r="AI385" i="1"/>
  <c r="AJ384" i="1"/>
  <c r="AJ383" i="1"/>
  <c r="AJ382" i="1"/>
  <c r="AJ381" i="1"/>
  <c r="AI380" i="1"/>
  <c r="AJ379" i="1"/>
  <c r="AJ378" i="1"/>
  <c r="AJ377" i="1"/>
  <c r="AJ376" i="1"/>
  <c r="AK375" i="1"/>
  <c r="AK376" i="1" s="1"/>
  <c r="AK377" i="1" s="1"/>
  <c r="AK378" i="1" s="1"/>
  <c r="AK379" i="1" s="1"/>
  <c r="AK380" i="1" s="1"/>
  <c r="AK381" i="1" s="1"/>
  <c r="AK382" i="1" s="1"/>
  <c r="AK383" i="1" s="1"/>
  <c r="AI375" i="1"/>
  <c r="AJ374" i="1"/>
  <c r="AI373" i="1"/>
  <c r="AJ372" i="1"/>
  <c r="AK371" i="1"/>
  <c r="AJ371" i="1"/>
  <c r="AI370" i="1"/>
  <c r="AJ369" i="1"/>
  <c r="AJ368" i="1"/>
  <c r="AJ367" i="1"/>
  <c r="AJ366" i="1"/>
  <c r="AJ365" i="1"/>
  <c r="AJ364" i="1"/>
  <c r="AJ363" i="1"/>
  <c r="AJ362" i="1"/>
  <c r="AJ361" i="1"/>
  <c r="AK360" i="1"/>
  <c r="AK361" i="1" s="1"/>
  <c r="AK362" i="1" s="1"/>
  <c r="AK363" i="1" s="1"/>
  <c r="AK364" i="1" s="1"/>
  <c r="AK365" i="1" s="1"/>
  <c r="AK366" i="1" s="1"/>
  <c r="AK367" i="1" s="1"/>
  <c r="AK368" i="1" s="1"/>
  <c r="AJ360" i="1"/>
  <c r="AI359" i="1"/>
  <c r="AJ358" i="1"/>
  <c r="AI357" i="1"/>
  <c r="AJ356" i="1"/>
  <c r="AJ355" i="1"/>
  <c r="AJ354" i="1"/>
  <c r="AJ353" i="1"/>
  <c r="AJ352" i="1"/>
  <c r="AJ351" i="1"/>
  <c r="AJ350" i="1"/>
  <c r="AJ349" i="1"/>
  <c r="AJ348" i="1"/>
  <c r="AJ347" i="1"/>
  <c r="AK346" i="1"/>
  <c r="AK347" i="1" s="1"/>
  <c r="AK348" i="1" s="1"/>
  <c r="AK349" i="1" s="1"/>
  <c r="AK350" i="1" s="1"/>
  <c r="AK351" i="1" s="1"/>
  <c r="AK352" i="1" s="1"/>
  <c r="AK353" i="1" s="1"/>
  <c r="AK354" i="1" s="1"/>
  <c r="AK355" i="1" s="1"/>
  <c r="AJ346" i="1"/>
  <c r="AI345" i="1"/>
  <c r="AJ344" i="1"/>
  <c r="AJ343" i="1"/>
  <c r="AJ342" i="1"/>
  <c r="AJ341" i="1"/>
  <c r="AJ340" i="1"/>
  <c r="AJ339" i="1"/>
  <c r="AJ338" i="1"/>
  <c r="AJ337" i="1"/>
  <c r="AK336" i="1"/>
  <c r="AK337" i="1" s="1"/>
  <c r="AK338" i="1" s="1"/>
  <c r="AK339" i="1" s="1"/>
  <c r="AK340" i="1" s="1"/>
  <c r="AK341" i="1" s="1"/>
  <c r="AK342" i="1" s="1"/>
  <c r="AK343" i="1" s="1"/>
  <c r="AJ336" i="1"/>
  <c r="AI335" i="1"/>
  <c r="AJ334" i="1"/>
  <c r="AJ333" i="1"/>
  <c r="AJ332" i="1"/>
  <c r="AJ331" i="1"/>
  <c r="AJ330" i="1"/>
  <c r="AJ329" i="1"/>
  <c r="AJ328" i="1"/>
  <c r="AJ327" i="1"/>
  <c r="AJ326" i="1"/>
  <c r="AJ325" i="1"/>
  <c r="AK324" i="1"/>
  <c r="AK325" i="1" s="1"/>
  <c r="AK326" i="1" s="1"/>
  <c r="AK327" i="1" s="1"/>
  <c r="AK328" i="1" s="1"/>
  <c r="AK329" i="1" s="1"/>
  <c r="AK330" i="1" s="1"/>
  <c r="AK331" i="1" s="1"/>
  <c r="AK332" i="1" s="1"/>
  <c r="AK333" i="1" s="1"/>
  <c r="AJ324" i="1"/>
  <c r="AI323" i="1"/>
  <c r="AJ322" i="1"/>
  <c r="AI321" i="1"/>
  <c r="AJ320" i="1"/>
  <c r="AK319" i="1"/>
  <c r="AJ319" i="1"/>
  <c r="AI318" i="1"/>
  <c r="AJ317" i="1"/>
  <c r="AI316" i="1"/>
  <c r="AJ315" i="1"/>
  <c r="AI314" i="1"/>
  <c r="AJ313" i="1"/>
  <c r="AI312" i="1"/>
  <c r="AJ311" i="1"/>
  <c r="AI310" i="1"/>
  <c r="AJ309" i="1"/>
  <c r="AK308" i="1"/>
  <c r="AJ308" i="1"/>
  <c r="AI307" i="1"/>
  <c r="AJ306" i="1"/>
  <c r="AJ305" i="1"/>
  <c r="AJ304" i="1"/>
  <c r="AJ303" i="1"/>
  <c r="AJ302" i="1"/>
  <c r="AJ301" i="1"/>
  <c r="AJ300" i="1"/>
  <c r="AJ299" i="1"/>
  <c r="AK298" i="1"/>
  <c r="AK299" i="1" s="1"/>
  <c r="AK300" i="1" s="1"/>
  <c r="AK301" i="1" s="1"/>
  <c r="AK302" i="1" s="1"/>
  <c r="AK303" i="1" s="1"/>
  <c r="AK304" i="1" s="1"/>
  <c r="AK305" i="1" s="1"/>
  <c r="AJ298" i="1"/>
  <c r="AI297" i="1"/>
  <c r="AJ296" i="1"/>
  <c r="AJ295" i="1"/>
  <c r="AJ294" i="1"/>
  <c r="AJ293" i="1"/>
  <c r="AJ292" i="1"/>
  <c r="AJ291" i="1"/>
  <c r="AK290" i="1"/>
  <c r="AK291" i="1" s="1"/>
  <c r="AK292" i="1" s="1"/>
  <c r="AK293" i="1" s="1"/>
  <c r="AK294" i="1" s="1"/>
  <c r="AK295" i="1" s="1"/>
  <c r="AJ290" i="1"/>
  <c r="AI289" i="1"/>
  <c r="AJ288" i="1"/>
  <c r="AJ287" i="1"/>
  <c r="AK286" i="1"/>
  <c r="AK287" i="1" s="1"/>
  <c r="AJ286" i="1"/>
  <c r="AI285" i="1"/>
  <c r="AJ284" i="1"/>
  <c r="AJ283" i="1"/>
  <c r="AJ282" i="1"/>
  <c r="AJ281" i="1"/>
  <c r="AJ280" i="1"/>
  <c r="AJ279" i="1"/>
  <c r="AJ278" i="1"/>
  <c r="AJ277" i="1"/>
  <c r="AJ276" i="1"/>
  <c r="AJ275" i="1"/>
  <c r="AK274" i="1"/>
  <c r="AK275" i="1" s="1"/>
  <c r="AK276" i="1" s="1"/>
  <c r="AK277" i="1" s="1"/>
  <c r="AK278" i="1" s="1"/>
  <c r="AK279" i="1" s="1"/>
  <c r="AK280" i="1" s="1"/>
  <c r="AK281" i="1" s="1"/>
  <c r="AK282" i="1" s="1"/>
  <c r="AK283" i="1" s="1"/>
  <c r="AJ274" i="1"/>
  <c r="AI273" i="1"/>
  <c r="AJ272" i="1"/>
  <c r="AJ271" i="1"/>
  <c r="AJ270" i="1"/>
  <c r="AJ269" i="1"/>
  <c r="AJ268" i="1"/>
  <c r="AJ267" i="1"/>
  <c r="AJ266" i="1"/>
  <c r="AJ265" i="1"/>
  <c r="AJ264" i="1"/>
  <c r="AK263" i="1"/>
  <c r="AK264" i="1" s="1"/>
  <c r="AK265" i="1" s="1"/>
  <c r="AK266" i="1" s="1"/>
  <c r="AK267" i="1" s="1"/>
  <c r="AK268" i="1" s="1"/>
  <c r="AK269" i="1" s="1"/>
  <c r="AK270" i="1" s="1"/>
  <c r="AK271" i="1" s="1"/>
  <c r="AJ263" i="1"/>
  <c r="AI262" i="1"/>
  <c r="AJ261" i="1"/>
  <c r="AJ260" i="1"/>
  <c r="AJ259" i="1"/>
  <c r="AJ258" i="1"/>
  <c r="AJ257" i="1"/>
  <c r="AJ256" i="1"/>
  <c r="AJ255" i="1"/>
  <c r="AK254" i="1"/>
  <c r="AK255" i="1" s="1"/>
  <c r="AK256" i="1" s="1"/>
  <c r="AK257" i="1" s="1"/>
  <c r="AK258" i="1" s="1"/>
  <c r="AK259" i="1" s="1"/>
  <c r="AK260" i="1" s="1"/>
  <c r="AJ254" i="1"/>
  <c r="AI253" i="1"/>
  <c r="AI250" i="1"/>
  <c r="AJ252" i="1"/>
  <c r="AK250" i="1"/>
  <c r="AK251" i="1" s="1"/>
  <c r="AJ251" i="1"/>
  <c r="AJ249" i="1"/>
  <c r="AJ447" i="1"/>
  <c r="AI446" i="1"/>
  <c r="AK447" i="1"/>
  <c r="AK448" i="1" s="1"/>
  <c r="AK449" i="1" s="1"/>
  <c r="E447" i="1"/>
  <c r="AG444" i="1"/>
  <c r="AG443" i="1"/>
  <c r="AI442" i="1"/>
  <c r="AG441" i="1"/>
  <c r="AG439" i="1"/>
  <c r="AG437" i="1"/>
  <c r="AG436" i="1"/>
  <c r="AI432" i="1"/>
  <c r="AG431" i="1"/>
  <c r="AI429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I411" i="1"/>
  <c r="AI412" i="1" s="1"/>
  <c r="AG394" i="1"/>
  <c r="AI393" i="1"/>
  <c r="AI388" i="1"/>
  <c r="AI389" i="1" s="1"/>
  <c r="AG385" i="1"/>
  <c r="AG383" i="1"/>
  <c r="AG381" i="1"/>
  <c r="AG377" i="1"/>
  <c r="AG376" i="1"/>
  <c r="AG375" i="1"/>
  <c r="AG373" i="1"/>
  <c r="AG371" i="1"/>
  <c r="AG368" i="1"/>
  <c r="AG367" i="1"/>
  <c r="AG366" i="1"/>
  <c r="AG365" i="1"/>
  <c r="AG364" i="1"/>
  <c r="AG362" i="1"/>
  <c r="AG361" i="1"/>
  <c r="AI360" i="1"/>
  <c r="AG357" i="1"/>
  <c r="AG355" i="1"/>
  <c r="AG354" i="1"/>
  <c r="AG353" i="1"/>
  <c r="AG352" i="1"/>
  <c r="AG351" i="1"/>
  <c r="AG350" i="1"/>
  <c r="AG349" i="1"/>
  <c r="AG346" i="1"/>
  <c r="AG345" i="1"/>
  <c r="AG343" i="1"/>
  <c r="AG342" i="1"/>
  <c r="AG341" i="1"/>
  <c r="AG340" i="1"/>
  <c r="AG339" i="1"/>
  <c r="AG337" i="1"/>
  <c r="AI336" i="1"/>
  <c r="AG335" i="1"/>
  <c r="AG333" i="1"/>
  <c r="AG332" i="1"/>
  <c r="AG331" i="1"/>
  <c r="AG330" i="1"/>
  <c r="AG329" i="1"/>
  <c r="AG328" i="1"/>
  <c r="AG327" i="1"/>
  <c r="AG325" i="1"/>
  <c r="AI324" i="1"/>
  <c r="AG323" i="1"/>
  <c r="AI319" i="1"/>
  <c r="AG318" i="1"/>
  <c r="AG314" i="1"/>
  <c r="AG310" i="1"/>
  <c r="AG308" i="1"/>
  <c r="AG300" i="1"/>
  <c r="AG292" i="1"/>
  <c r="AI286" i="1"/>
  <c r="AG446" i="1"/>
  <c r="AI443" i="1"/>
  <c r="AI444" i="1" s="1"/>
  <c r="AG442" i="1"/>
  <c r="AG438" i="1"/>
  <c r="AI437" i="1"/>
  <c r="AG434" i="1"/>
  <c r="AG432" i="1"/>
  <c r="AG429" i="1"/>
  <c r="AG428" i="1"/>
  <c r="AI413" i="1"/>
  <c r="AG412" i="1"/>
  <c r="AG411" i="1"/>
  <c r="AG410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I394" i="1"/>
  <c r="AI395" i="1" s="1"/>
  <c r="AG393" i="1"/>
  <c r="AG392" i="1"/>
  <c r="AG390" i="1"/>
  <c r="AG389" i="1"/>
  <c r="AG388" i="1"/>
  <c r="AG387" i="1"/>
  <c r="AG382" i="1"/>
  <c r="AI381" i="1"/>
  <c r="AG380" i="1"/>
  <c r="AG378" i="1"/>
  <c r="AI376" i="1"/>
  <c r="AI377" i="1" s="1"/>
  <c r="AI378" i="1" s="1"/>
  <c r="AI371" i="1"/>
  <c r="AG370" i="1"/>
  <c r="AG363" i="1"/>
  <c r="AI361" i="1"/>
  <c r="AI362" i="1" s="1"/>
  <c r="AI363" i="1" s="1"/>
  <c r="AI364" i="1" s="1"/>
  <c r="AG360" i="1"/>
  <c r="AG359" i="1"/>
  <c r="AG348" i="1"/>
  <c r="AG347" i="1"/>
  <c r="AI346" i="1"/>
  <c r="AI347" i="1" s="1"/>
  <c r="AI348" i="1" s="1"/>
  <c r="AI349" i="1" s="1"/>
  <c r="AG338" i="1"/>
  <c r="AI337" i="1"/>
  <c r="AI338" i="1" s="1"/>
  <c r="AI339" i="1" s="1"/>
  <c r="AG336" i="1"/>
  <c r="AG326" i="1"/>
  <c r="AI325" i="1"/>
  <c r="AI326" i="1" s="1"/>
  <c r="AI327" i="1" s="1"/>
  <c r="AI328" i="1" s="1"/>
  <c r="AG324" i="1"/>
  <c r="AG321" i="1"/>
  <c r="AG319" i="1"/>
  <c r="AG316" i="1"/>
  <c r="AG312" i="1"/>
  <c r="AI308" i="1"/>
  <c r="AG307" i="1"/>
  <c r="AG305" i="1"/>
  <c r="AG304" i="1"/>
  <c r="AG303" i="1"/>
  <c r="AG302" i="1"/>
  <c r="AG301" i="1"/>
  <c r="AI298" i="1"/>
  <c r="AI299" i="1" s="1"/>
  <c r="AI300" i="1" s="1"/>
  <c r="AG295" i="1"/>
  <c r="AG294" i="1"/>
  <c r="AG293" i="1"/>
  <c r="AG291" i="1"/>
  <c r="AI290" i="1"/>
  <c r="AG289" i="1"/>
  <c r="AI287" i="1"/>
  <c r="AG286" i="1"/>
  <c r="AG283" i="1"/>
  <c r="AG282" i="1"/>
  <c r="AG281" i="1"/>
  <c r="AG280" i="1"/>
  <c r="AG279" i="1"/>
  <c r="AG278" i="1"/>
  <c r="AG277" i="1"/>
  <c r="AG275" i="1"/>
  <c r="AI274" i="1"/>
  <c r="AG273" i="1"/>
  <c r="AG271" i="1"/>
  <c r="AG270" i="1"/>
  <c r="AG269" i="1"/>
  <c r="AG268" i="1"/>
  <c r="AG267" i="1"/>
  <c r="AG266" i="1"/>
  <c r="AG264" i="1"/>
  <c r="AG263" i="1"/>
  <c r="AG262" i="1"/>
  <c r="AG260" i="1"/>
  <c r="AG259" i="1"/>
  <c r="AG258" i="1"/>
  <c r="AG257" i="1"/>
  <c r="AG255" i="1"/>
  <c r="AG254" i="1"/>
  <c r="AG253" i="1"/>
  <c r="AG250" i="1"/>
  <c r="AI251" i="1"/>
  <c r="AI182" i="1"/>
  <c r="AI206" i="1"/>
  <c r="AI365" i="1"/>
  <c r="AI350" i="1"/>
  <c r="A448" i="1"/>
  <c r="AI301" i="1"/>
  <c r="AI302" i="1" s="1"/>
  <c r="AG299" i="1"/>
  <c r="AG298" i="1"/>
  <c r="AG297" i="1"/>
  <c r="AI291" i="1"/>
  <c r="AI292" i="1" s="1"/>
  <c r="AI293" i="1" s="1"/>
  <c r="AG290" i="1"/>
  <c r="AG287" i="1"/>
  <c r="AG285" i="1"/>
  <c r="AG276" i="1"/>
  <c r="AI275" i="1"/>
  <c r="AI276" i="1" s="1"/>
  <c r="AI277" i="1" s="1"/>
  <c r="AG274" i="1"/>
  <c r="AG265" i="1"/>
  <c r="AI263" i="1"/>
  <c r="AI264" i="1" s="1"/>
  <c r="AI265" i="1" s="1"/>
  <c r="AI266" i="1" s="1"/>
  <c r="AI267" i="1" s="1"/>
  <c r="AG256" i="1"/>
  <c r="AI254" i="1"/>
  <c r="AI255" i="1" s="1"/>
  <c r="AI256" i="1" s="1"/>
  <c r="AI257" i="1" s="1"/>
  <c r="AG251" i="1"/>
  <c r="AI414" i="1"/>
  <c r="AI294" i="1"/>
  <c r="AI258" i="1"/>
  <c r="AI340" i="1"/>
  <c r="AI278" i="1"/>
  <c r="AJ448" i="1" l="1"/>
  <c r="AI415" i="1"/>
  <c r="AI351" i="1"/>
  <c r="AI183" i="1"/>
  <c r="AI184" i="1" s="1"/>
  <c r="AI382" i="1"/>
  <c r="AI383" i="1" s="1"/>
  <c r="AI438" i="1"/>
  <c r="AI439" i="1" s="1"/>
  <c r="AI447" i="1"/>
  <c r="AI352" i="1"/>
  <c r="A449" i="1"/>
  <c r="AI207" i="1"/>
  <c r="AI208" i="1" s="1"/>
  <c r="AI209" i="1" s="1"/>
  <c r="AI329" i="1"/>
  <c r="AI396" i="1"/>
  <c r="AI390" i="1"/>
  <c r="AG447" i="1"/>
  <c r="E449" i="1"/>
  <c r="AI366" i="1"/>
  <c r="A450" i="1"/>
  <c r="AI268" i="1"/>
  <c r="AI259" i="1"/>
  <c r="AI279" i="1"/>
  <c r="AI341" i="1"/>
  <c r="AI303" i="1"/>
  <c r="E450" i="1"/>
  <c r="AH450" i="1"/>
  <c r="A451" i="1"/>
  <c r="AH451" i="1" s="1"/>
  <c r="AI295" i="1"/>
  <c r="E451" i="1"/>
  <c r="AH449" i="1"/>
  <c r="AI449" i="1" l="1"/>
  <c r="AJ451" i="1"/>
  <c r="AK450" i="1"/>
  <c r="AK451" i="1" s="1"/>
  <c r="AJ450" i="1"/>
  <c r="AI367" i="1"/>
  <c r="AI330" i="1"/>
  <c r="AI353" i="1"/>
  <c r="AI304" i="1"/>
  <c r="AG450" i="1"/>
  <c r="AI397" i="1"/>
  <c r="AI398" i="1" s="1"/>
  <c r="AI416" i="1"/>
  <c r="AI342" i="1"/>
  <c r="A452" i="1"/>
  <c r="A453" i="1" s="1"/>
  <c r="AI280" i="1"/>
  <c r="AH453" i="1"/>
  <c r="AG449" i="1"/>
  <c r="AI450" i="1"/>
  <c r="AI260" i="1"/>
  <c r="E452" i="1"/>
  <c r="AI269" i="1"/>
  <c r="AG451" i="1"/>
  <c r="AI368" i="1"/>
  <c r="AH452" i="1"/>
  <c r="AJ453" i="1" l="1"/>
  <c r="AJ452" i="1"/>
  <c r="AK452" i="1"/>
  <c r="AK453" i="1" s="1"/>
  <c r="AI343" i="1"/>
  <c r="AI399" i="1"/>
  <c r="AI305" i="1"/>
  <c r="AI354" i="1"/>
  <c r="AI270" i="1"/>
  <c r="AI417" i="1"/>
  <c r="AI418" i="1" s="1"/>
  <c r="AI419" i="1" s="1"/>
  <c r="AI331" i="1"/>
  <c r="AI332" i="1" s="1"/>
  <c r="AI333" i="1" s="1"/>
  <c r="E453" i="1"/>
  <c r="AI281" i="1"/>
  <c r="AG452" i="1"/>
  <c r="AI451" i="1"/>
  <c r="AI452" i="1" s="1"/>
  <c r="A454" i="1"/>
  <c r="A455" i="1"/>
  <c r="E454" i="1"/>
  <c r="E455" i="1"/>
  <c r="AH455" i="1"/>
  <c r="AH454" i="1"/>
  <c r="AJ455" i="1" l="1"/>
  <c r="AJ454" i="1"/>
  <c r="AK454" i="1"/>
  <c r="AK455" i="1" s="1"/>
  <c r="AI400" i="1"/>
  <c r="AI355" i="1"/>
  <c r="AI282" i="1"/>
  <c r="AG453" i="1"/>
  <c r="A456" i="1"/>
  <c r="AI271" i="1"/>
  <c r="A457" i="1"/>
  <c r="E457" i="1"/>
  <c r="AI420" i="1"/>
  <c r="AI421" i="1" s="1"/>
  <c r="AI422" i="1" s="1"/>
  <c r="AI423" i="1" s="1"/>
  <c r="AI424" i="1" s="1"/>
  <c r="AG454" i="1"/>
  <c r="AI453" i="1"/>
  <c r="E456" i="1"/>
  <c r="AG455" i="1"/>
  <c r="AH456" i="1"/>
  <c r="AH457" i="1"/>
  <c r="AJ457" i="1" l="1"/>
  <c r="AJ456" i="1"/>
  <c r="AK456" i="1"/>
  <c r="AK457" i="1" s="1"/>
  <c r="AK647" i="1"/>
  <c r="AG456" i="1"/>
  <c r="AI425" i="1"/>
  <c r="AG457" i="1"/>
  <c r="AI401" i="1"/>
  <c r="AI402" i="1" s="1"/>
  <c r="AI403" i="1" s="1"/>
  <c r="AI404" i="1" s="1"/>
  <c r="AI405" i="1" s="1"/>
  <c r="AI406" i="1" s="1"/>
  <c r="A458" i="1"/>
  <c r="AI407" i="1"/>
  <c r="A459" i="1"/>
  <c r="AH458" i="1"/>
  <c r="AI454" i="1"/>
  <c r="AI455" i="1" s="1"/>
  <c r="AI283" i="1"/>
  <c r="E458" i="1"/>
  <c r="AJ459" i="1" l="1"/>
  <c r="AJ458" i="1"/>
  <c r="AK458" i="1"/>
  <c r="AK459" i="1" s="1"/>
  <c r="AK460" i="1" s="1"/>
  <c r="A460" i="1"/>
  <c r="E460" i="1"/>
  <c r="A461" i="1"/>
  <c r="AI426" i="1"/>
  <c r="AG458" i="1"/>
  <c r="AI408" i="1"/>
  <c r="AH460" i="1"/>
  <c r="AI456" i="1"/>
  <c r="AI457" i="1" s="1"/>
  <c r="AI458" i="1"/>
  <c r="E461" i="1"/>
  <c r="AJ461" i="1" l="1"/>
  <c r="AI460" i="1"/>
  <c r="AH461" i="1"/>
  <c r="AI461" i="1"/>
  <c r="A462" i="1"/>
  <c r="AG460" i="1"/>
  <c r="AG461" i="1"/>
  <c r="AH462" i="1"/>
  <c r="A463" i="1"/>
  <c r="E462" i="1"/>
  <c r="AK461" i="1" l="1"/>
  <c r="AK462" i="1" s="1"/>
  <c r="AJ463" i="1"/>
  <c r="AJ462" i="1"/>
  <c r="A464" i="1"/>
  <c r="AI462" i="1"/>
  <c r="AG462" i="1"/>
  <c r="AH464" i="1"/>
  <c r="E464" i="1"/>
  <c r="AI464" i="1" l="1"/>
  <c r="AG464" i="1"/>
  <c r="A465" i="1"/>
  <c r="E465" i="1"/>
  <c r="AH465" i="1"/>
  <c r="AK465" i="1" l="1"/>
  <c r="AK466" i="1" s="1"/>
  <c r="AK467" i="1" s="1"/>
  <c r="AJ465" i="1"/>
  <c r="AI465" i="1"/>
  <c r="AG465" i="1"/>
  <c r="A466" i="1"/>
  <c r="A467" i="1"/>
  <c r="E467" i="1"/>
  <c r="AH467" i="1"/>
  <c r="AI467" i="1" l="1"/>
  <c r="AJ466" i="1"/>
  <c r="AG467" i="1"/>
  <c r="A468" i="1"/>
  <c r="E468" i="1"/>
  <c r="AH468" i="1"/>
  <c r="A469" i="1"/>
  <c r="AJ469" i="1" l="1"/>
  <c r="AK468" i="1"/>
  <c r="AK469" i="1" s="1"/>
  <c r="AK470" i="1" s="1"/>
  <c r="AK471" i="1" s="1"/>
  <c r="AK472" i="1" s="1"/>
  <c r="AJ468" i="1"/>
  <c r="AK654" i="1"/>
  <c r="A470" i="1"/>
  <c r="AI468" i="1"/>
  <c r="AG468" i="1"/>
  <c r="AH470" i="1"/>
  <c r="E470" i="1"/>
  <c r="A471" i="1"/>
  <c r="AJ471" i="1" l="1"/>
  <c r="AI470" i="1"/>
  <c r="A472" i="1"/>
  <c r="AG470" i="1"/>
  <c r="E472" i="1"/>
  <c r="AH472" i="1"/>
  <c r="A473" i="1"/>
  <c r="E473" i="1"/>
  <c r="AH473" i="1"/>
  <c r="AK473" i="1" l="1"/>
  <c r="AJ473" i="1"/>
  <c r="AI472" i="1"/>
  <c r="AI473" i="1"/>
  <c r="AG472" i="1"/>
  <c r="AG473" i="1"/>
  <c r="A474" i="1"/>
  <c r="AH474" i="1"/>
  <c r="E474" i="1"/>
  <c r="A475" i="1"/>
  <c r="AH475" i="1"/>
  <c r="E475" i="1"/>
  <c r="A476" i="1"/>
  <c r="AH476" i="1"/>
  <c r="E476" i="1"/>
  <c r="A477" i="1"/>
  <c r="E477" i="1"/>
  <c r="AH477" i="1"/>
  <c r="AJ477" i="1" l="1"/>
  <c r="AJ476" i="1"/>
  <c r="AJ475" i="1"/>
  <c r="AJ474" i="1"/>
  <c r="AK474" i="1"/>
  <c r="AK475" i="1" s="1"/>
  <c r="AK476" i="1" s="1"/>
  <c r="AK477" i="1" s="1"/>
  <c r="AG477" i="1"/>
  <c r="AG475" i="1"/>
  <c r="AI474" i="1"/>
  <c r="A478" i="1"/>
  <c r="AG476" i="1"/>
  <c r="AI475" i="1"/>
  <c r="AI476" i="1" s="1"/>
  <c r="AI477" i="1" s="1"/>
  <c r="AG474" i="1"/>
  <c r="E478" i="1"/>
  <c r="AH478" i="1"/>
  <c r="A479" i="1"/>
  <c r="E479" i="1"/>
  <c r="AH479" i="1"/>
  <c r="AJ479" i="1" l="1"/>
  <c r="AJ478" i="1"/>
  <c r="AK478" i="1"/>
  <c r="AK479" i="1" s="1"/>
  <c r="AG479" i="1"/>
  <c r="A480" i="1"/>
  <c r="AI478" i="1"/>
  <c r="AI479" i="1" s="1"/>
  <c r="AG478" i="1"/>
  <c r="E480" i="1"/>
  <c r="AH480" i="1"/>
  <c r="A481" i="1"/>
  <c r="AH481" i="1"/>
  <c r="E481" i="1"/>
  <c r="AJ481" i="1" l="1"/>
  <c r="AJ480" i="1"/>
  <c r="AK480" i="1"/>
  <c r="AK481" i="1" s="1"/>
  <c r="AG481" i="1"/>
  <c r="AI480" i="1"/>
  <c r="AI481" i="1" s="1"/>
  <c r="A482" i="1"/>
  <c r="AG480" i="1"/>
  <c r="E482" i="1"/>
  <c r="AH482" i="1"/>
  <c r="A483" i="1"/>
  <c r="AJ483" i="1" l="1"/>
  <c r="AJ482" i="1"/>
  <c r="AK482" i="1"/>
  <c r="AK483" i="1" s="1"/>
  <c r="AI482" i="1"/>
  <c r="A484" i="1"/>
  <c r="AG482" i="1"/>
  <c r="AH484" i="1"/>
  <c r="E484" i="1"/>
  <c r="A485" i="1"/>
  <c r="AH485" i="1"/>
  <c r="E485" i="1"/>
  <c r="AK485" i="1" l="1"/>
  <c r="AJ485" i="1"/>
  <c r="AI484" i="1"/>
  <c r="AI485" i="1"/>
  <c r="A486" i="1"/>
  <c r="AG485" i="1"/>
  <c r="AG484" i="1"/>
  <c r="E486" i="1"/>
  <c r="AH486" i="1"/>
  <c r="A487" i="1"/>
  <c r="E487" i="1"/>
  <c r="AH487" i="1"/>
  <c r="AJ487" i="1" l="1"/>
  <c r="AJ486" i="1"/>
  <c r="AK486" i="1"/>
  <c r="AK487" i="1" s="1"/>
  <c r="AG487" i="1"/>
  <c r="AI486" i="1"/>
  <c r="AI487" i="1" s="1"/>
  <c r="A488" i="1"/>
  <c r="AG486" i="1"/>
  <c r="AH488" i="1"/>
  <c r="E488" i="1"/>
  <c r="A489" i="1"/>
  <c r="E489" i="1"/>
  <c r="AH489" i="1"/>
  <c r="AJ489" i="1" l="1"/>
  <c r="AJ488" i="1"/>
  <c r="AK488" i="1"/>
  <c r="AK489" i="1" s="1"/>
  <c r="AG489" i="1"/>
  <c r="AI488" i="1"/>
  <c r="AI489" i="1" s="1"/>
  <c r="A490" i="1"/>
  <c r="AG488" i="1"/>
  <c r="AH490" i="1"/>
  <c r="E490" i="1"/>
  <c r="A491" i="1"/>
  <c r="AH491" i="1"/>
  <c r="E491" i="1"/>
  <c r="AJ491" i="1" l="1"/>
  <c r="AJ490" i="1"/>
  <c r="AK490" i="1"/>
  <c r="AK491" i="1" s="1"/>
  <c r="AG491" i="1"/>
  <c r="A492" i="1"/>
  <c r="AG490" i="1"/>
  <c r="AI490" i="1"/>
  <c r="AI491" i="1" s="1"/>
  <c r="E492" i="1"/>
  <c r="AH492" i="1"/>
  <c r="A493" i="1"/>
  <c r="AH493" i="1"/>
  <c r="E493" i="1"/>
  <c r="AJ493" i="1" l="1"/>
  <c r="AJ492" i="1"/>
  <c r="AK492" i="1"/>
  <c r="AK493" i="1" s="1"/>
  <c r="AK494" i="1" s="1"/>
  <c r="AK495" i="1" s="1"/>
  <c r="AG493" i="1"/>
  <c r="A494" i="1"/>
  <c r="AG492" i="1"/>
  <c r="AI492" i="1"/>
  <c r="AI493" i="1" s="1"/>
  <c r="A495" i="1"/>
  <c r="AH495" i="1"/>
  <c r="E495" i="1"/>
  <c r="AI495" i="1" l="1"/>
  <c r="AJ494" i="1"/>
  <c r="AK666" i="1"/>
  <c r="A496" i="1"/>
  <c r="AG495" i="1"/>
  <c r="AH496" i="1"/>
  <c r="E496" i="1"/>
  <c r="A497" i="1"/>
  <c r="E497" i="1"/>
  <c r="AH497" i="1"/>
  <c r="AJ497" i="1" l="1"/>
  <c r="AK496" i="1"/>
  <c r="AK497" i="1" s="1"/>
  <c r="AJ496" i="1"/>
  <c r="AG497" i="1"/>
  <c r="A498" i="1"/>
  <c r="AI496" i="1"/>
  <c r="AI497" i="1"/>
  <c r="AG496" i="1"/>
  <c r="E498" i="1"/>
  <c r="AH498" i="1"/>
  <c r="A499" i="1"/>
  <c r="E499" i="1"/>
  <c r="AH499" i="1"/>
  <c r="AJ499" i="1" l="1"/>
  <c r="AJ498" i="1"/>
  <c r="AK498" i="1"/>
  <c r="AK499" i="1" s="1"/>
  <c r="AK500" i="1" s="1"/>
  <c r="AK501" i="1" s="1"/>
  <c r="AG499" i="1"/>
  <c r="A500" i="1"/>
  <c r="AG498" i="1"/>
  <c r="AI498" i="1"/>
  <c r="AI499" i="1" s="1"/>
  <c r="A501" i="1"/>
  <c r="E501" i="1"/>
  <c r="AH501" i="1"/>
  <c r="AI501" i="1" l="1"/>
  <c r="AJ500" i="1"/>
  <c r="A502" i="1"/>
  <c r="AG501" i="1"/>
  <c r="AH502" i="1"/>
  <c r="E502" i="1"/>
  <c r="A503" i="1"/>
  <c r="E503" i="1"/>
  <c r="AH503" i="1"/>
  <c r="AJ503" i="1" l="1"/>
  <c r="AK502" i="1"/>
  <c r="AK503" i="1" s="1"/>
  <c r="AJ502" i="1"/>
  <c r="AG503" i="1"/>
  <c r="A504" i="1"/>
  <c r="AI502" i="1"/>
  <c r="AI503" i="1"/>
  <c r="AG502" i="1"/>
  <c r="AH504" i="1"/>
  <c r="E504" i="1"/>
  <c r="A505" i="1"/>
  <c r="AH505" i="1"/>
  <c r="E505" i="1"/>
  <c r="AJ505" i="1" l="1"/>
  <c r="AJ504" i="1"/>
  <c r="AK504" i="1"/>
  <c r="AK505" i="1" s="1"/>
  <c r="AI504" i="1"/>
  <c r="AI505" i="1" s="1"/>
  <c r="AG505" i="1"/>
  <c r="A506" i="1"/>
  <c r="AG504" i="1"/>
  <c r="AH506" i="1"/>
  <c r="E506" i="1"/>
  <c r="A507" i="1"/>
  <c r="E507" i="1"/>
  <c r="AH507" i="1"/>
  <c r="AJ507" i="1" l="1"/>
  <c r="AJ506" i="1"/>
  <c r="AK506" i="1"/>
  <c r="AK507" i="1" s="1"/>
  <c r="AG507" i="1"/>
  <c r="A508" i="1"/>
  <c r="AI506" i="1"/>
  <c r="AI507" i="1" s="1"/>
  <c r="AG506" i="1"/>
  <c r="A509" i="1"/>
  <c r="E509" i="1"/>
  <c r="AH509" i="1"/>
  <c r="AI509" i="1" l="1"/>
  <c r="AJ508" i="1"/>
  <c r="A510" i="1"/>
  <c r="AG509" i="1"/>
  <c r="E510" i="1"/>
  <c r="AH510" i="1"/>
  <c r="A511" i="1"/>
  <c r="E511" i="1"/>
  <c r="AH511" i="1"/>
  <c r="AJ511" i="1" l="1"/>
  <c r="AK510" i="1"/>
  <c r="AK511" i="1" s="1"/>
  <c r="AJ510" i="1"/>
  <c r="AG511" i="1"/>
  <c r="AG510" i="1"/>
  <c r="AI510" i="1"/>
  <c r="AI511" i="1" s="1"/>
  <c r="A512" i="1"/>
  <c r="AH512" i="1"/>
  <c r="E512" i="1"/>
  <c r="A513" i="1"/>
  <c r="AJ513" i="1" l="1"/>
  <c r="AJ512" i="1"/>
  <c r="AK512" i="1"/>
  <c r="A514" i="1"/>
  <c r="AI512" i="1"/>
  <c r="AG512" i="1"/>
  <c r="AH514" i="1"/>
  <c r="E514" i="1"/>
  <c r="A515" i="1"/>
  <c r="E515" i="1"/>
  <c r="AH515" i="1"/>
  <c r="AK515" i="1" l="1"/>
  <c r="AJ515" i="1"/>
  <c r="AI514" i="1"/>
  <c r="AG515" i="1"/>
  <c r="A516" i="1"/>
  <c r="AI515" i="1"/>
  <c r="AG514" i="1"/>
  <c r="E516" i="1"/>
  <c r="AH516" i="1"/>
  <c r="A517" i="1"/>
  <c r="AH517" i="1"/>
  <c r="E517" i="1"/>
  <c r="AJ517" i="1" l="1"/>
  <c r="AJ516" i="1"/>
  <c r="AK516" i="1"/>
  <c r="AK517" i="1" s="1"/>
  <c r="AK677" i="1"/>
  <c r="AI516" i="1"/>
  <c r="AI517" i="1" s="1"/>
  <c r="AG517" i="1"/>
  <c r="A518" i="1"/>
  <c r="AG516" i="1"/>
  <c r="AH518" i="1"/>
  <c r="E518" i="1"/>
  <c r="A519" i="1"/>
  <c r="E519" i="1"/>
  <c r="AH519" i="1"/>
  <c r="AJ519" i="1" l="1"/>
  <c r="AJ518" i="1"/>
  <c r="AK518" i="1"/>
  <c r="AK519" i="1" s="1"/>
  <c r="AG519" i="1"/>
  <c r="A520" i="1"/>
  <c r="AG518" i="1"/>
  <c r="AI518" i="1"/>
  <c r="AI519" i="1" s="1"/>
  <c r="E520" i="1"/>
  <c r="AH520" i="1"/>
  <c r="A521" i="1"/>
  <c r="E521" i="1"/>
  <c r="AH521" i="1"/>
  <c r="AJ521" i="1" l="1"/>
  <c r="AJ520" i="1"/>
  <c r="AK520" i="1"/>
  <c r="AK521" i="1" s="1"/>
  <c r="AK522" i="1" s="1"/>
  <c r="AK523" i="1" s="1"/>
  <c r="AG521" i="1"/>
  <c r="AI520" i="1"/>
  <c r="AI521" i="1" s="1"/>
  <c r="A522" i="1"/>
  <c r="AG520" i="1"/>
  <c r="A523" i="1"/>
  <c r="E523" i="1"/>
  <c r="AH523" i="1"/>
  <c r="AI523" i="1" l="1"/>
  <c r="AJ522" i="1"/>
  <c r="A524" i="1"/>
  <c r="AG523" i="1"/>
  <c r="AH524" i="1"/>
  <c r="E524" i="1"/>
  <c r="A525" i="1"/>
  <c r="AJ525" i="1" l="1"/>
  <c r="AK524" i="1"/>
  <c r="AK525" i="1" s="1"/>
  <c r="AK526" i="1" s="1"/>
  <c r="AK527" i="1" s="1"/>
  <c r="AK528" i="1" s="1"/>
  <c r="AK529" i="1" s="1"/>
  <c r="AJ524" i="1"/>
  <c r="A526" i="1"/>
  <c r="AG524" i="1"/>
  <c r="AI524" i="1"/>
  <c r="AH526" i="1"/>
  <c r="E526" i="1"/>
  <c r="A527" i="1"/>
  <c r="AJ527" i="1" l="1"/>
  <c r="AI526" i="1"/>
  <c r="A528" i="1"/>
  <c r="AG526" i="1"/>
  <c r="AH528" i="1"/>
  <c r="E528" i="1"/>
  <c r="A529" i="1"/>
  <c r="AJ529" i="1" l="1"/>
  <c r="AI528" i="1"/>
  <c r="AK683" i="1"/>
  <c r="A530" i="1"/>
  <c r="AG528" i="1"/>
  <c r="E530" i="1"/>
  <c r="AH530" i="1"/>
  <c r="A531" i="1"/>
  <c r="AJ531" i="1" l="1"/>
  <c r="AI530" i="1"/>
  <c r="AG530" i="1"/>
  <c r="A532" i="1"/>
  <c r="AH532" i="1"/>
  <c r="E532" i="1"/>
  <c r="A533" i="1"/>
  <c r="AH533" i="1"/>
  <c r="E533" i="1"/>
  <c r="AK533" i="1" l="1"/>
  <c r="AJ533" i="1"/>
  <c r="AI532" i="1"/>
  <c r="AG533" i="1"/>
  <c r="AI533" i="1"/>
  <c r="A534" i="1"/>
  <c r="AG532" i="1"/>
  <c r="AH534" i="1"/>
  <c r="E534" i="1"/>
  <c r="A535" i="1"/>
  <c r="AJ535" i="1" l="1"/>
  <c r="AJ534" i="1"/>
  <c r="AK534" i="1"/>
  <c r="A536" i="1"/>
  <c r="AI534" i="1"/>
  <c r="AG534" i="1"/>
  <c r="E536" i="1"/>
  <c r="AH536" i="1"/>
  <c r="A537" i="1"/>
  <c r="E537" i="1"/>
  <c r="AH537" i="1"/>
  <c r="AK537" i="1" l="1"/>
  <c r="AK538" i="1" s="1"/>
  <c r="AK539" i="1" s="1"/>
  <c r="AJ537" i="1"/>
  <c r="AI536" i="1"/>
  <c r="AI537" i="1"/>
  <c r="AG536" i="1"/>
  <c r="AG537" i="1"/>
  <c r="A538" i="1"/>
  <c r="A539" i="1"/>
  <c r="E539" i="1"/>
  <c r="AH539" i="1"/>
  <c r="AI539" i="1" l="1"/>
  <c r="AJ538" i="1"/>
  <c r="A540" i="1"/>
  <c r="AG539" i="1"/>
  <c r="AH540" i="1"/>
  <c r="E540" i="1"/>
  <c r="A541" i="1"/>
  <c r="AH541" i="1"/>
  <c r="E541" i="1"/>
  <c r="AJ541" i="1" l="1"/>
  <c r="AK540" i="1"/>
  <c r="AK541" i="1" s="1"/>
  <c r="AK542" i="1" s="1"/>
  <c r="AJ540" i="1"/>
  <c r="AG541" i="1"/>
  <c r="AI540" i="1"/>
  <c r="AI541" i="1" s="1"/>
  <c r="A542" i="1"/>
  <c r="AG540" i="1"/>
  <c r="A543" i="1"/>
  <c r="E543" i="1"/>
  <c r="AH543" i="1"/>
  <c r="AI543" i="1" l="1"/>
  <c r="AJ542" i="1"/>
  <c r="A544" i="1"/>
  <c r="AG543" i="1"/>
  <c r="A545" i="1"/>
  <c r="AH545" i="1"/>
  <c r="E545" i="1"/>
  <c r="AI545" i="1" l="1"/>
  <c r="AJ544" i="1"/>
  <c r="AK691" i="1"/>
  <c r="A546" i="1"/>
  <c r="AG545" i="1"/>
  <c r="E546" i="1"/>
  <c r="AH546" i="1"/>
  <c r="A547" i="1"/>
  <c r="AH547" i="1"/>
  <c r="E547" i="1"/>
  <c r="AJ547" i="1" l="1"/>
  <c r="AK546" i="1"/>
  <c r="AK547" i="1" s="1"/>
  <c r="AJ546" i="1"/>
  <c r="AG547" i="1"/>
  <c r="A548" i="1"/>
  <c r="AI546" i="1"/>
  <c r="AI547" i="1"/>
  <c r="AG546" i="1"/>
  <c r="E548" i="1"/>
  <c r="AH548" i="1"/>
  <c r="AJ548" i="1" l="1"/>
  <c r="AK548" i="1"/>
  <c r="AG548" i="1"/>
  <c r="A549" i="1"/>
  <c r="AI548" i="1"/>
  <c r="E549" i="1"/>
  <c r="AH549" i="1"/>
  <c r="AJ549" i="1" l="1"/>
  <c r="AK549" i="1"/>
  <c r="AG549" i="1"/>
  <c r="A550" i="1"/>
  <c r="AI549" i="1"/>
  <c r="E550" i="1"/>
  <c r="AH550" i="1"/>
  <c r="A551" i="1"/>
  <c r="AH551" i="1"/>
  <c r="E551" i="1"/>
  <c r="AJ551" i="1" l="1"/>
  <c r="AJ550" i="1"/>
  <c r="AK550" i="1"/>
  <c r="AK551" i="1" s="1"/>
  <c r="AG551" i="1"/>
  <c r="A552" i="1"/>
  <c r="AG550" i="1"/>
  <c r="AI550" i="1"/>
  <c r="AI551" i="1" s="1"/>
  <c r="AH552" i="1"/>
  <c r="E552" i="1"/>
  <c r="A553" i="1"/>
  <c r="AJ553" i="1" l="1"/>
  <c r="AJ552" i="1"/>
  <c r="AK552" i="1"/>
  <c r="A554" i="1"/>
  <c r="AG552" i="1"/>
  <c r="AI552" i="1"/>
  <c r="AH554" i="1"/>
  <c r="E554" i="1"/>
  <c r="A555" i="1"/>
  <c r="E555" i="1"/>
  <c r="AH555" i="1"/>
  <c r="AK555" i="1" l="1"/>
  <c r="AJ555" i="1"/>
  <c r="AI554" i="1"/>
  <c r="AK697" i="1"/>
  <c r="AG555" i="1"/>
  <c r="AG554" i="1"/>
  <c r="AI555" i="1"/>
  <c r="A556" i="1"/>
  <c r="AH556" i="1"/>
  <c r="E556" i="1"/>
  <c r="A557" i="1"/>
  <c r="AH557" i="1"/>
  <c r="E557" i="1"/>
  <c r="AJ557" i="1" l="1"/>
  <c r="AJ556" i="1"/>
  <c r="AK556" i="1"/>
  <c r="AK557" i="1" s="1"/>
  <c r="AG557" i="1"/>
  <c r="A558" i="1"/>
  <c r="AI556" i="1"/>
  <c r="AI557" i="1"/>
  <c r="AG556" i="1"/>
  <c r="AH558" i="1"/>
  <c r="E558" i="1"/>
  <c r="A559" i="1"/>
  <c r="AH559" i="1"/>
  <c r="E559" i="1"/>
  <c r="AJ559" i="1" l="1"/>
  <c r="AJ558" i="1"/>
  <c r="AK558" i="1"/>
  <c r="AK559" i="1" s="1"/>
  <c r="AG559" i="1"/>
  <c r="A560" i="1"/>
  <c r="AG558" i="1"/>
  <c r="AI558" i="1"/>
  <c r="AI559" i="1" s="1"/>
  <c r="A561" i="1"/>
  <c r="E561" i="1"/>
  <c r="AH561" i="1"/>
  <c r="AI561" i="1" l="1"/>
  <c r="AJ560" i="1"/>
  <c r="A562" i="1"/>
  <c r="AG561" i="1"/>
  <c r="AH562" i="1"/>
  <c r="E562" i="1"/>
  <c r="A563" i="1"/>
  <c r="AJ563" i="1" l="1"/>
  <c r="AK562" i="1"/>
  <c r="AJ562" i="1"/>
  <c r="A564" i="1"/>
  <c r="AG562" i="1"/>
  <c r="AI562" i="1"/>
  <c r="E564" i="1"/>
  <c r="AH564" i="1"/>
  <c r="A565" i="1"/>
  <c r="AH565" i="1"/>
  <c r="E565" i="1"/>
  <c r="AK565" i="1" l="1"/>
  <c r="AJ565" i="1"/>
  <c r="AI564" i="1"/>
  <c r="AI565" i="1"/>
  <c r="AG564" i="1"/>
  <c r="A566" i="1"/>
  <c r="AG565" i="1"/>
  <c r="AH566" i="1"/>
  <c r="E566" i="1"/>
  <c r="A567" i="1"/>
  <c r="E567" i="1"/>
  <c r="AH567" i="1"/>
  <c r="AJ567" i="1" l="1"/>
  <c r="AJ566" i="1"/>
  <c r="AK566" i="1"/>
  <c r="AK567" i="1" s="1"/>
  <c r="AG567" i="1"/>
  <c r="A568" i="1"/>
  <c r="AG566" i="1"/>
  <c r="AI566" i="1"/>
  <c r="AI567" i="1" s="1"/>
  <c r="AH568" i="1"/>
  <c r="E568" i="1"/>
  <c r="A569" i="1"/>
  <c r="E569" i="1"/>
  <c r="AH569" i="1"/>
  <c r="AJ569" i="1" l="1"/>
  <c r="AJ568" i="1"/>
  <c r="AK568" i="1"/>
  <c r="AK569" i="1" s="1"/>
  <c r="AK704" i="1"/>
  <c r="AG569" i="1"/>
  <c r="AI568" i="1"/>
  <c r="AI569" i="1" s="1"/>
  <c r="A570" i="1"/>
  <c r="AG568" i="1"/>
  <c r="AH570" i="1"/>
  <c r="E570" i="1"/>
  <c r="A571" i="1"/>
  <c r="E571" i="1"/>
  <c r="AH571" i="1"/>
  <c r="AJ571" i="1" l="1"/>
  <c r="AJ570" i="1"/>
  <c r="AK570" i="1"/>
  <c r="AK571" i="1" s="1"/>
  <c r="A572" i="1"/>
  <c r="AI570" i="1"/>
  <c r="AI571" i="1" s="1"/>
  <c r="AG571" i="1"/>
  <c r="AG570" i="1"/>
  <c r="A573" i="1"/>
  <c r="E573" i="1"/>
  <c r="AH573" i="1"/>
  <c r="AI573" i="1" l="1"/>
  <c r="AJ572" i="1"/>
  <c r="AK706" i="1"/>
  <c r="A574" i="1"/>
  <c r="AG573" i="1"/>
  <c r="AH574" i="1"/>
  <c r="E574" i="1"/>
  <c r="A575" i="1"/>
  <c r="E575" i="1"/>
  <c r="AH575" i="1"/>
  <c r="AJ575" i="1" l="1"/>
  <c r="AK574" i="1"/>
  <c r="AK575" i="1" s="1"/>
  <c r="AJ574" i="1"/>
  <c r="AG575" i="1"/>
  <c r="AI574" i="1"/>
  <c r="A576" i="1"/>
  <c r="AG574" i="1"/>
  <c r="E576" i="1"/>
  <c r="AH576" i="1"/>
  <c r="A577" i="1"/>
  <c r="E577" i="1"/>
  <c r="AH577" i="1"/>
  <c r="AJ577" i="1" l="1"/>
  <c r="AJ576" i="1"/>
  <c r="AK576" i="1"/>
  <c r="AK577" i="1" s="1"/>
  <c r="AK708" i="1"/>
  <c r="AG577" i="1"/>
  <c r="A578" i="1"/>
  <c r="AG576" i="1"/>
  <c r="AI575" i="1"/>
  <c r="AI576" i="1" s="1"/>
  <c r="AI577" i="1" s="1"/>
  <c r="E578" i="1"/>
  <c r="AH578" i="1"/>
  <c r="A579" i="1"/>
  <c r="E579" i="1"/>
  <c r="AH579" i="1"/>
  <c r="AJ579" i="1" l="1"/>
  <c r="AJ578" i="1"/>
  <c r="AK578" i="1"/>
  <c r="AK579" i="1" s="1"/>
  <c r="AG579" i="1"/>
  <c r="A580" i="1"/>
  <c r="AG578" i="1"/>
  <c r="AI578" i="1"/>
  <c r="AI579" i="1" s="1"/>
  <c r="E580" i="1"/>
  <c r="AH580" i="1"/>
  <c r="A581" i="1"/>
  <c r="AH581" i="1"/>
  <c r="E581" i="1"/>
  <c r="AJ581" i="1" l="1"/>
  <c r="AJ580" i="1"/>
  <c r="AK580" i="1"/>
  <c r="AK581" i="1" s="1"/>
  <c r="AG581" i="1"/>
  <c r="A582" i="1"/>
  <c r="AG580" i="1"/>
  <c r="AI580" i="1"/>
  <c r="AI581" i="1" s="1"/>
  <c r="AH582" i="1"/>
  <c r="E582" i="1"/>
  <c r="A583" i="1"/>
  <c r="E583" i="1"/>
  <c r="AH583" i="1"/>
  <c r="AJ583" i="1" l="1"/>
  <c r="AJ582" i="1"/>
  <c r="AK582" i="1"/>
  <c r="AK583" i="1" s="1"/>
  <c r="AK740" i="1"/>
  <c r="AG583" i="1"/>
  <c r="AI582" i="1"/>
  <c r="AI583" i="1" s="1"/>
  <c r="A584" i="1"/>
  <c r="AG582" i="1"/>
  <c r="A585" i="1"/>
  <c r="AH585" i="1"/>
  <c r="E585" i="1"/>
  <c r="AI585" i="1" l="1"/>
  <c r="AJ584" i="1"/>
  <c r="AK767" i="1"/>
  <c r="A586" i="1"/>
  <c r="AG585" i="1"/>
  <c r="E586" i="1"/>
  <c r="AH586" i="1"/>
  <c r="A587" i="1"/>
  <c r="AH587" i="1"/>
  <c r="E587" i="1"/>
  <c r="AJ587" i="1" l="1"/>
  <c r="AK586" i="1"/>
  <c r="AK587" i="1" s="1"/>
  <c r="AJ586" i="1"/>
  <c r="AK742" i="1"/>
  <c r="AG587" i="1"/>
  <c r="AG586" i="1"/>
  <c r="A588" i="1"/>
  <c r="AI586" i="1"/>
  <c r="AI587" i="1" s="1"/>
  <c r="AH588" i="1"/>
  <c r="E588" i="1"/>
  <c r="A589" i="1"/>
  <c r="AH589" i="1"/>
  <c r="E589" i="1"/>
  <c r="AJ589" i="1" l="1"/>
  <c r="AJ588" i="1"/>
  <c r="AK588" i="1"/>
  <c r="AK589" i="1" s="1"/>
  <c r="AK745" i="1"/>
  <c r="AG589" i="1"/>
  <c r="AI588" i="1"/>
  <c r="AI589" i="1" s="1"/>
  <c r="A590" i="1"/>
  <c r="AG588" i="1"/>
  <c r="A591" i="1"/>
  <c r="E591" i="1"/>
  <c r="AH591" i="1"/>
  <c r="A592" i="1"/>
  <c r="AH592" i="1"/>
  <c r="E592" i="1"/>
  <c r="A593" i="1"/>
  <c r="AH593" i="1"/>
  <c r="E593" i="1"/>
  <c r="A594" i="1"/>
  <c r="A595" i="1"/>
  <c r="AH595" i="1"/>
  <c r="E595" i="1"/>
  <c r="A596" i="1"/>
  <c r="E596" i="1"/>
  <c r="AH596" i="1"/>
  <c r="A597" i="1"/>
  <c r="AH597" i="1"/>
  <c r="E597" i="1"/>
  <c r="A598" i="1"/>
  <c r="A599" i="1"/>
  <c r="E599" i="1"/>
  <c r="AH599" i="1"/>
  <c r="A600" i="1"/>
  <c r="AH600" i="1"/>
  <c r="E600" i="1"/>
  <c r="A601" i="1"/>
  <c r="A602" i="1"/>
  <c r="E602" i="1"/>
  <c r="AH602" i="1"/>
  <c r="A603" i="1"/>
  <c r="AH603" i="1"/>
  <c r="A604" i="1"/>
  <c r="AJ604" i="1" l="1"/>
  <c r="AK603" i="1"/>
  <c r="AJ603" i="1"/>
  <c r="AI602" i="1"/>
  <c r="AJ601" i="1"/>
  <c r="AK600" i="1"/>
  <c r="AJ600" i="1"/>
  <c r="AI599" i="1"/>
  <c r="AJ598" i="1"/>
  <c r="AJ597" i="1"/>
  <c r="AK596" i="1"/>
  <c r="AK597" i="1" s="1"/>
  <c r="AJ596" i="1"/>
  <c r="AI595" i="1"/>
  <c r="AJ594" i="1"/>
  <c r="AJ593" i="1"/>
  <c r="AK592" i="1"/>
  <c r="AK593" i="1" s="1"/>
  <c r="AJ592" i="1"/>
  <c r="AI591" i="1"/>
  <c r="AJ590" i="1"/>
  <c r="AK750" i="1"/>
  <c r="E603" i="1"/>
  <c r="AG600" i="1"/>
  <c r="AG599" i="1"/>
  <c r="AG597" i="1"/>
  <c r="AI596" i="1"/>
  <c r="AG593" i="1"/>
  <c r="AG592" i="1"/>
  <c r="AG591" i="1"/>
  <c r="A605" i="1"/>
  <c r="AG602" i="1"/>
  <c r="AI600" i="1"/>
  <c r="AI597" i="1"/>
  <c r="AG596" i="1"/>
  <c r="AG595" i="1"/>
  <c r="AI592" i="1"/>
  <c r="AI593" i="1" s="1"/>
  <c r="E605" i="1"/>
  <c r="AH605" i="1"/>
  <c r="A606" i="1"/>
  <c r="A607" i="1"/>
  <c r="AH607" i="1"/>
  <c r="E607" i="1"/>
  <c r="A608" i="1"/>
  <c r="AH608" i="1"/>
  <c r="E608" i="1"/>
  <c r="A609" i="1"/>
  <c r="A610" i="1"/>
  <c r="AH610" i="1"/>
  <c r="E610" i="1"/>
  <c r="A611" i="1"/>
  <c r="E611" i="1"/>
  <c r="AH611" i="1"/>
  <c r="A612" i="1"/>
  <c r="AH612" i="1"/>
  <c r="E612" i="1"/>
  <c r="A613" i="1"/>
  <c r="A614" i="1"/>
  <c r="E614" i="1"/>
  <c r="AH614" i="1"/>
  <c r="A615" i="1"/>
  <c r="A616" i="1"/>
  <c r="AH616" i="1"/>
  <c r="A617" i="1"/>
  <c r="A618" i="1"/>
  <c r="E618" i="1"/>
  <c r="AH618" i="1"/>
  <c r="A619" i="1"/>
  <c r="E619" i="1"/>
  <c r="AH619" i="1"/>
  <c r="A620" i="1"/>
  <c r="E620" i="1"/>
  <c r="AH620" i="1"/>
  <c r="A621" i="1"/>
  <c r="A622" i="1"/>
  <c r="AH622" i="1"/>
  <c r="E622" i="1"/>
  <c r="A623" i="1"/>
  <c r="A624" i="1"/>
  <c r="E624" i="1"/>
  <c r="AH624" i="1"/>
  <c r="A625" i="1"/>
  <c r="A626" i="1"/>
  <c r="E626" i="1"/>
  <c r="A627" i="1"/>
  <c r="E627" i="1"/>
  <c r="AH627" i="1"/>
  <c r="A628" i="1"/>
  <c r="E628" i="1"/>
  <c r="AH628" i="1"/>
  <c r="A629" i="1"/>
  <c r="A630" i="1"/>
  <c r="E630" i="1"/>
  <c r="AH630" i="1"/>
  <c r="A631" i="1"/>
  <c r="A632" i="1"/>
  <c r="E632" i="1"/>
  <c r="AH632" i="1"/>
  <c r="A633" i="1"/>
  <c r="AH633" i="1"/>
  <c r="E633" i="1"/>
  <c r="A634" i="1"/>
  <c r="E634" i="1"/>
  <c r="AH634" i="1"/>
  <c r="A635" i="1"/>
  <c r="AH635" i="1"/>
  <c r="E635" i="1"/>
  <c r="A636" i="1"/>
  <c r="E636" i="1"/>
  <c r="AH636" i="1"/>
  <c r="A637" i="1"/>
  <c r="E637" i="1"/>
  <c r="AH637" i="1"/>
  <c r="A638" i="1"/>
  <c r="AH638" i="1"/>
  <c r="E638" i="1"/>
  <c r="A639" i="1"/>
  <c r="AH639" i="1"/>
  <c r="E639" i="1"/>
  <c r="A640" i="1"/>
  <c r="A641" i="1"/>
  <c r="AH641" i="1"/>
  <c r="E641" i="1"/>
  <c r="A642" i="1"/>
  <c r="E642" i="1"/>
  <c r="AH642" i="1"/>
  <c r="A643" i="1"/>
  <c r="AH643" i="1"/>
  <c r="E643" i="1"/>
  <c r="A644" i="1"/>
  <c r="AH644" i="1"/>
  <c r="E644" i="1"/>
  <c r="A645" i="1"/>
  <c r="AH645" i="1"/>
  <c r="E645" i="1"/>
  <c r="A646" i="1"/>
  <c r="A647" i="1"/>
  <c r="AH647" i="1"/>
  <c r="E647" i="1"/>
  <c r="A648" i="1"/>
  <c r="E648" i="1"/>
  <c r="AH648" i="1"/>
  <c r="A649" i="1"/>
  <c r="E649" i="1"/>
  <c r="AH649" i="1"/>
  <c r="A650" i="1"/>
  <c r="E650" i="1"/>
  <c r="AH650" i="1"/>
  <c r="A651" i="1"/>
  <c r="AH651" i="1"/>
  <c r="E651" i="1"/>
  <c r="A652" i="1"/>
  <c r="E652" i="1"/>
  <c r="AH652" i="1"/>
  <c r="A653" i="1"/>
  <c r="A654" i="1"/>
  <c r="E654" i="1"/>
  <c r="AH654" i="1"/>
  <c r="A655" i="1"/>
  <c r="AH655" i="1"/>
  <c r="E655" i="1"/>
  <c r="A656" i="1"/>
  <c r="E656" i="1"/>
  <c r="AH656" i="1"/>
  <c r="A657" i="1"/>
  <c r="AH657" i="1"/>
  <c r="E657" i="1"/>
  <c r="A658" i="1"/>
  <c r="AH658" i="1"/>
  <c r="E658" i="1"/>
  <c r="A659" i="1"/>
  <c r="AH659" i="1"/>
  <c r="E659" i="1"/>
  <c r="A660" i="1"/>
  <c r="E660" i="1"/>
  <c r="AH660" i="1"/>
  <c r="A661" i="1"/>
  <c r="AH661" i="1"/>
  <c r="E661" i="1"/>
  <c r="A662" i="1"/>
  <c r="AH662" i="1"/>
  <c r="E662" i="1"/>
  <c r="A663" i="1"/>
  <c r="AH663" i="1"/>
  <c r="E663" i="1"/>
  <c r="A664" i="1"/>
  <c r="AH664" i="1"/>
  <c r="E664" i="1"/>
  <c r="A665" i="1"/>
  <c r="A666" i="1"/>
  <c r="E666" i="1"/>
  <c r="AH666" i="1"/>
  <c r="A667" i="1"/>
  <c r="E667" i="1"/>
  <c r="AH667" i="1"/>
  <c r="A668" i="1"/>
  <c r="AH668" i="1"/>
  <c r="E668" i="1"/>
  <c r="A669" i="1"/>
  <c r="AH669" i="1"/>
  <c r="E669" i="1"/>
  <c r="A670" i="1"/>
  <c r="AH670" i="1"/>
  <c r="E670" i="1"/>
  <c r="A671" i="1"/>
  <c r="E671" i="1"/>
  <c r="AH671" i="1"/>
  <c r="A672" i="1"/>
  <c r="E672" i="1"/>
  <c r="AH672" i="1"/>
  <c r="A673" i="1"/>
  <c r="E673" i="1"/>
  <c r="AH673" i="1"/>
  <c r="A674" i="1"/>
  <c r="E674" i="1"/>
  <c r="AH674" i="1"/>
  <c r="A675" i="1"/>
  <c r="E675" i="1"/>
  <c r="AH675" i="1"/>
  <c r="A676" i="1"/>
  <c r="A677" i="1"/>
  <c r="E677" i="1"/>
  <c r="AH677" i="1"/>
  <c r="A678" i="1"/>
  <c r="E678" i="1"/>
  <c r="AH678" i="1"/>
  <c r="A679" i="1"/>
  <c r="AH679" i="1"/>
  <c r="A680" i="1"/>
  <c r="E680" i="1"/>
  <c r="AH680" i="1"/>
  <c r="A681" i="1"/>
  <c r="AH681" i="1"/>
  <c r="E681" i="1"/>
  <c r="A682" i="1"/>
  <c r="A683" i="1"/>
  <c r="AH683" i="1"/>
  <c r="E683" i="1"/>
  <c r="A684" i="1"/>
  <c r="E684" i="1"/>
  <c r="AH684" i="1"/>
  <c r="A685" i="1"/>
  <c r="AH685" i="1"/>
  <c r="E685" i="1"/>
  <c r="A686" i="1"/>
  <c r="AH686" i="1"/>
  <c r="E686" i="1"/>
  <c r="A687" i="1"/>
  <c r="AH687" i="1"/>
  <c r="E687" i="1"/>
  <c r="A688" i="1"/>
  <c r="E688" i="1"/>
  <c r="AH688" i="1"/>
  <c r="A689" i="1"/>
  <c r="E689" i="1"/>
  <c r="AH689" i="1"/>
  <c r="A690" i="1"/>
  <c r="A691" i="1"/>
  <c r="AH691" i="1"/>
  <c r="E691" i="1"/>
  <c r="A692" i="1"/>
  <c r="E692" i="1"/>
  <c r="AH692" i="1"/>
  <c r="A693" i="1"/>
  <c r="E693" i="1"/>
  <c r="A694" i="1"/>
  <c r="AH694" i="1"/>
  <c r="E694" i="1"/>
  <c r="A695" i="1"/>
  <c r="E695" i="1"/>
  <c r="AH695" i="1"/>
  <c r="A696" i="1"/>
  <c r="A697" i="1"/>
  <c r="AH697" i="1"/>
  <c r="E697" i="1"/>
  <c r="A698" i="1"/>
  <c r="E698" i="1"/>
  <c r="AH698" i="1"/>
  <c r="A699" i="1"/>
  <c r="AH699" i="1"/>
  <c r="E699" i="1"/>
  <c r="A700" i="1"/>
  <c r="AH700" i="1"/>
  <c r="E700" i="1"/>
  <c r="A701" i="1"/>
  <c r="E701" i="1"/>
  <c r="AH701" i="1"/>
  <c r="A702" i="1"/>
  <c r="E702" i="1"/>
  <c r="AH702" i="1"/>
  <c r="A703" i="1"/>
  <c r="A704" i="1"/>
  <c r="AH704" i="1"/>
  <c r="E704" i="1"/>
  <c r="A705" i="1"/>
  <c r="A706" i="1"/>
  <c r="E706" i="1"/>
  <c r="AH706" i="1"/>
  <c r="A707" i="1"/>
  <c r="A708" i="1"/>
  <c r="E708" i="1"/>
  <c r="AH708" i="1"/>
  <c r="A709" i="1"/>
  <c r="AH709" i="1"/>
  <c r="E709" i="1"/>
  <c r="A710" i="1"/>
  <c r="AJ710" i="1" l="1"/>
  <c r="AK709" i="1"/>
  <c r="AJ709" i="1"/>
  <c r="AI708" i="1"/>
  <c r="AJ707" i="1"/>
  <c r="AI706" i="1"/>
  <c r="AJ705" i="1"/>
  <c r="AI704" i="1"/>
  <c r="AJ703" i="1"/>
  <c r="AJ702" i="1"/>
  <c r="AJ701" i="1"/>
  <c r="AJ700" i="1"/>
  <c r="AJ699" i="1"/>
  <c r="AK698" i="1"/>
  <c r="AK699" i="1" s="1"/>
  <c r="AK700" i="1" s="1"/>
  <c r="AK701" i="1" s="1"/>
  <c r="AK702" i="1" s="1"/>
  <c r="AJ698" i="1"/>
  <c r="AI697" i="1"/>
  <c r="AJ696" i="1"/>
  <c r="AJ695" i="1"/>
  <c r="AJ694" i="1"/>
  <c r="AJ693" i="1"/>
  <c r="AK692" i="1"/>
  <c r="AJ692" i="1"/>
  <c r="AI691" i="1"/>
  <c r="AJ690" i="1"/>
  <c r="AJ689" i="1"/>
  <c r="AJ688" i="1"/>
  <c r="AJ687" i="1"/>
  <c r="AJ686" i="1"/>
  <c r="AJ685" i="1"/>
  <c r="AK684" i="1"/>
  <c r="AK685" i="1" s="1"/>
  <c r="AK686" i="1" s="1"/>
  <c r="AK687" i="1" s="1"/>
  <c r="AK688" i="1" s="1"/>
  <c r="AK689" i="1" s="1"/>
  <c r="AJ684" i="1"/>
  <c r="AI683" i="1"/>
  <c r="AJ682" i="1"/>
  <c r="AJ681" i="1"/>
  <c r="AJ680" i="1"/>
  <c r="AJ679" i="1"/>
  <c r="AK678" i="1"/>
  <c r="AK679" i="1" s="1"/>
  <c r="AK680" i="1" s="1"/>
  <c r="AK681" i="1" s="1"/>
  <c r="AJ678" i="1"/>
  <c r="AI677" i="1"/>
  <c r="AJ676" i="1"/>
  <c r="AJ675" i="1"/>
  <c r="AJ674" i="1"/>
  <c r="AJ673" i="1"/>
  <c r="AJ672" i="1"/>
  <c r="AJ671" i="1"/>
  <c r="AJ670" i="1"/>
  <c r="AJ669" i="1"/>
  <c r="AJ668" i="1"/>
  <c r="AK667" i="1"/>
  <c r="AK668" i="1" s="1"/>
  <c r="AK669" i="1" s="1"/>
  <c r="AK670" i="1" s="1"/>
  <c r="AK671" i="1" s="1"/>
  <c r="AK672" i="1" s="1"/>
  <c r="AK673" i="1" s="1"/>
  <c r="AK674" i="1" s="1"/>
  <c r="AK675" i="1" s="1"/>
  <c r="AJ667" i="1"/>
  <c r="AI666" i="1"/>
  <c r="AJ665" i="1"/>
  <c r="AJ664" i="1"/>
  <c r="AJ663" i="1"/>
  <c r="AJ662" i="1"/>
  <c r="AJ661" i="1"/>
  <c r="AJ660" i="1"/>
  <c r="AJ659" i="1"/>
  <c r="AJ658" i="1"/>
  <c r="AJ657" i="1"/>
  <c r="AJ656" i="1"/>
  <c r="AK655" i="1"/>
  <c r="AK656" i="1" s="1"/>
  <c r="AK657" i="1" s="1"/>
  <c r="AK658" i="1" s="1"/>
  <c r="AK659" i="1" s="1"/>
  <c r="AK660" i="1" s="1"/>
  <c r="AK661" i="1" s="1"/>
  <c r="AK662" i="1" s="1"/>
  <c r="AK663" i="1" s="1"/>
  <c r="AK664" i="1" s="1"/>
  <c r="AJ655" i="1"/>
  <c r="AI654" i="1"/>
  <c r="AJ653" i="1"/>
  <c r="AJ652" i="1"/>
  <c r="AJ651" i="1"/>
  <c r="AJ650" i="1"/>
  <c r="AJ649" i="1"/>
  <c r="AK648" i="1"/>
  <c r="AK649" i="1" s="1"/>
  <c r="AK650" i="1" s="1"/>
  <c r="AK651" i="1" s="1"/>
  <c r="AK652" i="1" s="1"/>
  <c r="AJ648" i="1"/>
  <c r="AI647" i="1"/>
  <c r="AJ646" i="1"/>
  <c r="AJ645" i="1"/>
  <c r="AJ644" i="1"/>
  <c r="AJ643" i="1"/>
  <c r="AK642" i="1"/>
  <c r="AK643" i="1" s="1"/>
  <c r="AK644" i="1" s="1"/>
  <c r="AK645" i="1" s="1"/>
  <c r="AJ642" i="1"/>
  <c r="AI641" i="1"/>
  <c r="AJ640" i="1"/>
  <c r="AJ639" i="1"/>
  <c r="AJ638" i="1"/>
  <c r="AJ637" i="1"/>
  <c r="AJ636" i="1"/>
  <c r="AJ635" i="1"/>
  <c r="AJ634" i="1"/>
  <c r="AK633" i="1"/>
  <c r="AK634" i="1" s="1"/>
  <c r="AK635" i="1" s="1"/>
  <c r="AK636" i="1" s="1"/>
  <c r="AK637" i="1" s="1"/>
  <c r="AK638" i="1" s="1"/>
  <c r="AK639" i="1" s="1"/>
  <c r="AJ633" i="1"/>
  <c r="AI632" i="1"/>
  <c r="AJ631" i="1"/>
  <c r="AI630" i="1"/>
  <c r="AJ629" i="1"/>
  <c r="AJ628" i="1"/>
  <c r="AK627" i="1"/>
  <c r="AK628" i="1" s="1"/>
  <c r="AJ627" i="1"/>
  <c r="AI626" i="1"/>
  <c r="AJ625" i="1"/>
  <c r="AI624" i="1"/>
  <c r="AJ623" i="1"/>
  <c r="AI622" i="1"/>
  <c r="AJ621" i="1"/>
  <c r="AJ620" i="1"/>
  <c r="AK619" i="1"/>
  <c r="AK620" i="1" s="1"/>
  <c r="AJ619" i="1"/>
  <c r="AI618" i="1"/>
  <c r="AJ617" i="1"/>
  <c r="AJ615" i="1"/>
  <c r="AI614" i="1"/>
  <c r="AJ613" i="1"/>
  <c r="AJ612" i="1"/>
  <c r="AK611" i="1"/>
  <c r="AK612" i="1" s="1"/>
  <c r="AJ611" i="1"/>
  <c r="AI610" i="1"/>
  <c r="AJ609" i="1"/>
  <c r="AK608" i="1"/>
  <c r="AJ608" i="1"/>
  <c r="AI607" i="1"/>
  <c r="AJ606" i="1"/>
  <c r="AI605" i="1"/>
  <c r="AK753" i="1"/>
  <c r="AG709" i="1"/>
  <c r="AG708" i="1"/>
  <c r="AG702" i="1"/>
  <c r="AG700" i="1"/>
  <c r="AI698" i="1"/>
  <c r="AI699" i="1" s="1"/>
  <c r="AG693" i="1"/>
  <c r="AG692" i="1"/>
  <c r="AG691" i="1"/>
  <c r="AG687" i="1"/>
  <c r="AG685" i="1"/>
  <c r="AI684" i="1"/>
  <c r="AG683" i="1"/>
  <c r="AG681" i="1"/>
  <c r="AG680" i="1"/>
  <c r="E679" i="1"/>
  <c r="AG678" i="1"/>
  <c r="AG675" i="1"/>
  <c r="AG674" i="1"/>
  <c r="AG668" i="1"/>
  <c r="AG667" i="1"/>
  <c r="AG666" i="1"/>
  <c r="AG664" i="1"/>
  <c r="AG662" i="1"/>
  <c r="AG660" i="1"/>
  <c r="AG658" i="1"/>
  <c r="AG656" i="1"/>
  <c r="AG655" i="1"/>
  <c r="AG654" i="1"/>
  <c r="AG652" i="1"/>
  <c r="AG650" i="1"/>
  <c r="AG648" i="1"/>
  <c r="AG647" i="1"/>
  <c r="AG644" i="1"/>
  <c r="AG643" i="1"/>
  <c r="AI642" i="1"/>
  <c r="AG641" i="1"/>
  <c r="AG639" i="1"/>
  <c r="AG636" i="1"/>
  <c r="AG634" i="1"/>
  <c r="AG633" i="1"/>
  <c r="AG632" i="1"/>
  <c r="AG627" i="1"/>
  <c r="AH626" i="1"/>
  <c r="AG622" i="1"/>
  <c r="AG620" i="1"/>
  <c r="AI619" i="1"/>
  <c r="E616" i="1"/>
  <c r="AI611" i="1"/>
  <c r="AI612" i="1" s="1"/>
  <c r="AI608" i="1"/>
  <c r="AG607" i="1"/>
  <c r="AG605" i="1"/>
  <c r="AG603" i="1"/>
  <c r="AI709" i="1"/>
  <c r="AG706" i="1"/>
  <c r="AG704" i="1"/>
  <c r="AG701" i="1"/>
  <c r="AI700" i="1"/>
  <c r="AI701" i="1" s="1"/>
  <c r="AI702" i="1" s="1"/>
  <c r="AG699" i="1"/>
  <c r="AG698" i="1"/>
  <c r="AG697" i="1"/>
  <c r="AG695" i="1"/>
  <c r="AG694" i="1"/>
  <c r="AH693" i="1"/>
  <c r="AI692" i="1"/>
  <c r="AI693" i="1" s="1"/>
  <c r="AI694" i="1" s="1"/>
  <c r="AI695" i="1" s="1"/>
  <c r="AG689" i="1"/>
  <c r="AG688" i="1"/>
  <c r="AG686" i="1"/>
  <c r="AI685" i="1"/>
  <c r="AI686" i="1" s="1"/>
  <c r="AI687" i="1" s="1"/>
  <c r="AI688" i="1" s="1"/>
  <c r="AI689" i="1" s="1"/>
  <c r="AG684" i="1"/>
  <c r="AI678" i="1"/>
  <c r="AG677" i="1"/>
  <c r="AG673" i="1"/>
  <c r="AG672" i="1"/>
  <c r="AG671" i="1"/>
  <c r="AG670" i="1"/>
  <c r="AG669" i="1"/>
  <c r="AI667" i="1"/>
  <c r="AI668" i="1" s="1"/>
  <c r="AI669" i="1" s="1"/>
  <c r="AI670" i="1" s="1"/>
  <c r="AI671" i="1" s="1"/>
  <c r="AI672" i="1" s="1"/>
  <c r="AI673" i="1" s="1"/>
  <c r="AI674" i="1" s="1"/>
  <c r="AI675" i="1" s="1"/>
  <c r="AG663" i="1"/>
  <c r="AG661" i="1"/>
  <c r="AG659" i="1"/>
  <c r="AG657" i="1"/>
  <c r="AI655" i="1"/>
  <c r="AI656" i="1" s="1"/>
  <c r="AI657" i="1" s="1"/>
  <c r="AI658" i="1" s="1"/>
  <c r="AI659" i="1" s="1"/>
  <c r="AI660" i="1" s="1"/>
  <c r="AI661" i="1" s="1"/>
  <c r="AI662" i="1" s="1"/>
  <c r="AI663" i="1" s="1"/>
  <c r="AI664" i="1" s="1"/>
  <c r="AG651" i="1"/>
  <c r="AG649" i="1"/>
  <c r="AI648" i="1"/>
  <c r="AI649" i="1" s="1"/>
  <c r="AI650" i="1" s="1"/>
  <c r="AI651" i="1" s="1"/>
  <c r="AI652" i="1" s="1"/>
  <c r="AG645" i="1"/>
  <c r="AI643" i="1"/>
  <c r="AG642" i="1"/>
  <c r="AG638" i="1"/>
  <c r="AG637" i="1"/>
  <c r="AG635" i="1"/>
  <c r="AI633" i="1"/>
  <c r="AI634" i="1" s="1"/>
  <c r="AI635" i="1" s="1"/>
  <c r="AI636" i="1" s="1"/>
  <c r="AI637" i="1" s="1"/>
  <c r="AG630" i="1"/>
  <c r="AG628" i="1"/>
  <c r="AI627" i="1"/>
  <c r="AI628" i="1" s="1"/>
  <c r="AG626" i="1"/>
  <c r="AG624" i="1"/>
  <c r="AI620" i="1"/>
  <c r="AG619" i="1"/>
  <c r="AG618" i="1"/>
  <c r="AG614" i="1"/>
  <c r="AG612" i="1"/>
  <c r="AG611" i="1"/>
  <c r="AG610" i="1"/>
  <c r="AG608" i="1"/>
  <c r="AI603" i="1"/>
  <c r="AI616" i="1" l="1"/>
  <c r="AK693" i="1"/>
  <c r="AK694" i="1" s="1"/>
  <c r="AK695" i="1" s="1"/>
  <c r="AK757" i="1"/>
  <c r="AI638" i="1"/>
  <c r="AI639" i="1" s="1"/>
  <c r="AI679" i="1"/>
  <c r="AI680" i="1" s="1"/>
  <c r="AI681" i="1" s="1"/>
  <c r="AI644" i="1"/>
  <c r="AI645" i="1" s="1"/>
  <c r="AG616" i="1"/>
  <c r="AG679" i="1"/>
  <c r="AK765" i="1" l="1"/>
  <c r="A711" i="1"/>
  <c r="A712" i="1"/>
  <c r="AH712" i="1"/>
  <c r="E712" i="1"/>
  <c r="AH711" i="1"/>
  <c r="AK711" i="1" l="1"/>
  <c r="AK712" i="1" s="1"/>
  <c r="AJ712" i="1"/>
  <c r="E711" i="1"/>
  <c r="A713" i="1"/>
  <c r="AG712" i="1"/>
  <c r="E713" i="1"/>
  <c r="AI711" i="1" l="1"/>
  <c r="AJ713" i="1"/>
  <c r="AI712" i="1"/>
  <c r="AG711" i="1"/>
  <c r="AI713" i="1"/>
  <c r="AG713" i="1"/>
  <c r="AH713" i="1"/>
  <c r="A714" i="1"/>
  <c r="AK713" i="1" l="1"/>
  <c r="AJ714" i="1"/>
  <c r="A715" i="1"/>
  <c r="E715" i="1"/>
  <c r="AI715" i="1" l="1"/>
  <c r="AH715" i="1"/>
  <c r="A716" i="1"/>
  <c r="AG715" i="1"/>
  <c r="AK715" i="1" l="1"/>
  <c r="AJ716" i="1"/>
  <c r="A717" i="1"/>
  <c r="AH716" i="1"/>
  <c r="E716" i="1"/>
  <c r="AK716" i="1" l="1"/>
  <c r="AJ717" i="1"/>
  <c r="AG716" i="1"/>
  <c r="A718" i="1"/>
  <c r="AH717" i="1"/>
  <c r="E717" i="1"/>
  <c r="AI716" i="1"/>
  <c r="AK717" i="1" l="1"/>
  <c r="AJ718" i="1"/>
  <c r="E718" i="1"/>
  <c r="AG717" i="1"/>
  <c r="A719" i="1"/>
  <c r="AH719" i="1" s="1"/>
  <c r="AI717" i="1"/>
  <c r="AH718" i="1"/>
  <c r="AK718" i="1" l="1"/>
  <c r="AK719" i="1" s="1"/>
  <c r="AJ719" i="1"/>
  <c r="A720" i="1"/>
  <c r="E719" i="1"/>
  <c r="AG718" i="1"/>
  <c r="AI718" i="1"/>
  <c r="AJ720" i="1" l="1"/>
  <c r="AI719" i="1"/>
  <c r="A721" i="1"/>
  <c r="AG719" i="1"/>
  <c r="AH724" i="1" l="1"/>
  <c r="E724" i="1"/>
  <c r="E721" i="1"/>
  <c r="AH721" i="1"/>
  <c r="A722" i="1"/>
  <c r="AH722" i="1"/>
  <c r="E722" i="1"/>
  <c r="A723" i="1"/>
  <c r="AI721" i="1" l="1"/>
  <c r="AK721" i="1"/>
  <c r="AK722" i="1" s="1"/>
  <c r="AK724" i="1"/>
  <c r="AJ722" i="1"/>
  <c r="AJ723" i="1"/>
  <c r="AC724" i="1"/>
  <c r="AG724" i="1"/>
  <c r="AD724" i="1"/>
  <c r="A724" i="1"/>
  <c r="AG721" i="1"/>
  <c r="AG722" i="1"/>
  <c r="E723" i="1"/>
  <c r="AI722" i="1"/>
  <c r="AH723" i="1"/>
  <c r="AK723" i="1" l="1"/>
  <c r="AJ724" i="1"/>
  <c r="A725" i="1"/>
  <c r="AG723" i="1"/>
  <c r="AI723" i="1"/>
  <c r="E725" i="1"/>
  <c r="A726" i="1"/>
  <c r="A727" i="1"/>
  <c r="A728" i="1"/>
  <c r="AH727" i="1"/>
  <c r="E726" i="1"/>
  <c r="AH726" i="1"/>
  <c r="AI725" i="1" l="1"/>
  <c r="AJ726" i="1"/>
  <c r="AI724" i="1"/>
  <c r="AJ727" i="1"/>
  <c r="AJ728" i="1"/>
  <c r="E727" i="1"/>
  <c r="AI726" i="1"/>
  <c r="AG726" i="1"/>
  <c r="AG725" i="1"/>
  <c r="AH725" i="1"/>
  <c r="A729" i="1"/>
  <c r="E728" i="1"/>
  <c r="AH728" i="1"/>
  <c r="AH729" i="1"/>
  <c r="AK725" i="1" l="1"/>
  <c r="AK726" i="1" s="1"/>
  <c r="AK727" i="1" s="1"/>
  <c r="AK728" i="1" s="1"/>
  <c r="AK729" i="1" s="1"/>
  <c r="AJ729" i="1"/>
  <c r="E729" i="1"/>
  <c r="A730" i="1"/>
  <c r="E730" i="1"/>
  <c r="A731" i="1"/>
  <c r="AG727" i="1"/>
  <c r="AH730" i="1"/>
  <c r="AH731" i="1"/>
  <c r="AI727" i="1"/>
  <c r="AG728" i="1"/>
  <c r="AJ730" i="1" l="1"/>
  <c r="AK730" i="1"/>
  <c r="AK731" i="1" s="1"/>
  <c r="AJ731" i="1"/>
  <c r="AG729" i="1"/>
  <c r="A732" i="1"/>
  <c r="AG730" i="1"/>
  <c r="E732" i="1"/>
  <c r="A733" i="1"/>
  <c r="E731" i="1"/>
  <c r="AI728" i="1"/>
  <c r="AH732" i="1"/>
  <c r="E733" i="1"/>
  <c r="AJ732" i="1" l="1"/>
  <c r="AK732" i="1"/>
  <c r="AJ733" i="1"/>
  <c r="AH733" i="1"/>
  <c r="AG731" i="1"/>
  <c r="A734" i="1"/>
  <c r="AI729" i="1"/>
  <c r="AH734" i="1"/>
  <c r="AG732" i="1"/>
  <c r="AG733" i="1"/>
  <c r="A735" i="1"/>
  <c r="E734" i="1"/>
  <c r="AH735" i="1"/>
  <c r="E735" i="1"/>
  <c r="AK733" i="1" l="1"/>
  <c r="AK734" i="1" s="1"/>
  <c r="AK735" i="1" s="1"/>
  <c r="AJ735" i="1"/>
  <c r="AJ734" i="1"/>
  <c r="A736" i="1"/>
  <c r="AG735" i="1"/>
  <c r="AI730" i="1"/>
  <c r="AG734" i="1"/>
  <c r="AH736" i="1"/>
  <c r="E736" i="1"/>
  <c r="A737" i="1"/>
  <c r="E737" i="1"/>
  <c r="A738" i="1"/>
  <c r="AH737" i="1"/>
  <c r="AH738" i="1"/>
  <c r="A739" i="1"/>
  <c r="AJ737" i="1" l="1"/>
  <c r="AJ736" i="1"/>
  <c r="AK736" i="1"/>
  <c r="AK737" i="1" s="1"/>
  <c r="AK738" i="1" s="1"/>
  <c r="AJ739" i="1"/>
  <c r="AJ738" i="1"/>
  <c r="E738" i="1"/>
  <c r="AG736" i="1"/>
  <c r="A740" i="1"/>
  <c r="E740" i="1"/>
  <c r="AI731" i="1"/>
  <c r="AI732" i="1" s="1"/>
  <c r="AG737" i="1"/>
  <c r="AI733" i="1"/>
  <c r="AI740" i="1" l="1"/>
  <c r="AH740" i="1"/>
  <c r="AG740" i="1"/>
  <c r="AG738" i="1"/>
  <c r="A741" i="1"/>
  <c r="AI734" i="1"/>
  <c r="A742" i="1"/>
  <c r="E742" i="1"/>
  <c r="A743" i="1"/>
  <c r="AH742" i="1"/>
  <c r="E743" i="1"/>
  <c r="AH743" i="1"/>
  <c r="A744" i="1"/>
  <c r="A745" i="1"/>
  <c r="AH745" i="1"/>
  <c r="E745" i="1"/>
  <c r="A746" i="1"/>
  <c r="AH746" i="1"/>
  <c r="E746" i="1"/>
  <c r="A747" i="1"/>
  <c r="E747" i="1"/>
  <c r="AH747" i="1"/>
  <c r="A748" i="1"/>
  <c r="AH748" i="1"/>
  <c r="E748" i="1"/>
  <c r="A749" i="1"/>
  <c r="A750" i="1"/>
  <c r="E750" i="1"/>
  <c r="AH750" i="1"/>
  <c r="A751" i="1"/>
  <c r="E751" i="1"/>
  <c r="AH751" i="1"/>
  <c r="A752" i="1"/>
  <c r="A753" i="1"/>
  <c r="E753" i="1"/>
  <c r="AH753" i="1"/>
  <c r="A754" i="1"/>
  <c r="AH754" i="1"/>
  <c r="E754" i="1"/>
  <c r="A755" i="1"/>
  <c r="AH755" i="1"/>
  <c r="E755" i="1"/>
  <c r="A756" i="1"/>
  <c r="A757" i="1"/>
  <c r="E757" i="1"/>
  <c r="AH757" i="1"/>
  <c r="A758" i="1"/>
  <c r="E758" i="1"/>
  <c r="AH758" i="1"/>
  <c r="A759" i="1"/>
  <c r="AH759" i="1"/>
  <c r="E759" i="1"/>
  <c r="A760" i="1"/>
  <c r="AH760" i="1"/>
  <c r="E760" i="1"/>
  <c r="A761" i="1"/>
  <c r="E761" i="1"/>
  <c r="AH761" i="1"/>
  <c r="A762" i="1"/>
  <c r="AH762" i="1"/>
  <c r="E762" i="1"/>
  <c r="A763" i="1"/>
  <c r="AH763" i="1"/>
  <c r="E763" i="1"/>
  <c r="A764" i="1"/>
  <c r="A765" i="1"/>
  <c r="AH765" i="1"/>
  <c r="E765" i="1"/>
  <c r="A766" i="1"/>
  <c r="A767" i="1"/>
  <c r="E767" i="1"/>
  <c r="AH767" i="1"/>
  <c r="A768" i="1"/>
  <c r="E768" i="1"/>
  <c r="AH768" i="1"/>
  <c r="A769" i="1"/>
  <c r="E769" i="1"/>
  <c r="AH769" i="1"/>
  <c r="A770" i="1"/>
  <c r="A771" i="1"/>
  <c r="E771" i="1"/>
  <c r="AH771" i="1"/>
  <c r="AJ770" i="1" l="1"/>
  <c r="AJ769" i="1"/>
  <c r="AK768" i="1"/>
  <c r="AK769" i="1" s="1"/>
  <c r="AJ768" i="1"/>
  <c r="AI767" i="1"/>
  <c r="AJ766" i="1"/>
  <c r="AI765" i="1"/>
  <c r="AJ764" i="1"/>
  <c r="AJ763" i="1"/>
  <c r="AJ762" i="1"/>
  <c r="AJ761" i="1"/>
  <c r="AJ760" i="1"/>
  <c r="AJ759" i="1"/>
  <c r="AK758" i="1"/>
  <c r="AK759" i="1" s="1"/>
  <c r="AK760" i="1" s="1"/>
  <c r="AK761" i="1" s="1"/>
  <c r="AK762" i="1" s="1"/>
  <c r="AK763" i="1" s="1"/>
  <c r="AJ758" i="1"/>
  <c r="AI757" i="1"/>
  <c r="AJ756" i="1"/>
  <c r="AJ755" i="1"/>
  <c r="AK754" i="1"/>
  <c r="AK755" i="1" s="1"/>
  <c r="AJ754" i="1"/>
  <c r="AI753" i="1"/>
  <c r="AJ752" i="1"/>
  <c r="AK751" i="1"/>
  <c r="AJ751" i="1"/>
  <c r="AI750" i="1"/>
  <c r="AJ749" i="1"/>
  <c r="AJ748" i="1"/>
  <c r="AJ747" i="1"/>
  <c r="AK746" i="1"/>
  <c r="AK747" i="1" s="1"/>
  <c r="AK748" i="1" s="1"/>
  <c r="AJ746" i="1"/>
  <c r="AI745" i="1"/>
  <c r="AJ744" i="1"/>
  <c r="AK743" i="1"/>
  <c r="AJ743" i="1"/>
  <c r="AI742" i="1"/>
  <c r="AJ741" i="1"/>
  <c r="AK771" i="1"/>
  <c r="AI771" i="1"/>
  <c r="A772" i="1"/>
  <c r="AG763" i="1"/>
  <c r="AG750" i="1"/>
  <c r="AG754" i="1"/>
  <c r="AI743" i="1"/>
  <c r="AG767" i="1"/>
  <c r="AG760" i="1"/>
  <c r="AI754" i="1"/>
  <c r="AI735" i="1"/>
  <c r="AG755" i="1"/>
  <c r="AG748" i="1"/>
  <c r="AG743" i="1"/>
  <c r="A773" i="1"/>
  <c r="AG761" i="1"/>
  <c r="AG742" i="1"/>
  <c r="AG751" i="1"/>
  <c r="AG771" i="1"/>
  <c r="AH773" i="1"/>
  <c r="AI768" i="1"/>
  <c r="AG759" i="1"/>
  <c r="AG768" i="1"/>
  <c r="AG747" i="1"/>
  <c r="AG769" i="1"/>
  <c r="AG762" i="1"/>
  <c r="AI758" i="1"/>
  <c r="AI746" i="1"/>
  <c r="AG765" i="1"/>
  <c r="AG753" i="1"/>
  <c r="AG746" i="1"/>
  <c r="AI751" i="1"/>
  <c r="A774" i="1"/>
  <c r="A775" i="1" s="1"/>
  <c r="A776" i="1" s="1"/>
  <c r="AH775" i="1"/>
  <c r="AG757" i="1"/>
  <c r="AG758" i="1"/>
  <c r="AG745" i="1"/>
  <c r="E773" i="1"/>
  <c r="E775" i="1"/>
  <c r="AK773" i="1" l="1"/>
  <c r="AJ772" i="1"/>
  <c r="AI773" i="1"/>
  <c r="AJ774" i="1"/>
  <c r="AK775" i="1"/>
  <c r="AI775" i="1"/>
  <c r="AJ776" i="1"/>
  <c r="AG775" i="1"/>
  <c r="AH776" i="1"/>
  <c r="AG773" i="1"/>
  <c r="AI769" i="1"/>
  <c r="A777" i="1"/>
  <c r="AI759" i="1"/>
  <c r="AI755" i="1"/>
  <c r="AI747" i="1"/>
  <c r="AI736" i="1"/>
  <c r="E776" i="1"/>
  <c r="AH777" i="1"/>
  <c r="E777" i="1"/>
  <c r="A778" i="1"/>
  <c r="AK776" i="1" l="1"/>
  <c r="AK777" i="1" s="1"/>
  <c r="AJ778" i="1"/>
  <c r="AJ777" i="1"/>
  <c r="AI760" i="1"/>
  <c r="A779" i="1"/>
  <c r="E779" i="1"/>
  <c r="AG777" i="1"/>
  <c r="AI737" i="1"/>
  <c r="AI776" i="1"/>
  <c r="AH778" i="1"/>
  <c r="AI748" i="1"/>
  <c r="E778" i="1"/>
  <c r="AG776" i="1"/>
  <c r="AK778" i="1" l="1"/>
  <c r="AJ779" i="1"/>
  <c r="AI738" i="1"/>
  <c r="AG779" i="1"/>
  <c r="AI777" i="1"/>
  <c r="A780" i="1"/>
  <c r="A781" i="1"/>
  <c r="AH779" i="1"/>
  <c r="AI761" i="1"/>
  <c r="AI778" i="1"/>
  <c r="AH780" i="1"/>
  <c r="AG778" i="1"/>
  <c r="AK779" i="1" l="1"/>
  <c r="AK780" i="1" s="1"/>
  <c r="AJ780" i="1"/>
  <c r="AJ781" i="1"/>
  <c r="E780" i="1"/>
  <c r="A782" i="1"/>
  <c r="A783" i="1"/>
  <c r="E782" i="1"/>
  <c r="AH782" i="1"/>
  <c r="AI762" i="1"/>
  <c r="AI779" i="1"/>
  <c r="AH783" i="1"/>
  <c r="A784" i="1"/>
  <c r="AK782" i="1" l="1"/>
  <c r="AK783" i="1" s="1"/>
  <c r="AI782" i="1"/>
  <c r="AJ784" i="1"/>
  <c r="AJ783" i="1"/>
  <c r="AG780" i="1"/>
  <c r="E784" i="1"/>
  <c r="AG782" i="1"/>
  <c r="A785" i="1"/>
  <c r="A786" i="1"/>
  <c r="AI763" i="1"/>
  <c r="E783" i="1"/>
  <c r="AH784" i="1"/>
  <c r="AI780" i="1"/>
  <c r="E785" i="1"/>
  <c r="AK784" i="1" l="1"/>
  <c r="AJ786" i="1"/>
  <c r="AJ785" i="1"/>
  <c r="AH786" i="1"/>
  <c r="AG785" i="1"/>
  <c r="AI783" i="1"/>
  <c r="E786" i="1"/>
  <c r="AH785" i="1"/>
  <c r="A787" i="1"/>
  <c r="AH787" i="1"/>
  <c r="AG784" i="1"/>
  <c r="AG783" i="1"/>
  <c r="E787" i="1"/>
  <c r="AK785" i="1" l="1"/>
  <c r="AK786" i="1" s="1"/>
  <c r="AK787" i="1" s="1"/>
  <c r="AJ787" i="1"/>
  <c r="AG787" i="1"/>
  <c r="A788" i="1"/>
  <c r="E788" i="1"/>
  <c r="AI784" i="1"/>
  <c r="AG786" i="1"/>
  <c r="A789" i="1"/>
  <c r="A790" i="1" s="1"/>
  <c r="AH789" i="1"/>
  <c r="AH788" i="1"/>
  <c r="AJ788" i="1" l="1"/>
  <c r="AK788" i="1"/>
  <c r="AK789" i="1" s="1"/>
  <c r="AJ790" i="1"/>
  <c r="AJ789" i="1"/>
  <c r="AI785" i="1"/>
  <c r="AG788" i="1"/>
  <c r="A791" i="1"/>
  <c r="E791" i="1"/>
  <c r="E789" i="1"/>
  <c r="AH790" i="1"/>
  <c r="E790" i="1"/>
  <c r="AK790" i="1" l="1"/>
  <c r="AJ791" i="1"/>
  <c r="AI786" i="1"/>
  <c r="AI787" i="1" s="1"/>
  <c r="AG790" i="1"/>
  <c r="AG789" i="1"/>
  <c r="A792" i="1"/>
  <c r="AI788" i="1"/>
  <c r="AG791" i="1"/>
  <c r="AH791" i="1"/>
  <c r="AI789" i="1"/>
  <c r="AK791" i="1" l="1"/>
  <c r="AJ792" i="1"/>
  <c r="AK793" i="1"/>
  <c r="AI790" i="1"/>
  <c r="A793" i="1"/>
  <c r="E793" i="1"/>
  <c r="AI793" i="1" l="1"/>
  <c r="AK795" i="1"/>
  <c r="AH793" i="1"/>
  <c r="AI791" i="1"/>
  <c r="A794" i="1"/>
  <c r="AG793" i="1"/>
  <c r="A795" i="1"/>
  <c r="AH795" i="1"/>
  <c r="E795" i="1"/>
  <c r="A796" i="1"/>
  <c r="E796" i="1"/>
  <c r="AH796" i="1"/>
  <c r="AJ796" i="1" l="1"/>
  <c r="AI795" i="1"/>
  <c r="AJ794" i="1"/>
  <c r="AK796" i="1"/>
  <c r="A797" i="1"/>
  <c r="AG795" i="1"/>
  <c r="AG796" i="1"/>
  <c r="AI796" i="1"/>
  <c r="AH797" i="1"/>
  <c r="E797" i="1"/>
  <c r="A798" i="1"/>
  <c r="A799" i="1"/>
  <c r="AH798" i="1"/>
  <c r="E798" i="1"/>
  <c r="A800" i="1"/>
  <c r="AJ798" i="1" l="1"/>
  <c r="AJ797" i="1"/>
  <c r="AK797" i="1"/>
  <c r="AK798" i="1" s="1"/>
  <c r="AJ800" i="1"/>
  <c r="AJ799" i="1"/>
  <c r="AH799" i="1"/>
  <c r="AG797" i="1"/>
  <c r="E800" i="1"/>
  <c r="A801" i="1"/>
  <c r="AI797" i="1"/>
  <c r="AG798" i="1"/>
  <c r="AI798" i="1"/>
  <c r="E799" i="1"/>
  <c r="AH800" i="1"/>
  <c r="AK799" i="1" l="1"/>
  <c r="AK800" i="1" s="1"/>
  <c r="AK802" i="1"/>
  <c r="AJ801" i="1"/>
  <c r="AI799" i="1"/>
  <c r="AI800" i="1"/>
  <c r="AG800" i="1"/>
  <c r="A802" i="1"/>
  <c r="AG799" i="1"/>
  <c r="A803" i="1"/>
  <c r="E802" i="1"/>
  <c r="AH803" i="1"/>
  <c r="A804" i="1"/>
  <c r="AI802" i="1" l="1"/>
  <c r="AK803" i="1"/>
  <c r="AJ804" i="1"/>
  <c r="AJ803" i="1"/>
  <c r="E803" i="1"/>
  <c r="A805" i="1"/>
  <c r="E804" i="1"/>
  <c r="AH805" i="1"/>
  <c r="A806" i="1"/>
  <c r="AG802" i="1"/>
  <c r="AH804" i="1"/>
  <c r="E805" i="1"/>
  <c r="AH802" i="1"/>
  <c r="AK804" i="1" l="1"/>
  <c r="AK805" i="1" s="1"/>
  <c r="AJ806" i="1"/>
  <c r="AJ805" i="1"/>
  <c r="AG803" i="1"/>
  <c r="A807" i="1"/>
  <c r="AG805" i="1"/>
  <c r="A808" i="1"/>
  <c r="AH806" i="1"/>
  <c r="AI803" i="1"/>
  <c r="AI804" i="1" s="1"/>
  <c r="E806" i="1"/>
  <c r="AH807" i="1"/>
  <c r="AG804" i="1"/>
  <c r="AK806" i="1" l="1"/>
  <c r="AK807" i="1" s="1"/>
  <c r="AJ808" i="1"/>
  <c r="AJ807" i="1"/>
  <c r="A809" i="1"/>
  <c r="E808" i="1"/>
  <c r="E807" i="1"/>
  <c r="A810" i="1"/>
  <c r="E809" i="1"/>
  <c r="AI805" i="1"/>
  <c r="AH808" i="1"/>
  <c r="AG806" i="1"/>
  <c r="AH809" i="1"/>
  <c r="AK808" i="1" l="1"/>
  <c r="AK809" i="1" s="1"/>
  <c r="AJ810" i="1"/>
  <c r="AJ809" i="1"/>
  <c r="AG809" i="1"/>
  <c r="AG808" i="1"/>
  <c r="E810" i="1"/>
  <c r="AG807" i="1"/>
  <c r="AI806" i="1"/>
  <c r="A811" i="1"/>
  <c r="AH810" i="1"/>
  <c r="AH811" i="1"/>
  <c r="AK810" i="1" l="1"/>
  <c r="AK811" i="1" s="1"/>
  <c r="AJ811" i="1"/>
  <c r="A812" i="1"/>
  <c r="A813" i="1"/>
  <c r="A814" i="1"/>
  <c r="E811" i="1"/>
  <c r="AI807" i="1"/>
  <c r="AI808" i="1" s="1"/>
  <c r="E813" i="1"/>
  <c r="AG810" i="1"/>
  <c r="AH813" i="1"/>
  <c r="AJ812" i="1" l="1"/>
  <c r="AK813" i="1"/>
  <c r="AI813" i="1"/>
  <c r="AJ814" i="1"/>
  <c r="AI809" i="1"/>
  <c r="AI810" i="1"/>
  <c r="AG811" i="1"/>
  <c r="AG813" i="1"/>
  <c r="A815" i="1"/>
  <c r="AK815" i="1" l="1"/>
  <c r="E815" i="1"/>
  <c r="AI811" i="1"/>
  <c r="A816" i="1"/>
  <c r="AH815" i="1"/>
  <c r="A817" i="1"/>
  <c r="AI815" i="1" l="1"/>
  <c r="AK817" i="1"/>
  <c r="AJ816" i="1"/>
  <c r="A818" i="1"/>
  <c r="A819" i="1"/>
  <c r="E818" i="1"/>
  <c r="E817" i="1"/>
  <c r="AG815" i="1"/>
  <c r="AH817" i="1"/>
  <c r="AI817" i="1" l="1"/>
  <c r="AJ819" i="1"/>
  <c r="AJ818" i="1"/>
  <c r="AH818" i="1"/>
  <c r="AG817" i="1"/>
  <c r="AK818" i="1" l="1"/>
  <c r="AG818" i="1"/>
  <c r="AI818" i="1"/>
  <c r="A820" i="1"/>
  <c r="A821" i="1"/>
  <c r="AH820" i="1"/>
  <c r="E820" i="1"/>
  <c r="AK820" i="1" l="1"/>
  <c r="AI820" i="1"/>
  <c r="AJ821" i="1"/>
  <c r="E821" i="1"/>
  <c r="A822" i="1"/>
  <c r="A823" i="1"/>
  <c r="E822" i="1"/>
  <c r="AH822" i="1"/>
  <c r="AG820" i="1"/>
  <c r="AH821" i="1"/>
  <c r="E823" i="1"/>
  <c r="AK821" i="1" l="1"/>
  <c r="AK822" i="1" s="1"/>
  <c r="AJ822" i="1"/>
  <c r="AJ823" i="1"/>
  <c r="AG821" i="1"/>
  <c r="AG822" i="1"/>
  <c r="A824" i="1"/>
  <c r="E824" i="1"/>
  <c r="AH823" i="1"/>
  <c r="AI821" i="1"/>
  <c r="AG823" i="1"/>
  <c r="AH824" i="1"/>
  <c r="A825" i="1"/>
  <c r="E825" i="1" s="1"/>
  <c r="AH825" i="1"/>
  <c r="AK823" i="1" l="1"/>
  <c r="AJ824" i="1"/>
  <c r="AK824" i="1"/>
  <c r="AK825" i="1" s="1"/>
  <c r="AJ825" i="1"/>
  <c r="AK827" i="1"/>
  <c r="AG824" i="1"/>
  <c r="A826" i="1"/>
  <c r="AG825" i="1"/>
  <c r="AI822" i="1"/>
  <c r="AI823" i="1" s="1"/>
  <c r="AJ826" i="1" l="1"/>
  <c r="A827" i="1"/>
  <c r="E827" i="1" s="1"/>
  <c r="AI824" i="1"/>
  <c r="AH827" i="1"/>
  <c r="A828" i="1"/>
  <c r="AH828" i="1"/>
  <c r="AI827" i="1" l="1"/>
  <c r="AK828" i="1"/>
  <c r="AJ828" i="1"/>
  <c r="E828" i="1"/>
  <c r="AG827" i="1"/>
  <c r="A829" i="1"/>
  <c r="E829" i="1"/>
  <c r="AI825" i="1"/>
  <c r="AH829" i="1"/>
  <c r="AJ829" i="1" l="1"/>
  <c r="AK829" i="1"/>
  <c r="AI828" i="1"/>
  <c r="AG829" i="1"/>
  <c r="AI829" i="1"/>
  <c r="AG828" i="1"/>
  <c r="A830" i="1"/>
  <c r="E830" i="1"/>
  <c r="AH830" i="1"/>
  <c r="A831" i="1"/>
  <c r="E831" i="1"/>
  <c r="AH831" i="1"/>
  <c r="AJ831" i="1" l="1"/>
  <c r="AK830" i="1"/>
  <c r="AK831" i="1" s="1"/>
  <c r="AJ830" i="1"/>
  <c r="AK835" i="1"/>
  <c r="A832" i="1"/>
  <c r="AI830" i="1"/>
  <c r="AH832" i="1"/>
  <c r="AG831" i="1"/>
  <c r="AG830" i="1"/>
  <c r="A833" i="1"/>
  <c r="E832" i="1"/>
  <c r="A834" i="1"/>
  <c r="AH833" i="1"/>
  <c r="E833" i="1"/>
  <c r="AJ834" i="1" l="1"/>
  <c r="AJ833" i="1"/>
  <c r="AJ832" i="1"/>
  <c r="AK832" i="1"/>
  <c r="AK833" i="1" s="1"/>
  <c r="A835" i="1"/>
  <c r="AG833" i="1"/>
  <c r="AH835" i="1"/>
  <c r="A836" i="1"/>
  <c r="AH836" i="1"/>
  <c r="AG832" i="1"/>
  <c r="AI831" i="1"/>
  <c r="E835" i="1"/>
  <c r="E836" i="1"/>
  <c r="A837" i="1"/>
  <c r="E837" i="1"/>
  <c r="A838" i="1"/>
  <c r="AH837" i="1"/>
  <c r="AH838" i="1"/>
  <c r="E838" i="1"/>
  <c r="AJ837" i="1" l="1"/>
  <c r="AK836" i="1"/>
  <c r="AK837" i="1" s="1"/>
  <c r="AK838" i="1" s="1"/>
  <c r="AJ836" i="1"/>
  <c r="AI835" i="1"/>
  <c r="AJ838" i="1"/>
  <c r="AI836" i="1"/>
  <c r="A839" i="1"/>
  <c r="AG835" i="1"/>
  <c r="AI832" i="1"/>
  <c r="AG838" i="1"/>
  <c r="AG837" i="1"/>
  <c r="AI837" i="1"/>
  <c r="AI838" i="1" s="1"/>
  <c r="AG836" i="1"/>
  <c r="A840" i="1"/>
  <c r="AH840" i="1" s="1"/>
  <c r="AK840" i="1" l="1"/>
  <c r="AJ839" i="1"/>
  <c r="E840" i="1"/>
  <c r="A841" i="1"/>
  <c r="AI833" i="1"/>
  <c r="A842" i="1"/>
  <c r="E842" i="1"/>
  <c r="AH842" i="1"/>
  <c r="AH841" i="1"/>
  <c r="E841" i="1"/>
  <c r="AI840" i="1" l="1"/>
  <c r="AJ841" i="1"/>
  <c r="AK841" i="1"/>
  <c r="AK842" i="1" s="1"/>
  <c r="AJ842" i="1"/>
  <c r="AI841" i="1"/>
  <c r="AG842" i="1"/>
  <c r="AG841" i="1"/>
  <c r="AG840" i="1"/>
  <c r="A843" i="1"/>
  <c r="AJ843" i="1" l="1"/>
  <c r="AI842" i="1"/>
  <c r="AK844" i="1" l="1"/>
  <c r="A844" i="1"/>
  <c r="A845" i="1"/>
  <c r="AH844" i="1"/>
  <c r="E844" i="1"/>
  <c r="AJ845" i="1" l="1"/>
  <c r="AI844" i="1"/>
  <c r="A846" i="1"/>
  <c r="AH846" i="1"/>
  <c r="E846" i="1"/>
  <c r="AI846" i="1" l="1"/>
  <c r="AK846" i="1"/>
  <c r="AG846" i="1"/>
  <c r="B33" i="4" l="1"/>
  <c r="F33" i="4" l="1"/>
  <c r="D33" i="4"/>
  <c r="H33" i="4"/>
  <c r="I33" i="4"/>
  <c r="E33" i="4"/>
  <c r="J33" i="4"/>
  <c r="G33" i="4"/>
  <c r="C33" i="4"/>
  <c r="AG844" i="1"/>
  <c r="A847" i="1"/>
  <c r="A848" i="1"/>
  <c r="E848" i="1"/>
  <c r="A849" i="1"/>
  <c r="AH848" i="1"/>
  <c r="AH849" i="1"/>
  <c r="E849" i="1"/>
  <c r="A850" i="1"/>
  <c r="E850" i="1"/>
  <c r="AH850" i="1"/>
  <c r="A851" i="1"/>
  <c r="AH851" i="1"/>
  <c r="E851" i="1"/>
  <c r="A852" i="1"/>
  <c r="E852" i="1"/>
  <c r="AH852" i="1"/>
  <c r="A853" i="1"/>
  <c r="AH853" i="1"/>
  <c r="E853" i="1"/>
  <c r="A854" i="1"/>
  <c r="E854" i="1"/>
  <c r="AH854" i="1"/>
  <c r="AK849" i="1" l="1"/>
  <c r="AK850" i="1" s="1"/>
  <c r="AK851" i="1" s="1"/>
  <c r="AK852" i="1" s="1"/>
  <c r="AK853" i="1" s="1"/>
  <c r="AK854" i="1" s="1"/>
  <c r="AK848" i="1"/>
  <c r="AI848" i="1"/>
  <c r="AJ853" i="1"/>
  <c r="AJ852" i="1"/>
  <c r="AJ851" i="1"/>
  <c r="AJ850" i="1"/>
  <c r="AJ849" i="1"/>
  <c r="AJ847" i="1"/>
  <c r="AJ854" i="1"/>
  <c r="A33" i="4"/>
  <c r="K33" i="4"/>
  <c r="A855" i="1"/>
  <c r="AG851" i="1"/>
  <c r="AG848" i="1"/>
  <c r="AG852" i="1"/>
  <c r="AG849" i="1"/>
  <c r="AG853" i="1"/>
  <c r="AI849" i="1"/>
  <c r="AG854" i="1"/>
  <c r="AG850" i="1"/>
  <c r="A856" i="1"/>
  <c r="A857" i="1"/>
  <c r="E855" i="1"/>
  <c r="AH856" i="1"/>
  <c r="E856" i="1"/>
  <c r="AH855" i="1"/>
  <c r="E857" i="1"/>
  <c r="AH857" i="1"/>
  <c r="AJ855" i="1" l="1"/>
  <c r="AK855" i="1"/>
  <c r="AK856" i="1" s="1"/>
  <c r="AK857" i="1" s="1"/>
  <c r="AK859" i="1"/>
  <c r="AJ857" i="1"/>
  <c r="AJ856" i="1"/>
  <c r="L33" i="4"/>
  <c r="B32" i="4"/>
  <c r="AI850" i="1"/>
  <c r="A858" i="1"/>
  <c r="A859" i="1"/>
  <c r="E859" i="1"/>
  <c r="A860" i="1"/>
  <c r="AG855" i="1"/>
  <c r="AG857" i="1"/>
  <c r="AG856" i="1"/>
  <c r="AH859" i="1"/>
  <c r="E860" i="1"/>
  <c r="A861" i="1"/>
  <c r="AH860" i="1"/>
  <c r="E861" i="1"/>
  <c r="AH861" i="1"/>
  <c r="AI859" i="1" l="1"/>
  <c r="AJ858" i="1"/>
  <c r="AK860" i="1"/>
  <c r="AK861" i="1" s="1"/>
  <c r="AJ861" i="1"/>
  <c r="AJ860" i="1"/>
  <c r="M33" i="4"/>
  <c r="D32" i="4"/>
  <c r="E32" i="4"/>
  <c r="I32" i="4"/>
  <c r="G32" i="4"/>
  <c r="H32" i="4"/>
  <c r="J32" i="4"/>
  <c r="F32" i="4"/>
  <c r="C32" i="4"/>
  <c r="AG861" i="1"/>
  <c r="AG859" i="1"/>
  <c r="AG860" i="1"/>
  <c r="AI860" i="1"/>
  <c r="AI851" i="1"/>
  <c r="A862" i="1"/>
  <c r="AH862" i="1"/>
  <c r="A863" i="1"/>
  <c r="E862" i="1"/>
  <c r="E863" i="1"/>
  <c r="A864" i="1"/>
  <c r="AH863" i="1"/>
  <c r="AJ750" i="1" l="1"/>
  <c r="B750" i="1" s="1"/>
  <c r="AJ526" i="1"/>
  <c r="B526" i="1" s="1"/>
  <c r="AJ704" i="1"/>
  <c r="B704" i="1" s="1"/>
  <c r="AJ616" i="1"/>
  <c r="B616" i="1" s="1"/>
  <c r="AJ641" i="1"/>
  <c r="B641" i="1" s="1"/>
  <c r="AJ373" i="1"/>
  <c r="B373" i="1" s="1"/>
  <c r="AJ110" i="1"/>
  <c r="B110" i="1" s="1"/>
  <c r="AJ65" i="1"/>
  <c r="B65" i="1" s="1"/>
  <c r="AJ135" i="1"/>
  <c r="B135" i="1" s="1"/>
  <c r="AJ226" i="1"/>
  <c r="B226" i="1" s="1"/>
  <c r="AJ844" i="1"/>
  <c r="B844" i="1" s="1"/>
  <c r="AJ314" i="1"/>
  <c r="B314" i="1" s="1"/>
  <c r="AJ618" i="1"/>
  <c r="B618" i="1" s="1"/>
  <c r="AJ108" i="1"/>
  <c r="B108" i="1" s="1"/>
  <c r="AJ654" i="1"/>
  <c r="B654" i="1" s="1"/>
  <c r="AJ431" i="1"/>
  <c r="B431" i="1" s="1"/>
  <c r="AJ472" i="1"/>
  <c r="B472" i="1" s="1"/>
  <c r="AJ514" i="1"/>
  <c r="B514" i="1" s="1"/>
  <c r="AJ345" i="1"/>
  <c r="B345" i="1" s="1"/>
  <c r="L2" i="2"/>
  <c r="AJ176" i="1"/>
  <c r="B176" i="1" s="1"/>
  <c r="K2" i="2"/>
  <c r="M2" i="2" s="1"/>
  <c r="I3" i="11" s="1"/>
  <c r="AJ630" i="1"/>
  <c r="B630" i="1" s="1"/>
  <c r="AJ85" i="1"/>
  <c r="B85" i="1" s="1"/>
  <c r="AJ375" i="1"/>
  <c r="B375" i="1" s="1"/>
  <c r="AJ715" i="1"/>
  <c r="B715" i="1" s="1"/>
  <c r="AJ449" i="1"/>
  <c r="B449" i="1" s="1"/>
  <c r="AJ767" i="1"/>
  <c r="B767" i="1" s="1"/>
  <c r="AJ436" i="1"/>
  <c r="B436" i="1" s="1"/>
  <c r="AJ385" i="1"/>
  <c r="B385" i="1" s="1"/>
  <c r="AJ9" i="1"/>
  <c r="B9" i="1" s="1"/>
  <c r="AJ745" i="1"/>
  <c r="B745" i="1" s="1"/>
  <c r="AJ186" i="1"/>
  <c r="B186" i="1" s="1"/>
  <c r="AJ721" i="1"/>
  <c r="B721" i="1" s="1"/>
  <c r="AJ213" i="1"/>
  <c r="B213" i="1" s="1"/>
  <c r="AJ771" i="1"/>
  <c r="B771" i="1" s="1"/>
  <c r="AJ242" i="1"/>
  <c r="B242" i="1" s="1"/>
  <c r="AJ683" i="1"/>
  <c r="B683" i="1" s="1"/>
  <c r="AJ614" i="1"/>
  <c r="B614" i="1" s="1"/>
  <c r="AJ357" i="1"/>
  <c r="B357" i="1" s="1"/>
  <c r="AJ392" i="1"/>
  <c r="B392" i="1" s="1"/>
  <c r="AJ201" i="1"/>
  <c r="B201" i="1" s="1"/>
  <c r="AJ297" i="1"/>
  <c r="B297" i="1" s="1"/>
  <c r="AJ221" i="1"/>
  <c r="B221" i="1" s="1"/>
  <c r="AJ691" i="1"/>
  <c r="B691" i="1" s="1"/>
  <c r="AJ484" i="1"/>
  <c r="B484" i="1" s="1"/>
  <c r="AJ23" i="1"/>
  <c r="B23" i="1" s="1"/>
  <c r="AJ106" i="1"/>
  <c r="B106" i="1" s="1"/>
  <c r="AJ144" i="1"/>
  <c r="B144" i="1" s="1"/>
  <c r="AJ706" i="1"/>
  <c r="B706" i="1" s="1"/>
  <c r="AJ77" i="1"/>
  <c r="B77" i="1" s="1"/>
  <c r="AJ318" i="1"/>
  <c r="B318" i="1" s="1"/>
  <c r="AJ532" i="1"/>
  <c r="B532" i="1" s="1"/>
  <c r="AJ46" i="1"/>
  <c r="B46" i="1" s="1"/>
  <c r="AJ197" i="1"/>
  <c r="B197" i="1" s="1"/>
  <c r="AJ757" i="1"/>
  <c r="B757" i="1" s="1"/>
  <c r="AJ316" i="1"/>
  <c r="B316" i="1" s="1"/>
  <c r="AJ610" i="1"/>
  <c r="B610" i="1" s="1"/>
  <c r="AJ335" i="1"/>
  <c r="B335" i="1" s="1"/>
  <c r="AJ370" i="1"/>
  <c r="B370" i="1" s="1"/>
  <c r="AJ835" i="1"/>
  <c r="B835" i="1" s="1"/>
  <c r="E2" i="2"/>
  <c r="AJ467" i="1"/>
  <c r="B467" i="1" s="1"/>
  <c r="AJ711" i="1"/>
  <c r="B711" i="1" s="1"/>
  <c r="AJ708" i="1"/>
  <c r="B708" i="1" s="1"/>
  <c r="AJ632" i="1"/>
  <c r="B632" i="1" s="1"/>
  <c r="AJ21" i="1"/>
  <c r="B21" i="1" s="1"/>
  <c r="AJ237" i="1"/>
  <c r="B237" i="1" s="1"/>
  <c r="AJ79" i="1"/>
  <c r="B79" i="1" s="1"/>
  <c r="AJ545" i="1"/>
  <c r="B545" i="1" s="1"/>
  <c r="AJ539" i="1"/>
  <c r="B539" i="1" s="1"/>
  <c r="AJ165" i="1"/>
  <c r="B165" i="1" s="1"/>
  <c r="AJ323" i="1"/>
  <c r="B323" i="1" s="1"/>
  <c r="AJ740" i="1"/>
  <c r="B740" i="1" s="1"/>
  <c r="AJ725" i="1"/>
  <c r="B725" i="1" s="1"/>
  <c r="AJ460" i="1"/>
  <c r="B460" i="1" s="1"/>
  <c r="AJ380" i="1"/>
  <c r="B380" i="1" s="1"/>
  <c r="AJ123" i="1"/>
  <c r="B123" i="1" s="1"/>
  <c r="AJ44" i="1"/>
  <c r="B44" i="1" s="1"/>
  <c r="AJ591" i="1"/>
  <c r="B591" i="1" s="1"/>
  <c r="AJ244" i="1"/>
  <c r="B244" i="1" s="1"/>
  <c r="AJ848" i="1"/>
  <c r="B848" i="1" s="1"/>
  <c r="AJ859" i="1"/>
  <c r="B859" i="1" s="1"/>
  <c r="AJ52" i="1"/>
  <c r="B52" i="1" s="1"/>
  <c r="AJ7" i="1"/>
  <c r="B7" i="1" s="1"/>
  <c r="AJ624" i="1"/>
  <c r="B624" i="1" s="1"/>
  <c r="AJ126" i="1"/>
  <c r="B126" i="1" s="1"/>
  <c r="AJ321" i="1"/>
  <c r="B321" i="1" s="1"/>
  <c r="AJ19" i="1"/>
  <c r="B19" i="1" s="1"/>
  <c r="AJ312" i="1"/>
  <c r="B312" i="1" s="1"/>
  <c r="AJ446" i="1"/>
  <c r="B446" i="1" s="1"/>
  <c r="AJ246" i="1"/>
  <c r="B246" i="1" s="1"/>
  <c r="AJ158" i="1"/>
  <c r="B158" i="1" s="1"/>
  <c r="AJ622" i="1"/>
  <c r="B622" i="1" s="1"/>
  <c r="AJ113" i="1"/>
  <c r="B113" i="1" s="1"/>
  <c r="AJ464" i="1"/>
  <c r="B464" i="1" s="1"/>
  <c r="AJ434" i="1"/>
  <c r="B434" i="1" s="1"/>
  <c r="AJ307" i="1"/>
  <c r="B307" i="1" s="1"/>
  <c r="AJ795" i="1"/>
  <c r="B795" i="1" s="1"/>
  <c r="AJ104" i="1"/>
  <c r="B104" i="1" s="1"/>
  <c r="AJ564" i="1"/>
  <c r="B564" i="1" s="1"/>
  <c r="AJ626" i="1"/>
  <c r="B626" i="1" s="1"/>
  <c r="AJ602" i="1"/>
  <c r="B602" i="1" s="1"/>
  <c r="AJ677" i="1"/>
  <c r="B677" i="1" s="1"/>
  <c r="AJ775" i="1"/>
  <c r="B775" i="1" s="1"/>
  <c r="AJ817" i="1"/>
  <c r="B817" i="1" s="1"/>
  <c r="AJ585" i="1"/>
  <c r="B585" i="1" s="1"/>
  <c r="AJ95" i="1"/>
  <c r="B95" i="1" s="1"/>
  <c r="AJ262" i="1"/>
  <c r="B262" i="1" s="1"/>
  <c r="AJ543" i="1"/>
  <c r="B543" i="1" s="1"/>
  <c r="AJ211" i="1"/>
  <c r="B211" i="1" s="1"/>
  <c r="AJ133" i="1"/>
  <c r="B133" i="1" s="1"/>
  <c r="AJ793" i="1"/>
  <c r="B793" i="1" s="1"/>
  <c r="AJ74" i="1"/>
  <c r="B74" i="1" s="1"/>
  <c r="AJ666" i="1"/>
  <c r="B666" i="1" s="1"/>
  <c r="AJ782" i="1"/>
  <c r="B782" i="1" s="1"/>
  <c r="AJ605" i="1"/>
  <c r="B605" i="1" s="1"/>
  <c r="AJ54" i="1"/>
  <c r="B54" i="1" s="1"/>
  <c r="AJ441" i="1"/>
  <c r="B441" i="1" s="1"/>
  <c r="AJ3" i="1"/>
  <c r="B3" i="1" s="1"/>
  <c r="AJ470" i="1"/>
  <c r="B470" i="1" s="1"/>
  <c r="AJ802" i="1"/>
  <c r="B802" i="1" s="1"/>
  <c r="AJ410" i="1"/>
  <c r="B410" i="1" s="1"/>
  <c r="AJ501" i="1"/>
  <c r="B501" i="1" s="1"/>
  <c r="AJ27" i="1"/>
  <c r="B27" i="1" s="1"/>
  <c r="AJ82" i="1"/>
  <c r="B82" i="1" s="1"/>
  <c r="AJ599" i="1"/>
  <c r="B599" i="1" s="1"/>
  <c r="AJ820" i="1"/>
  <c r="B820" i="1" s="1"/>
  <c r="AJ310" i="1"/>
  <c r="B310" i="1" s="1"/>
  <c r="AJ248" i="1"/>
  <c r="B248" i="1" s="1"/>
  <c r="AJ289" i="1"/>
  <c r="B289" i="1" s="1"/>
  <c r="AJ573" i="1"/>
  <c r="B573" i="1" s="1"/>
  <c r="AJ697" i="1"/>
  <c r="B697" i="1" s="1"/>
  <c r="AJ742" i="1"/>
  <c r="B742" i="1" s="1"/>
  <c r="AJ253" i="1"/>
  <c r="B253" i="1" s="1"/>
  <c r="AJ359" i="1"/>
  <c r="B359" i="1" s="1"/>
  <c r="AJ827" i="1"/>
  <c r="B827" i="1" s="1"/>
  <c r="AJ528" i="1"/>
  <c r="B528" i="1" s="1"/>
  <c r="AJ509" i="1"/>
  <c r="B509" i="1" s="1"/>
  <c r="AJ149" i="1"/>
  <c r="B149" i="1" s="1"/>
  <c r="AJ137" i="1"/>
  <c r="B137" i="1" s="1"/>
  <c r="AJ813" i="1"/>
  <c r="B813" i="1" s="1"/>
  <c r="AJ523" i="1"/>
  <c r="B523" i="1" s="1"/>
  <c r="AJ561" i="1"/>
  <c r="B561" i="1" s="1"/>
  <c r="AJ595" i="1"/>
  <c r="B595" i="1" s="1"/>
  <c r="AJ554" i="1"/>
  <c r="B554" i="1" s="1"/>
  <c r="AJ536" i="1"/>
  <c r="B536" i="1" s="1"/>
  <c r="AJ840" i="1"/>
  <c r="B840" i="1" s="1"/>
  <c r="AJ753" i="1"/>
  <c r="B753" i="1" s="1"/>
  <c r="AJ250" i="1"/>
  <c r="B250" i="1" s="1"/>
  <c r="AJ607" i="1"/>
  <c r="B607" i="1" s="1"/>
  <c r="AJ142" i="1"/>
  <c r="B142" i="1" s="1"/>
  <c r="AJ131" i="1"/>
  <c r="B131" i="1" s="1"/>
  <c r="AJ98" i="1"/>
  <c r="B98" i="1" s="1"/>
  <c r="AJ846" i="1"/>
  <c r="B846" i="1" s="1"/>
  <c r="AJ530" i="1"/>
  <c r="B530" i="1" s="1"/>
  <c r="AJ647" i="1"/>
  <c r="B647" i="1" s="1"/>
  <c r="AJ273" i="1"/>
  <c r="B273" i="1" s="1"/>
  <c r="AJ495" i="1"/>
  <c r="B495" i="1" s="1"/>
  <c r="AJ387" i="1"/>
  <c r="B387" i="1" s="1"/>
  <c r="AJ765" i="1"/>
  <c r="B765" i="1" s="1"/>
  <c r="AJ102" i="1"/>
  <c r="B102" i="1" s="1"/>
  <c r="AJ773" i="1"/>
  <c r="B773" i="1" s="1"/>
  <c r="AJ285" i="1"/>
  <c r="B285" i="1" s="1"/>
  <c r="AJ815" i="1"/>
  <c r="B815" i="1" s="1"/>
  <c r="AJ5" i="1"/>
  <c r="B5" i="1" s="1"/>
  <c r="AJ428" i="1"/>
  <c r="B428" i="1" s="1"/>
  <c r="AK862" i="1"/>
  <c r="AK863" i="1" s="1"/>
  <c r="AJ864" i="1"/>
  <c r="AJ863" i="1"/>
  <c r="AJ862" i="1"/>
  <c r="A32" i="4"/>
  <c r="K32" i="4"/>
  <c r="L32" i="4" l="1"/>
  <c r="M32" i="4" s="1"/>
  <c r="AC783" i="1"/>
  <c r="AC659" i="1"/>
  <c r="AC453" i="1"/>
  <c r="AD33" i="1"/>
  <c r="AC788" i="1"/>
  <c r="AC214" i="1"/>
  <c r="AC161" i="1"/>
  <c r="AD763" i="1"/>
  <c r="AC276" i="1"/>
  <c r="AD649" i="1"/>
  <c r="AC691" i="1"/>
  <c r="AC271" i="1"/>
  <c r="AC482" i="1"/>
  <c r="AD56" i="1"/>
  <c r="AC546" i="1"/>
  <c r="AC512" i="1"/>
  <c r="AD564" i="1"/>
  <c r="AC760" i="1"/>
  <c r="AD746" i="1"/>
  <c r="AC820" i="1"/>
  <c r="AC328" i="1"/>
  <c r="AC244" i="1"/>
  <c r="AC502" i="1"/>
  <c r="AD77" i="1"/>
  <c r="AD762" i="1"/>
  <c r="AD684" i="1"/>
  <c r="AC119" i="1"/>
  <c r="AC19" i="1"/>
  <c r="AD820" i="1"/>
  <c r="AC789" i="1"/>
  <c r="AD758" i="1"/>
  <c r="AC620" i="1"/>
  <c r="AD294" i="1"/>
  <c r="AC489" i="1"/>
  <c r="AC543" i="1"/>
  <c r="AD671" i="1"/>
  <c r="AD479" i="1"/>
  <c r="AC52" i="1"/>
  <c r="AD172" i="1"/>
  <c r="AC828" i="1"/>
  <c r="AD677" i="1"/>
  <c r="AC70" i="1"/>
  <c r="AD353" i="1"/>
  <c r="AD798" i="1"/>
  <c r="AD137" i="1"/>
  <c r="AC719" i="1"/>
  <c r="AC499" i="1"/>
  <c r="AD779" i="1"/>
  <c r="AD32" i="1"/>
  <c r="AC657" i="1"/>
  <c r="AD661" i="1"/>
  <c r="AC495" i="1"/>
  <c r="AC388" i="1"/>
  <c r="AD833" i="1"/>
  <c r="AC234" i="1"/>
  <c r="AD180" i="1"/>
  <c r="AC34" i="1"/>
  <c r="AD620" i="1"/>
  <c r="AC31" i="1"/>
  <c r="AC671" i="1"/>
  <c r="AD825" i="1"/>
  <c r="AD489" i="1"/>
  <c r="AC152" i="1"/>
  <c r="AC32" i="1"/>
  <c r="AD293" i="1"/>
  <c r="AC467" i="1"/>
  <c r="AD150" i="1"/>
  <c r="AD597" i="1"/>
  <c r="AC293" i="1"/>
  <c r="AC30" i="1"/>
  <c r="AC329" i="1"/>
  <c r="AD179" i="1"/>
  <c r="AC557" i="1"/>
  <c r="AD380" i="1"/>
  <c r="AD152" i="1"/>
  <c r="AD49" i="1"/>
  <c r="AC817" i="1"/>
  <c r="AD509" i="1"/>
  <c r="AC179" i="1"/>
  <c r="AC273" i="1"/>
  <c r="AD378" i="1"/>
  <c r="AD497" i="1"/>
  <c r="AC549" i="1"/>
  <c r="AC361" i="1"/>
  <c r="AC773" i="1"/>
  <c r="AD568" i="1"/>
  <c r="AD213" i="1"/>
  <c r="AD352" i="1"/>
  <c r="AC266" i="1"/>
  <c r="AD549" i="1"/>
  <c r="AD570" i="1"/>
  <c r="AD506" i="1"/>
  <c r="AC695" i="1"/>
  <c r="AC233" i="1"/>
  <c r="AC747" i="1"/>
  <c r="AC324" i="1"/>
  <c r="AD634" i="1"/>
  <c r="AC340" i="1"/>
  <c r="AD731" i="1"/>
  <c r="AD431" i="1"/>
  <c r="AC219" i="1"/>
  <c r="AC786" i="1"/>
  <c r="AC782" i="1"/>
  <c r="AD436" i="1"/>
  <c r="AC174" i="1"/>
  <c r="AC289" i="1"/>
  <c r="AC574" i="1"/>
  <c r="AD541" i="1"/>
  <c r="AC647" i="1"/>
  <c r="AC713" i="1"/>
  <c r="AD396" i="1"/>
  <c r="AC740" i="1"/>
  <c r="AC224" i="1"/>
  <c r="AC673" i="1"/>
  <c r="AD405" i="1"/>
  <c r="AC757" i="1"/>
  <c r="AC588" i="1"/>
  <c r="AC138" i="1"/>
  <c r="AC227" i="1"/>
  <c r="AD16" i="1"/>
  <c r="AD393" i="1"/>
  <c r="AD338" i="1"/>
  <c r="AC727" i="1"/>
  <c r="AC656" i="1"/>
  <c r="AC242" i="1"/>
  <c r="AC758" i="1"/>
  <c r="AC207" i="1"/>
  <c r="AC60" i="1"/>
  <c r="AC375" i="1"/>
  <c r="AC86" i="1"/>
  <c r="AD453" i="1"/>
  <c r="AC128" i="1"/>
  <c r="AC258" i="1"/>
  <c r="AC265" i="1"/>
  <c r="AD811" i="1"/>
  <c r="AD793" i="1"/>
  <c r="AC449" i="1"/>
  <c r="AD39" i="1"/>
  <c r="AD195" i="1"/>
  <c r="AD521" i="1"/>
  <c r="AD477" i="1"/>
  <c r="AD86" i="1"/>
  <c r="AD40" i="1"/>
  <c r="AC636" i="1"/>
  <c r="AD835" i="1"/>
  <c r="AD80" i="1"/>
  <c r="AD79" i="1"/>
  <c r="AC485" i="1"/>
  <c r="AC155" i="1"/>
  <c r="AD602" i="1"/>
  <c r="AC439" i="1"/>
  <c r="AC395" i="1"/>
  <c r="AD25" i="1"/>
  <c r="AD181" i="1"/>
  <c r="AD817" i="1"/>
  <c r="AD791" i="1"/>
  <c r="AD404" i="1"/>
  <c r="AC840" i="1"/>
  <c r="AD777" i="1"/>
  <c r="AD628" i="1"/>
  <c r="AD447" i="1"/>
  <c r="AC475" i="1"/>
  <c r="AD648" i="1"/>
  <c r="AC732" i="1"/>
  <c r="AD100" i="1"/>
  <c r="AC841" i="1"/>
  <c r="AC411" i="1"/>
  <c r="AC506" i="1"/>
  <c r="AD424" i="1"/>
  <c r="AD12" i="1"/>
  <c r="AD120" i="1"/>
  <c r="AC652" i="1"/>
  <c r="AC74" i="1"/>
  <c r="AC85" i="1"/>
  <c r="AD543" i="1"/>
  <c r="AD417" i="1"/>
  <c r="AC478" i="1"/>
  <c r="AD314" i="1"/>
  <c r="AC285" i="1"/>
  <c r="AD859" i="1"/>
  <c r="AC800" i="1"/>
  <c r="AD297" i="1"/>
  <c r="AC559" i="1"/>
  <c r="AD804" i="1"/>
  <c r="AD375" i="1"/>
  <c r="AD782" i="1"/>
  <c r="AD276" i="1"/>
  <c r="AC596" i="1"/>
  <c r="AD204" i="1"/>
  <c r="AD359" i="1"/>
  <c r="AC114" i="1"/>
  <c r="AC5" i="1"/>
  <c r="AD163" i="1"/>
  <c r="AC787" i="1"/>
  <c r="AC308" i="1"/>
  <c r="AC661" i="1"/>
  <c r="AD641" i="1"/>
  <c r="AD392" i="1"/>
  <c r="AD3" i="1"/>
  <c r="AC689" i="1"/>
  <c r="AC221" i="1"/>
  <c r="AC380" i="1"/>
  <c r="AC333" i="1"/>
  <c r="AC670" i="1"/>
  <c r="AC607" i="1"/>
  <c r="AC38" i="1"/>
  <c r="AD289" i="1"/>
  <c r="AC551" i="1"/>
  <c r="AC827" i="1"/>
  <c r="AD533" i="1"/>
  <c r="AD253" i="1"/>
  <c r="AC678" i="1"/>
  <c r="AC619" i="1"/>
  <c r="AC416" i="1"/>
  <c r="AC392" i="1"/>
  <c r="AC165" i="1"/>
  <c r="AC465" i="1"/>
  <c r="AD709" i="1"/>
  <c r="AD238" i="1"/>
  <c r="AC58" i="1"/>
  <c r="AC113" i="1"/>
  <c r="AC798" i="1"/>
  <c r="AD740" i="1"/>
  <c r="AC418" i="1"/>
  <c r="AC632" i="1"/>
  <c r="AC390" i="1"/>
  <c r="AC799" i="1"/>
  <c r="AD630" i="1"/>
  <c r="AC550" i="1"/>
  <c r="AD493" i="1"/>
  <c r="AC539" i="1"/>
  <c r="AD235" i="1"/>
  <c r="AD652" i="1"/>
  <c r="AC171" i="1"/>
  <c r="AC426" i="1"/>
  <c r="AD611" i="1"/>
  <c r="AD561" i="1"/>
  <c r="AD412" i="1"/>
  <c r="AD687" i="1"/>
  <c r="AC639" i="1"/>
  <c r="AD587" i="1"/>
  <c r="AD651" i="1"/>
  <c r="AC254" i="1"/>
  <c r="AC751" i="1"/>
  <c r="AD492" i="1"/>
  <c r="AC743" i="1"/>
  <c r="AD55" i="1"/>
  <c r="AC15" i="1"/>
  <c r="AD385" i="1"/>
  <c r="AC63" i="1"/>
  <c r="AD797" i="1"/>
  <c r="AC188" i="1"/>
  <c r="AD129" i="1"/>
  <c r="AD223" i="1"/>
  <c r="AD363" i="1"/>
  <c r="AD484" i="1"/>
  <c r="AD754" i="1"/>
  <c r="AC349" i="1"/>
  <c r="AC183" i="1"/>
  <c r="AC158" i="1"/>
  <c r="AC693" i="1"/>
  <c r="AC413" i="1"/>
  <c r="AD432" i="1"/>
  <c r="AD95" i="1"/>
  <c r="AD211" i="1"/>
  <c r="AC688" i="1"/>
  <c r="AC667" i="1"/>
  <c r="AC203" i="1"/>
  <c r="AC437" i="1"/>
  <c r="AC162" i="1"/>
  <c r="AD226" i="1"/>
  <c r="AC410" i="1"/>
  <c r="AD662" i="1"/>
  <c r="AD408" i="1"/>
  <c r="AC583" i="1"/>
  <c r="AC716" i="1"/>
  <c r="AC575" i="1"/>
  <c r="AC366" i="1"/>
  <c r="AD128" i="1"/>
  <c r="AC554" i="1"/>
  <c r="AD415" i="1"/>
  <c r="AC82" i="1"/>
  <c r="AC267" i="1"/>
  <c r="AC106" i="1"/>
  <c r="AD403" i="1"/>
  <c r="AD647" i="1"/>
  <c r="AD242" i="1"/>
  <c r="AC406" i="1"/>
  <c r="AD429" i="1"/>
  <c r="AD745" i="1"/>
  <c r="AD266" i="1"/>
  <c r="AD785" i="1"/>
  <c r="AD37" i="1"/>
  <c r="AD536" i="1"/>
  <c r="AD643" i="1"/>
  <c r="AC56" i="1"/>
  <c r="AC825" i="1"/>
  <c r="AD274" i="1"/>
  <c r="AC345" i="1"/>
  <c r="AD523" i="1"/>
  <c r="AC126" i="1"/>
  <c r="AC205" i="1"/>
  <c r="AC184" i="1"/>
  <c r="AC441" i="1"/>
  <c r="AD837" i="1"/>
  <c r="AC300" i="1"/>
  <c r="AC723" i="1"/>
  <c r="AC771" i="1"/>
  <c r="AD759" i="1"/>
  <c r="AC750" i="1"/>
  <c r="AC643" i="1"/>
  <c r="AC310" i="1"/>
  <c r="AD475" i="1"/>
  <c r="AD295" i="1"/>
  <c r="AD203" i="1"/>
  <c r="AC519" i="1"/>
  <c r="AD532" i="1"/>
  <c r="AD562" i="1"/>
  <c r="AC208" i="1"/>
  <c r="AD303" i="1"/>
  <c r="AC641" i="1"/>
  <c r="AC708" i="1"/>
  <c r="AD319" i="1"/>
  <c r="AD659" i="1"/>
  <c r="AD592" i="1"/>
  <c r="AD734" i="1"/>
  <c r="AC341" i="1"/>
  <c r="AD663" i="1"/>
  <c r="AC394" i="1"/>
  <c r="AC842" i="1"/>
  <c r="AC36" i="1"/>
  <c r="AC281" i="1"/>
  <c r="AC530" i="1"/>
  <c r="AC721" i="1"/>
  <c r="AC280" i="1"/>
  <c r="AC669" i="1"/>
  <c r="AC231" i="1"/>
  <c r="AC497" i="1"/>
  <c r="AC802" i="1"/>
  <c r="AC492" i="1"/>
  <c r="AD422" i="1"/>
  <c r="AD755" i="1"/>
  <c r="AC649" i="1"/>
  <c r="AD355" i="1"/>
  <c r="AC618" i="1"/>
  <c r="AC487" i="1"/>
  <c r="AD260" i="1"/>
  <c r="AD165" i="1"/>
  <c r="AD400" i="1"/>
  <c r="AC780" i="1"/>
  <c r="AC516" i="1"/>
  <c r="AD438" i="1"/>
  <c r="AD808" i="1"/>
  <c r="AD809" i="1"/>
  <c r="AC299" i="1"/>
  <c r="AC496" i="1"/>
  <c r="AC12" i="1"/>
  <c r="AC434" i="1"/>
  <c r="AD751" i="1"/>
  <c r="AD769" i="1"/>
  <c r="AC738" i="1"/>
  <c r="AD75" i="1"/>
  <c r="AC645" i="1"/>
  <c r="AD278" i="1"/>
  <c r="AC447" i="1"/>
  <c r="AC360" i="1"/>
  <c r="AD788" i="1"/>
  <c r="AC3" i="1"/>
  <c r="AD171" i="1"/>
  <c r="AC402" i="1"/>
  <c r="AC342" i="1"/>
  <c r="AD844" i="1"/>
  <c r="AD622" i="1"/>
  <c r="AC472" i="1"/>
  <c r="AD712" i="1"/>
  <c r="AC582" i="1"/>
  <c r="AD365" i="1"/>
  <c r="AC809" i="1"/>
  <c r="AC431" i="1"/>
  <c r="AD718" i="1"/>
  <c r="AC186" i="1"/>
  <c r="AC121" i="1"/>
  <c r="AC325" i="1"/>
  <c r="AD167" i="1"/>
  <c r="AD222" i="1"/>
  <c r="AC745" i="1"/>
  <c r="AD765" i="1"/>
  <c r="AD158" i="1"/>
  <c r="AD268" i="1"/>
  <c r="AD503" i="1"/>
  <c r="AD44" i="1"/>
  <c r="AC803" i="1"/>
  <c r="AC484" i="1"/>
  <c r="AC683" i="1"/>
  <c r="AD69" i="1"/>
  <c r="AD639" i="1"/>
  <c r="AD332" i="1"/>
  <c r="AD144" i="1"/>
  <c r="AD790" i="1"/>
  <c r="AD481" i="1"/>
  <c r="AD673" i="1"/>
  <c r="AC202" i="1"/>
  <c r="AD146" i="1"/>
  <c r="AC616" i="1"/>
  <c r="AC762" i="1"/>
  <c r="AD679" i="1"/>
  <c r="AD155" i="1"/>
  <c r="AD416" i="1"/>
  <c r="AC768" i="1"/>
  <c r="AC479" i="1"/>
  <c r="AC517" i="1"/>
  <c r="AD423" i="1"/>
  <c r="AD730" i="1"/>
  <c r="AC753" i="1"/>
  <c r="AD207" i="1"/>
  <c r="AC694" i="1"/>
  <c r="AC23" i="1"/>
  <c r="AD657" i="1"/>
  <c r="AD857" i="1"/>
  <c r="AC190" i="1"/>
  <c r="AC25" i="1"/>
  <c r="AD635" i="1"/>
  <c r="AD93" i="1"/>
  <c r="AD267" i="1"/>
  <c r="AC404" i="1"/>
  <c r="AD325" i="1"/>
  <c r="AC722" i="1"/>
  <c r="AD151" i="1"/>
  <c r="AD265" i="1"/>
  <c r="AD778" i="1"/>
  <c r="AC481" i="1"/>
  <c r="AD390" i="1"/>
  <c r="AC269" i="1"/>
  <c r="AD58" i="1"/>
  <c r="AD406" i="1"/>
  <c r="AC228" i="1"/>
  <c r="AC660" i="1"/>
  <c r="AC567" i="1"/>
  <c r="AD807" i="1"/>
  <c r="AD192" i="1"/>
  <c r="AD722" i="1"/>
  <c r="AC734" i="1"/>
  <c r="AC712" i="1"/>
  <c r="AD512" i="1"/>
  <c r="AD840" i="1"/>
  <c r="AD102" i="1"/>
  <c r="AD743" i="1"/>
  <c r="AC518" i="1"/>
  <c r="AC579" i="1"/>
  <c r="AC127" i="1"/>
  <c r="AC442" i="1"/>
  <c r="AC405" i="1"/>
  <c r="AC290" i="1"/>
  <c r="AD800" i="1"/>
  <c r="AC154" i="1"/>
  <c r="AD846" i="1"/>
  <c r="AD454" i="1"/>
  <c r="AD310" i="1"/>
  <c r="AC731" i="1"/>
  <c r="AC291" i="1"/>
  <c r="AC197" i="1"/>
  <c r="AC99" i="1"/>
  <c r="AD534" i="1"/>
  <c r="AD366" i="1"/>
  <c r="AC77" i="1"/>
  <c r="AD461" i="1"/>
  <c r="AC256" i="1"/>
  <c r="AD187" i="1"/>
  <c r="AD29" i="1"/>
  <c r="AC151" i="1"/>
  <c r="AC432" i="1"/>
  <c r="AC321" i="1"/>
  <c r="AC759" i="1"/>
  <c r="AD603" i="1"/>
  <c r="AC711" i="1"/>
  <c r="AD59" i="1"/>
  <c r="AD524" i="1"/>
  <c r="AD504" i="1"/>
  <c r="AC140" i="1"/>
  <c r="AD491" i="1"/>
  <c r="AC765" i="1"/>
  <c r="AC319" i="1"/>
  <c r="AD339" i="1"/>
  <c r="AC451" i="1"/>
  <c r="AD233" i="1"/>
  <c r="AC10" i="1"/>
  <c r="AD618" i="1"/>
  <c r="AC555" i="1"/>
  <c r="AC558" i="1"/>
  <c r="AC75" i="1"/>
  <c r="AC577" i="1"/>
  <c r="AD269" i="1"/>
  <c r="AD822" i="1"/>
  <c r="AD540" i="1"/>
  <c r="AC139" i="1"/>
  <c r="AC422" i="1"/>
  <c r="AD482" i="1"/>
  <c r="AD90" i="1"/>
  <c r="AC454" i="1"/>
  <c r="AD153" i="1"/>
  <c r="AC163" i="1"/>
  <c r="AD813" i="1"/>
  <c r="AC389" i="1"/>
  <c r="AC129" i="1"/>
  <c r="AC302" i="1"/>
  <c r="AD307" i="1"/>
  <c r="AC793" i="1"/>
  <c r="AD328" i="1"/>
  <c r="AC414" i="1"/>
  <c r="AC327" i="1"/>
  <c r="AC425" i="1"/>
  <c r="AC382" i="1"/>
  <c r="AC677" i="1"/>
  <c r="AD694" i="1"/>
  <c r="AC330" i="1"/>
  <c r="AC262" i="1"/>
  <c r="AC725" i="1"/>
  <c r="AC177" i="1"/>
  <c r="AC90" i="1"/>
  <c r="AC42" i="1"/>
  <c r="AD262" i="1"/>
  <c r="AD831" i="1"/>
  <c r="AC813" i="1"/>
  <c r="AD82" i="1"/>
  <c r="AC412" i="1"/>
  <c r="AD706" i="1"/>
  <c r="AD789" i="1"/>
  <c r="AD147" i="1"/>
  <c r="AC182" i="1"/>
  <c r="AC824" i="1"/>
  <c r="AC71" i="1"/>
  <c r="AC815" i="1"/>
  <c r="AC83" i="1"/>
  <c r="AC144" i="1"/>
  <c r="AC777" i="1"/>
  <c r="AD292" i="1"/>
  <c r="AC548" i="1"/>
  <c r="AD551" i="1"/>
  <c r="AD324" i="1"/>
  <c r="AC216" i="1"/>
  <c r="AD38" i="1"/>
  <c r="AD530" i="1"/>
  <c r="AC21" i="1"/>
  <c r="AD178" i="1"/>
  <c r="AC844" i="1"/>
  <c r="AD689" i="1"/>
  <c r="AC168" i="1"/>
  <c r="AD698" i="1"/>
  <c r="AC383" i="1"/>
  <c r="AC569" i="1"/>
  <c r="AD418" i="1"/>
  <c r="AD735" i="1"/>
  <c r="AC664" i="1"/>
  <c r="AC612" i="1"/>
  <c r="AC726" i="1"/>
  <c r="AC44" i="1"/>
  <c r="AC642" i="1"/>
  <c r="AC520" i="1"/>
  <c r="AC355" i="1"/>
  <c r="AC729" i="1"/>
  <c r="AD558" i="1"/>
  <c r="AC400" i="1"/>
  <c r="AC702" i="1"/>
  <c r="AD473" i="1"/>
  <c r="AC364" i="1"/>
  <c r="AD667" i="1"/>
  <c r="AD556" i="1"/>
  <c r="AC838" i="1"/>
  <c r="AD263" i="1"/>
  <c r="AD191" i="1"/>
  <c r="AC655" i="1"/>
  <c r="AD5" i="1"/>
  <c r="AD588" i="1"/>
  <c r="AC509" i="1"/>
  <c r="AC69" i="1"/>
  <c r="AC331" i="1"/>
  <c r="AC417" i="1"/>
  <c r="AD271" i="1"/>
  <c r="AC365" i="1"/>
  <c r="AC804" i="1"/>
  <c r="AC473" i="1"/>
  <c r="AC429" i="1"/>
  <c r="AD510" i="1"/>
  <c r="AD642" i="1"/>
  <c r="AC526" i="1"/>
  <c r="AC836" i="1"/>
  <c r="AD674" i="1"/>
  <c r="AD357" i="1"/>
  <c r="AC199" i="1"/>
  <c r="AC524" i="1"/>
  <c r="AD110" i="1"/>
  <c r="AD472" i="1"/>
  <c r="AC88" i="1"/>
  <c r="AC717" i="1"/>
  <c r="AC818" i="1"/>
  <c r="AD546" i="1"/>
  <c r="AD559" i="1"/>
  <c r="AD362" i="1"/>
  <c r="AC55" i="1"/>
  <c r="AD330" i="1"/>
  <c r="AD255" i="1"/>
  <c r="AC108" i="1"/>
  <c r="AD753" i="1"/>
  <c r="AC160" i="1"/>
  <c r="AC706" i="1"/>
  <c r="AD301" i="1"/>
  <c r="AC180" i="1"/>
  <c r="AC11" i="1"/>
  <c r="AC48" i="1"/>
  <c r="AD691" i="1"/>
  <c r="AD17" i="1"/>
  <c r="AC807" i="1"/>
  <c r="AC194" i="1"/>
  <c r="AD566" i="1"/>
  <c r="AD686" i="1"/>
  <c r="AD583" i="1"/>
  <c r="AC626" i="1"/>
  <c r="AD636" i="1"/>
  <c r="AC593" i="1"/>
  <c r="AC49" i="1"/>
  <c r="AD537" i="1"/>
  <c r="AD117" i="1"/>
  <c r="AC305" i="1"/>
  <c r="AD394" i="1"/>
  <c r="AC603" i="1"/>
  <c r="AD470" i="1"/>
  <c r="AD713" i="1"/>
  <c r="AD199" i="1"/>
  <c r="AC685" i="1"/>
  <c r="AC576" i="1"/>
  <c r="AD823" i="1"/>
  <c r="AD349" i="1"/>
  <c r="AD787" i="1"/>
  <c r="AC654" i="1"/>
  <c r="AC118" i="1"/>
  <c r="AC246" i="1"/>
  <c r="AD650" i="1"/>
  <c r="AC458" i="1"/>
  <c r="AC169" i="1"/>
  <c r="AD60" i="1"/>
  <c r="AD728" i="1"/>
  <c r="AD291" i="1"/>
  <c r="AD748" i="1"/>
  <c r="AC634" i="1"/>
  <c r="AC515" i="1"/>
  <c r="AC41" i="1"/>
  <c r="AD600" i="1"/>
  <c r="AC536" i="1"/>
  <c r="AC274" i="1"/>
  <c r="AC33" i="1"/>
  <c r="AD161" i="1"/>
  <c r="AC376" i="1"/>
  <c r="AC423" i="1"/>
  <c r="AC808" i="1"/>
  <c r="AD786" i="1"/>
  <c r="AD528" i="1"/>
  <c r="AC761" i="1"/>
  <c r="AC461" i="1"/>
  <c r="AD784" i="1"/>
  <c r="AD88" i="1"/>
  <c r="AC314" i="1"/>
  <c r="AC124" i="1"/>
  <c r="AC59" i="1"/>
  <c r="AC821" i="1"/>
  <c r="AD154" i="1"/>
  <c r="AD565" i="1"/>
  <c r="AD197" i="1"/>
  <c r="AD645" i="1"/>
  <c r="AC856" i="1"/>
  <c r="AC605" i="1"/>
  <c r="AC226" i="1"/>
  <c r="AD118" i="1"/>
  <c r="AD160" i="1"/>
  <c r="AD201" i="1"/>
  <c r="AC123" i="1"/>
  <c r="AD708" i="1"/>
  <c r="AD539" i="1"/>
  <c r="AC326" i="1"/>
  <c r="AD737" i="1"/>
  <c r="AC259" i="1"/>
  <c r="AD719" i="1"/>
  <c r="AD34" i="1"/>
  <c r="AC167" i="1"/>
  <c r="AD577" i="1"/>
  <c r="AD308" i="1"/>
  <c r="AD685" i="1"/>
  <c r="AC428" i="1"/>
  <c r="AC637" i="1"/>
  <c r="AC347" i="1"/>
  <c r="AD842" i="1"/>
  <c r="AD228" i="1"/>
  <c r="AD10" i="1"/>
  <c r="AC680" i="1"/>
  <c r="AD614" i="1"/>
  <c r="AC181" i="1"/>
  <c r="AD675" i="1"/>
  <c r="AD173" i="1"/>
  <c r="AC748" i="1"/>
  <c r="AC80" i="1"/>
  <c r="AC810" i="1"/>
  <c r="AD670" i="1"/>
  <c r="AC363" i="1"/>
  <c r="AD113" i="1"/>
  <c r="AC462" i="1"/>
  <c r="AD231" i="1"/>
  <c r="AD250" i="1"/>
  <c r="AC571" i="1"/>
  <c r="AC790" i="1"/>
  <c r="AD582" i="1"/>
  <c r="AC398" i="1"/>
  <c r="AC564" i="1"/>
  <c r="AD305" i="1"/>
  <c r="AD71" i="1"/>
  <c r="AD340" i="1"/>
  <c r="AC277" i="1"/>
  <c r="AD596" i="1"/>
  <c r="AD246" i="1"/>
  <c r="AC805" i="1"/>
  <c r="AC767" i="1"/>
  <c r="AC264" i="1"/>
  <c r="AD736" i="1"/>
  <c r="AD426" i="1"/>
  <c r="AC835" i="1"/>
  <c r="AC172" i="1"/>
  <c r="AC592" i="1"/>
  <c r="AD580" i="1"/>
  <c r="AD70" i="1"/>
  <c r="AC565" i="1"/>
  <c r="AD795" i="1"/>
  <c r="AC257" i="1"/>
  <c r="AD47" i="1"/>
  <c r="AD115" i="1"/>
  <c r="AD827" i="1"/>
  <c r="AC477" i="1"/>
  <c r="AD205" i="1"/>
  <c r="AC537" i="1"/>
  <c r="AD505" i="1"/>
  <c r="AC697" i="1"/>
  <c r="AD761" i="1"/>
  <c r="AD773" i="1"/>
  <c r="AC89" i="1"/>
  <c r="AC240" i="1"/>
  <c r="AD327" i="1"/>
  <c r="AD61" i="1"/>
  <c r="AC46" i="1"/>
  <c r="AC811" i="1"/>
  <c r="AC455" i="1"/>
  <c r="AC511" i="1"/>
  <c r="AC779" i="1"/>
  <c r="AC699" i="1"/>
  <c r="AD575" i="1"/>
  <c r="AC611" i="1"/>
  <c r="AC464" i="1"/>
  <c r="AD337" i="1"/>
  <c r="AC357" i="1"/>
  <c r="AC746" i="1"/>
  <c r="AC498" i="1"/>
  <c r="AD578" i="1"/>
  <c r="AC286" i="1"/>
  <c r="AD733" i="1"/>
  <c r="AC573" i="1"/>
  <c r="AC396" i="1"/>
  <c r="AC211" i="1"/>
  <c r="AD420" i="1"/>
  <c r="AD441" i="1"/>
  <c r="AC176" i="1"/>
  <c r="AC521" i="1"/>
  <c r="AC368" i="1"/>
  <c r="AD442" i="1"/>
  <c r="AC505" i="1"/>
  <c r="AC476" i="1"/>
  <c r="AC399" i="1"/>
  <c r="AD370" i="1"/>
  <c r="AC137" i="1"/>
  <c r="AD83" i="1"/>
  <c r="AD371" i="1"/>
  <c r="AD695" i="1"/>
  <c r="AD655" i="1"/>
  <c r="AC352" i="1"/>
  <c r="AD169" i="1"/>
  <c r="AD221" i="1"/>
  <c r="AD738" i="1"/>
  <c r="AD517" i="1"/>
  <c r="AD841" i="1"/>
  <c r="AD697" i="1"/>
  <c r="AC638" i="1"/>
  <c r="AC150" i="1"/>
  <c r="AD258" i="1"/>
  <c r="AC552" i="1"/>
  <c r="AC248" i="1"/>
  <c r="AD474" i="1"/>
  <c r="AD576" i="1"/>
  <c r="AD116" i="1"/>
  <c r="AD19" i="1"/>
  <c r="AC204" i="1"/>
  <c r="AC644" i="1"/>
  <c r="AC354" i="1"/>
  <c r="AD480" i="1"/>
  <c r="AC532" i="1"/>
  <c r="AC213" i="1"/>
  <c r="AD502" i="1"/>
  <c r="AC27" i="1"/>
  <c r="AD350" i="1"/>
  <c r="AD716" i="1"/>
  <c r="AD106" i="1"/>
  <c r="AD397" i="1"/>
  <c r="AC102" i="1"/>
  <c r="AC728" i="1"/>
  <c r="AC373" i="1"/>
  <c r="AD67" i="1"/>
  <c r="AD135" i="1"/>
  <c r="AC142" i="1"/>
  <c r="AC147" i="1"/>
  <c r="AD554" i="1"/>
  <c r="AD275" i="1"/>
  <c r="AC545" i="1"/>
  <c r="AD298" i="1"/>
  <c r="AD215" i="1"/>
  <c r="AD605" i="1"/>
  <c r="AD227" i="1"/>
  <c r="AD446" i="1"/>
  <c r="AC503" i="1"/>
  <c r="AC192" i="1"/>
  <c r="AD515" i="1"/>
  <c r="AC287" i="1"/>
  <c r="AD28" i="1"/>
  <c r="AC206" i="1"/>
  <c r="AC65" i="1"/>
  <c r="AD248" i="1"/>
  <c r="AC785" i="1"/>
  <c r="AD214" i="1"/>
  <c r="AC704" i="1"/>
  <c r="AC474" i="1"/>
  <c r="AD616" i="1"/>
  <c r="AD354" i="1"/>
  <c r="AD382" i="1"/>
  <c r="AC568" i="1"/>
  <c r="AD732" i="1"/>
  <c r="AC424" i="1"/>
  <c r="AC795" i="1"/>
  <c r="AD182" i="1"/>
  <c r="AD111" i="1"/>
  <c r="AC215" i="1"/>
  <c r="AD145" i="1"/>
  <c r="AD342" i="1"/>
  <c r="AD723" i="1"/>
  <c r="AD140" i="1"/>
  <c r="AD452" i="1"/>
  <c r="AC24" i="1"/>
  <c r="AD206" i="1"/>
  <c r="AC61" i="1"/>
  <c r="AD336" i="1"/>
  <c r="AC28" i="1"/>
  <c r="AD230" i="1"/>
  <c r="AD347" i="1"/>
  <c r="AD194" i="1"/>
  <c r="AD133" i="1"/>
  <c r="AC624" i="1"/>
  <c r="AC381" i="1"/>
  <c r="AC450" i="1"/>
  <c r="AD610" i="1"/>
  <c r="AD14" i="1"/>
  <c r="AD654" i="1"/>
  <c r="AD496" i="1"/>
  <c r="AC307" i="1"/>
  <c r="AD567" i="1"/>
  <c r="AD149" i="1"/>
  <c r="AC456" i="1"/>
  <c r="AC528" i="1"/>
  <c r="AD428" i="1"/>
  <c r="AC222" i="1"/>
  <c r="AD464" i="1"/>
  <c r="AC255" i="1"/>
  <c r="AD439" i="1"/>
  <c r="AC91" i="1"/>
  <c r="AC610" i="1"/>
  <c r="AD721" i="1"/>
  <c r="AC578" i="1"/>
  <c r="AD104" i="1"/>
  <c r="AC159" i="1"/>
  <c r="AD142" i="1"/>
  <c r="AD281" i="1"/>
  <c r="AD637" i="1"/>
  <c r="AD92" i="1"/>
  <c r="AC153" i="1"/>
  <c r="AC217" i="1"/>
  <c r="AC303" i="1"/>
  <c r="AD407" i="1"/>
  <c r="AD520" i="1"/>
  <c r="AD443" i="1"/>
  <c r="AC323" i="1"/>
  <c r="AD555" i="1"/>
  <c r="AC735" i="1"/>
  <c r="AD229" i="1"/>
  <c r="AD124" i="1"/>
  <c r="AD121" i="1"/>
  <c r="AD680" i="1"/>
  <c r="AD345" i="1"/>
  <c r="AC14" i="1"/>
  <c r="AD821" i="1"/>
  <c r="AC235" i="1"/>
  <c r="AD715" i="1"/>
  <c r="AD24" i="1"/>
  <c r="AC585" i="1"/>
  <c r="AC684" i="1"/>
  <c r="AC16" i="1"/>
  <c r="AD159" i="1"/>
  <c r="AD166" i="1"/>
  <c r="AD273" i="1"/>
  <c r="AD279" i="1"/>
  <c r="AC335" i="1"/>
  <c r="AD579" i="1"/>
  <c r="AC13" i="1"/>
  <c r="AD91" i="1"/>
  <c r="AD776" i="1"/>
  <c r="AD402" i="1"/>
  <c r="AD30" i="1"/>
  <c r="AD421" i="1"/>
  <c r="AC797" i="1"/>
  <c r="AD455" i="1"/>
  <c r="AD54" i="1"/>
  <c r="AD251" i="1"/>
  <c r="AC709" i="1"/>
  <c r="AC833" i="1"/>
  <c r="AC599" i="1"/>
  <c r="AC251" i="1"/>
  <c r="AD46" i="1"/>
  <c r="AC40" i="1"/>
  <c r="AD806" i="1"/>
  <c r="AC763" i="1"/>
  <c r="AD318" i="1"/>
  <c r="AD780" i="1"/>
  <c r="AC436" i="1"/>
  <c r="AC806" i="1"/>
  <c r="AC100" i="1"/>
  <c r="AD574" i="1"/>
  <c r="AC533" i="1"/>
  <c r="AD487" i="1"/>
  <c r="AD218" i="1"/>
  <c r="AD750" i="1"/>
  <c r="AD511" i="1"/>
  <c r="AD35" i="1"/>
  <c r="AD632" i="1"/>
  <c r="AC278" i="1"/>
  <c r="AD669" i="1"/>
  <c r="AD501" i="1"/>
  <c r="AD170" i="1"/>
  <c r="AC692" i="1"/>
  <c r="AD239" i="1"/>
  <c r="AD802" i="1"/>
  <c r="AD599" i="1"/>
  <c r="AD381" i="1"/>
  <c r="AD399" i="1"/>
  <c r="AC490" i="1"/>
  <c r="AC829" i="1"/>
  <c r="AC488" i="1"/>
  <c r="AD519" i="1"/>
  <c r="AC294" i="1"/>
  <c r="AD460" i="1"/>
  <c r="AC178" i="1"/>
  <c r="AD114" i="1"/>
  <c r="AC663" i="1"/>
  <c r="AD31" i="1"/>
  <c r="AD476" i="1"/>
  <c r="AC275" i="1"/>
  <c r="AC401" i="1"/>
  <c r="AD198" i="1"/>
  <c r="AD277" i="1"/>
  <c r="AD290" i="1"/>
  <c r="AD108" i="1"/>
  <c r="AC230" i="1"/>
  <c r="AD208" i="1"/>
  <c r="AD62" i="1"/>
  <c r="AC403" i="1"/>
  <c r="AD683" i="1"/>
  <c r="AC438" i="1"/>
  <c r="AD126" i="1"/>
  <c r="AC223" i="1"/>
  <c r="AC501" i="1"/>
  <c r="AD830" i="1"/>
  <c r="AD851" i="1"/>
  <c r="AC855" i="1"/>
  <c r="AC66" i="1"/>
  <c r="AD796" i="1"/>
  <c r="AD672" i="1"/>
  <c r="AC37" i="1"/>
  <c r="AC54" i="1"/>
  <c r="AD699" i="1"/>
  <c r="AD189" i="1"/>
  <c r="AC715" i="1"/>
  <c r="AC854" i="1"/>
  <c r="AD389" i="1"/>
  <c r="AC541" i="1"/>
  <c r="AC135" i="1"/>
  <c r="AC796" i="1"/>
  <c r="AC67" i="1"/>
  <c r="AD478" i="1"/>
  <c r="AC681" i="1"/>
  <c r="AC597" i="1"/>
  <c r="AD329" i="1"/>
  <c r="AD287" i="1"/>
  <c r="AC853" i="1"/>
  <c r="AC648" i="1"/>
  <c r="AD65" i="1"/>
  <c r="AC419" i="1"/>
  <c r="AC775" i="1"/>
  <c r="AC96" i="1"/>
  <c r="AC861" i="1"/>
  <c r="AD485" i="1"/>
  <c r="AD516" i="1"/>
  <c r="AD627" i="1"/>
  <c r="AC507" i="1"/>
  <c r="AD849" i="1"/>
  <c r="AD656" i="1"/>
  <c r="AC580" i="1"/>
  <c r="AC218" i="1"/>
  <c r="AD832" i="1"/>
  <c r="AC292" i="1"/>
  <c r="AD74" i="1"/>
  <c r="AD174" i="1"/>
  <c r="AD498" i="1"/>
  <c r="AD156" i="1"/>
  <c r="AC359" i="1"/>
  <c r="AC493" i="1"/>
  <c r="AD188" i="1"/>
  <c r="AD193" i="1"/>
  <c r="AD413" i="1"/>
  <c r="AD856" i="1"/>
  <c r="AC195" i="1"/>
  <c r="AD569" i="1"/>
  <c r="AD824" i="1"/>
  <c r="AC362" i="1"/>
  <c r="AD693" i="1"/>
  <c r="AC831" i="1"/>
  <c r="AD495" i="1"/>
  <c r="AC98" i="1"/>
  <c r="AC92" i="1"/>
  <c r="AC687" i="1"/>
  <c r="AD9" i="1"/>
  <c r="AD633" i="1"/>
  <c r="AD368" i="1"/>
  <c r="AC446" i="1"/>
  <c r="AD692" i="1"/>
  <c r="AD701" i="1"/>
  <c r="AD557" i="1"/>
  <c r="AD702" i="1"/>
  <c r="AD668" i="1"/>
  <c r="AD259" i="1"/>
  <c r="AD387" i="1"/>
  <c r="AD168" i="1"/>
  <c r="AD138" i="1"/>
  <c r="AD42" i="1"/>
  <c r="AC117" i="1"/>
  <c r="AD23" i="1"/>
  <c r="AD270" i="1"/>
  <c r="AD360" i="1"/>
  <c r="AD99" i="1"/>
  <c r="AC295" i="1"/>
  <c r="AC268" i="1"/>
  <c r="AC460" i="1"/>
  <c r="AD526" i="1"/>
  <c r="AC668" i="1"/>
  <c r="AD283" i="1"/>
  <c r="AC754" i="1"/>
  <c r="AD768" i="1"/>
  <c r="AD829" i="1"/>
  <c r="AD607" i="1"/>
  <c r="AD302" i="1"/>
  <c r="AD638" i="1"/>
  <c r="AC87" i="1"/>
  <c r="AD183" i="1"/>
  <c r="AD457" i="1"/>
  <c r="AD775" i="1"/>
  <c r="AC346" i="1"/>
  <c r="AD458" i="1"/>
  <c r="AD395" i="1"/>
  <c r="AD234" i="1"/>
  <c r="AD299" i="1"/>
  <c r="AC614" i="1"/>
  <c r="AC312" i="1"/>
  <c r="AD282" i="1"/>
  <c r="AC35" i="1"/>
  <c r="AD89" i="1"/>
  <c r="AD87" i="1"/>
  <c r="AC193" i="1"/>
  <c r="AC166" i="1"/>
  <c r="AC29" i="1"/>
  <c r="AD316" i="1"/>
  <c r="AD254" i="1"/>
  <c r="AD323" i="1"/>
  <c r="AC730" i="1"/>
  <c r="AD177" i="1"/>
  <c r="AC370" i="1"/>
  <c r="AD855" i="1"/>
  <c r="AD331" i="1"/>
  <c r="AI861" i="1"/>
  <c r="AC862" i="1"/>
  <c r="AD217" i="1"/>
  <c r="AD240" i="1"/>
  <c r="AC68" i="1"/>
  <c r="AC736" i="1"/>
  <c r="AD72" i="1"/>
  <c r="AC784" i="1"/>
  <c r="AC848" i="1"/>
  <c r="AD184" i="1"/>
  <c r="AD571" i="1"/>
  <c r="AD717" i="1"/>
  <c r="AC570" i="1"/>
  <c r="AD312" i="1"/>
  <c r="AC602" i="1"/>
  <c r="AD547" i="1"/>
  <c r="AD624" i="1"/>
  <c r="AC238" i="1"/>
  <c r="AD450" i="1"/>
  <c r="AD848" i="1"/>
  <c r="AC371" i="1"/>
  <c r="AD688" i="1"/>
  <c r="AC232" i="1"/>
  <c r="AC120" i="1"/>
  <c r="AD727" i="1"/>
  <c r="AD280" i="1"/>
  <c r="AC701" i="1"/>
  <c r="AD326" i="1"/>
  <c r="AC581" i="1"/>
  <c r="AD50" i="1"/>
  <c r="AC332" i="1"/>
  <c r="AC452" i="1"/>
  <c r="AC635" i="1"/>
  <c r="AD451" i="1"/>
  <c r="AC857" i="1"/>
  <c r="AD335" i="1"/>
  <c r="AD836" i="1"/>
  <c r="AC301" i="1"/>
  <c r="AD626" i="1"/>
  <c r="AC468" i="1"/>
  <c r="AC778" i="1"/>
  <c r="AC378" i="1"/>
  <c r="AC367" i="1"/>
  <c r="AC297" i="1"/>
  <c r="AC486" i="1"/>
  <c r="AD285" i="1"/>
  <c r="AD219" i="1"/>
  <c r="AC514" i="1"/>
  <c r="AD383" i="1"/>
  <c r="AC351" i="1"/>
  <c r="AC837" i="1"/>
  <c r="AD216" i="1"/>
  <c r="AD767" i="1"/>
  <c r="AD286" i="1"/>
  <c r="AC57" i="1"/>
  <c r="AD52" i="1"/>
  <c r="AC253" i="1"/>
  <c r="AC587" i="1"/>
  <c r="AD444" i="1"/>
  <c r="AD419" i="1"/>
  <c r="AD367" i="1"/>
  <c r="AD361" i="1"/>
  <c r="AC338" i="1"/>
  <c r="AD257" i="1"/>
  <c r="AD810" i="1"/>
  <c r="AC62" i="1"/>
  <c r="AD507" i="1"/>
  <c r="AC733" i="1"/>
  <c r="AD264" i="1"/>
  <c r="AD726" i="1"/>
  <c r="AD499" i="1"/>
  <c r="AD401" i="1"/>
  <c r="AC337" i="1"/>
  <c r="AC586" i="1"/>
  <c r="AC198" i="1"/>
  <c r="AC133" i="1"/>
  <c r="AC650" i="1"/>
  <c r="AD664" i="1"/>
  <c r="AD490" i="1"/>
  <c r="AC270" i="1"/>
  <c r="AD119" i="1"/>
  <c r="AD704" i="1"/>
  <c r="AD711" i="1"/>
  <c r="AD209" i="1"/>
  <c r="AD619" i="1"/>
  <c r="AD341" i="1"/>
  <c r="AC633" i="1"/>
  <c r="AC387" i="1"/>
  <c r="AD581" i="1"/>
  <c r="AD7" i="1"/>
  <c r="AD36" i="1"/>
  <c r="AC263" i="1"/>
  <c r="AD465" i="1"/>
  <c r="AD373" i="1"/>
  <c r="AC39" i="1"/>
  <c r="AD725" i="1"/>
  <c r="AD644" i="1"/>
  <c r="AD224" i="1"/>
  <c r="AC622" i="1"/>
  <c r="AC491" i="1"/>
  <c r="AD853" i="1"/>
  <c r="AC131" i="1"/>
  <c r="AG862" i="1"/>
  <c r="AI862" i="1"/>
  <c r="A865" i="1"/>
  <c r="AC146" i="1"/>
  <c r="AC850" i="1"/>
  <c r="AC823" i="1"/>
  <c r="AD729" i="1"/>
  <c r="AC415" i="1"/>
  <c r="AC385" i="1"/>
  <c r="AC849" i="1"/>
  <c r="AD48" i="1"/>
  <c r="AC832" i="1"/>
  <c r="AC627" i="1"/>
  <c r="AC343" i="1"/>
  <c r="AD467" i="1"/>
  <c r="AC350" i="1"/>
  <c r="AD854" i="1"/>
  <c r="AD760" i="1"/>
  <c r="AD437" i="1"/>
  <c r="AC17" i="1"/>
  <c r="AD321" i="1"/>
  <c r="AC189" i="1"/>
  <c r="AC769" i="1"/>
  <c r="AD666" i="1"/>
  <c r="AC480" i="1"/>
  <c r="AC304" i="1"/>
  <c r="AD63" i="1"/>
  <c r="AD66" i="1"/>
  <c r="AC666" i="1"/>
  <c r="AD434" i="1"/>
  <c r="AC859" i="1"/>
  <c r="AD585" i="1"/>
  <c r="AC755" i="1"/>
  <c r="AC591" i="1"/>
  <c r="AD376" i="1"/>
  <c r="AC562" i="1"/>
  <c r="AD41" i="1"/>
  <c r="AD589" i="1"/>
  <c r="AC589" i="1"/>
  <c r="AD237" i="1"/>
  <c r="AC700" i="1"/>
  <c r="AD456" i="1"/>
  <c r="AD343" i="1"/>
  <c r="AD757" i="1"/>
  <c r="AC79" i="1"/>
  <c r="AD548" i="1"/>
  <c r="AC239" i="1"/>
  <c r="AD300" i="1"/>
  <c r="AD11" i="1"/>
  <c r="AD388" i="1"/>
  <c r="AC561" i="1"/>
  <c r="AC93" i="1"/>
  <c r="AC420" i="1"/>
  <c r="AD333" i="1"/>
  <c r="AD256" i="1"/>
  <c r="AC523" i="1"/>
  <c r="AD127" i="1"/>
  <c r="AC115" i="1"/>
  <c r="AC283" i="1"/>
  <c r="AD514" i="1"/>
  <c r="AD232" i="1"/>
  <c r="AC9" i="1"/>
  <c r="AC260" i="1"/>
  <c r="AC408" i="1"/>
  <c r="AD681" i="1"/>
  <c r="AD747" i="1"/>
  <c r="AC353" i="1"/>
  <c r="AC846" i="1"/>
  <c r="AC651" i="1"/>
  <c r="AD449" i="1"/>
  <c r="AC170" i="1"/>
  <c r="AC742" i="1"/>
  <c r="AC282" i="1"/>
  <c r="AC116" i="1"/>
  <c r="AD488" i="1"/>
  <c r="AC348" i="1"/>
  <c r="AC444" i="1"/>
  <c r="AD131" i="1"/>
  <c r="AC534" i="1"/>
  <c r="AD186" i="1"/>
  <c r="AC540" i="1"/>
  <c r="AC791" i="1"/>
  <c r="AD573" i="1"/>
  <c r="AD595" i="1"/>
  <c r="AC510" i="1"/>
  <c r="AC145" i="1"/>
  <c r="AD838" i="1"/>
  <c r="AD414" i="1"/>
  <c r="AD162" i="1"/>
  <c r="AC674" i="1"/>
  <c r="AC421" i="1"/>
  <c r="AC830" i="1"/>
  <c r="AD518" i="1"/>
  <c r="AC504" i="1"/>
  <c r="AD96" i="1"/>
  <c r="AD411" i="1"/>
  <c r="AC851" i="1"/>
  <c r="AD678" i="1"/>
  <c r="AD861" i="1"/>
  <c r="AG863" i="1"/>
  <c r="AC336" i="1"/>
  <c r="AD410" i="1"/>
  <c r="AC600" i="1"/>
  <c r="AC457" i="1"/>
  <c r="AC443" i="1"/>
  <c r="AD123" i="1"/>
  <c r="AC556" i="1"/>
  <c r="AD852" i="1"/>
  <c r="AC686" i="1"/>
  <c r="AD700" i="1"/>
  <c r="AD860" i="1"/>
  <c r="AC628" i="1"/>
  <c r="AC608" i="1"/>
  <c r="AC630" i="1"/>
  <c r="AD818" i="1"/>
  <c r="AD244" i="1"/>
  <c r="AC718" i="1"/>
  <c r="AD593" i="1"/>
  <c r="AC852" i="1"/>
  <c r="AD351" i="1"/>
  <c r="AC860" i="1"/>
  <c r="AC209" i="1"/>
  <c r="AD815" i="1"/>
  <c r="AD15" i="1"/>
  <c r="AC318" i="1"/>
  <c r="AC407" i="1"/>
  <c r="AD612" i="1"/>
  <c r="AC397" i="1"/>
  <c r="AD202" i="1"/>
  <c r="AC279" i="1"/>
  <c r="AD346" i="1"/>
  <c r="AC737" i="1"/>
  <c r="AC377" i="1"/>
  <c r="AC675" i="1"/>
  <c r="AC250" i="1"/>
  <c r="AD348" i="1"/>
  <c r="AC104" i="1"/>
  <c r="AD98" i="1"/>
  <c r="AD468" i="1"/>
  <c r="AD176" i="1"/>
  <c r="AC237" i="1"/>
  <c r="AD550" i="1"/>
  <c r="AC149" i="1"/>
  <c r="AD425" i="1"/>
  <c r="AC47" i="1"/>
  <c r="AC95" i="1"/>
  <c r="AD783" i="1"/>
  <c r="AC229" i="1"/>
  <c r="AD742" i="1"/>
  <c r="AC658" i="1"/>
  <c r="AD68" i="1"/>
  <c r="AC698" i="1"/>
  <c r="AC679" i="1"/>
  <c r="AD799" i="1"/>
  <c r="AC662" i="1"/>
  <c r="AD85" i="1"/>
  <c r="AD591" i="1"/>
  <c r="AD771" i="1"/>
  <c r="AC672" i="1"/>
  <c r="AC201" i="1"/>
  <c r="AD13" i="1"/>
  <c r="AC156" i="1"/>
  <c r="AD608" i="1"/>
  <c r="AC111" i="1"/>
  <c r="AD660" i="1"/>
  <c r="AD552" i="1"/>
  <c r="AD364" i="1"/>
  <c r="AC50" i="1"/>
  <c r="AC595" i="1"/>
  <c r="AC339" i="1"/>
  <c r="AD545" i="1"/>
  <c r="AC822" i="1"/>
  <c r="AD21" i="1"/>
  <c r="AD805" i="1"/>
  <c r="AD462" i="1"/>
  <c r="AC7" i="1"/>
  <c r="AD304" i="1"/>
  <c r="AC191" i="1"/>
  <c r="AC776" i="1"/>
  <c r="AD57" i="1"/>
  <c r="AC316" i="1"/>
  <c r="AC173" i="1"/>
  <c r="AC72" i="1"/>
  <c r="AD27" i="1"/>
  <c r="AD139" i="1"/>
  <c r="AD586" i="1"/>
  <c r="AD486" i="1"/>
  <c r="AC547" i="1"/>
  <c r="AC187" i="1"/>
  <c r="AD190" i="1"/>
  <c r="AC393" i="1"/>
  <c r="AD828" i="1"/>
  <c r="AD377" i="1"/>
  <c r="AD398" i="1"/>
  <c r="AD658" i="1"/>
  <c r="AC470" i="1"/>
  <c r="AC298" i="1"/>
  <c r="AC110" i="1"/>
  <c r="AD850" i="1"/>
  <c r="AD803" i="1"/>
  <c r="AC566" i="1"/>
  <c r="AC863" i="1"/>
  <c r="C2" i="2"/>
  <c r="AD862" i="1"/>
  <c r="N2" i="2"/>
  <c r="AI852" i="1"/>
  <c r="AD863" i="1"/>
  <c r="A866" i="1"/>
  <c r="AI853" i="1"/>
  <c r="A867" i="1"/>
  <c r="A868" i="1" s="1"/>
  <c r="AI863" i="1"/>
  <c r="J3" i="11" l="1"/>
  <c r="K3" i="11" s="1"/>
  <c r="L3" i="11" s="1"/>
  <c r="M3" i="11" s="1"/>
  <c r="O2" i="2"/>
  <c r="P2" i="2" s="1"/>
  <c r="Q2" i="2" s="1"/>
  <c r="AJ865" i="1"/>
  <c r="AJ867" i="1"/>
  <c r="AJ866" i="1"/>
  <c r="AJ868" i="1"/>
  <c r="AI854" i="1"/>
  <c r="A869" i="1"/>
  <c r="A870" i="1"/>
  <c r="AJ870" i="1" l="1"/>
  <c r="AJ869" i="1"/>
  <c r="AI855" i="1"/>
  <c r="A871" i="1"/>
  <c r="AJ871" i="1" l="1"/>
  <c r="A872" i="1"/>
  <c r="AI856" i="1"/>
  <c r="AI857" i="1"/>
  <c r="A873" i="1"/>
  <c r="AJ873" i="1" l="1"/>
  <c r="AJ872" i="1"/>
  <c r="D90" i="2"/>
  <c r="D82" i="2"/>
  <c r="D87" i="2"/>
  <c r="D76" i="2"/>
  <c r="D93" i="2"/>
  <c r="D77" i="2"/>
  <c r="D81" i="2"/>
  <c r="D91" i="2"/>
  <c r="D84" i="2"/>
  <c r="D92" i="2"/>
  <c r="D88" i="2"/>
  <c r="D78" i="2"/>
  <c r="D89" i="2"/>
  <c r="D86" i="2"/>
  <c r="D85" i="2"/>
  <c r="D83" i="2"/>
  <c r="D80" i="2"/>
  <c r="D79" i="2"/>
  <c r="A874" i="1"/>
  <c r="A875" i="1" s="1"/>
  <c r="AJ875" i="1" l="1"/>
  <c r="AJ874" i="1"/>
  <c r="A876" i="1"/>
  <c r="A877" i="1" s="1"/>
  <c r="A878" i="1"/>
  <c r="A879" i="1" s="1"/>
  <c r="A880" i="1"/>
  <c r="A881" i="1" s="1"/>
  <c r="AJ881" i="1" l="1"/>
  <c r="AJ880" i="1"/>
  <c r="AJ879" i="1"/>
  <c r="AJ878" i="1"/>
  <c r="AJ877" i="1"/>
  <c r="AJ876" i="1"/>
  <c r="A882" i="1"/>
  <c r="A883" i="1" s="1"/>
  <c r="AJ883" i="1" l="1"/>
  <c r="AJ882" i="1"/>
  <c r="A884" i="1"/>
  <c r="A885" i="1" s="1"/>
  <c r="A886" i="1"/>
  <c r="A887" i="1" s="1"/>
  <c r="AJ886" i="1" l="1"/>
  <c r="AJ885" i="1"/>
  <c r="AJ884" i="1"/>
  <c r="AJ887" i="1"/>
  <c r="A888" i="1"/>
  <c r="A889" i="1"/>
  <c r="AJ888" i="1" l="1"/>
  <c r="AJ889" i="1"/>
  <c r="A890" i="1"/>
  <c r="A891" i="1" s="1"/>
  <c r="A892" i="1"/>
  <c r="A893" i="1" s="1"/>
  <c r="AJ892" i="1" l="1"/>
  <c r="AJ891" i="1"/>
  <c r="AJ890" i="1"/>
  <c r="AJ893" i="1"/>
  <c r="A894" i="1"/>
  <c r="A895" i="1"/>
  <c r="AJ894" i="1" l="1"/>
  <c r="AJ895" i="1"/>
  <c r="A896" i="1"/>
  <c r="A897" i="1"/>
  <c r="A898" i="1" s="1"/>
  <c r="AJ896" i="1" l="1"/>
  <c r="AJ898" i="1"/>
  <c r="AJ897" i="1"/>
  <c r="A899" i="1"/>
  <c r="A900" i="1"/>
  <c r="AJ900" i="1" l="1"/>
  <c r="AJ899" i="1"/>
  <c r="A901" i="1"/>
  <c r="A902" i="1" s="1"/>
  <c r="AJ902" i="1" l="1"/>
  <c r="AJ901" i="1"/>
  <c r="A903" i="1"/>
  <c r="A904" i="1"/>
  <c r="AJ904" i="1" l="1"/>
  <c r="AJ903" i="1"/>
  <c r="A905" i="1"/>
  <c r="A906" i="1"/>
  <c r="AJ906" i="1" l="1"/>
  <c r="AJ905" i="1"/>
  <c r="A907" i="1"/>
  <c r="A908" i="1"/>
  <c r="AJ908" i="1" l="1"/>
  <c r="AJ907" i="1"/>
  <c r="A909" i="1"/>
  <c r="A910" i="1"/>
  <c r="AJ910" i="1" l="1"/>
  <c r="AJ909" i="1"/>
  <c r="A911" i="1"/>
  <c r="A912" i="1"/>
  <c r="AJ912" i="1" l="1"/>
  <c r="AJ911" i="1"/>
  <c r="A913" i="1"/>
  <c r="A914" i="1"/>
  <c r="AJ914" i="1" l="1"/>
  <c r="AJ913" i="1"/>
  <c r="A915" i="1"/>
  <c r="A916" i="1"/>
  <c r="AJ916" i="1" l="1"/>
  <c r="AJ915" i="1"/>
  <c r="A917" i="1"/>
  <c r="AJ917" i="1" l="1"/>
  <c r="A918" i="1"/>
  <c r="AJ918" i="1" l="1"/>
  <c r="A919" i="1"/>
  <c r="A920" i="1" s="1"/>
  <c r="AJ920" i="1" l="1"/>
  <c r="AJ919" i="1"/>
  <c r="A921" i="1"/>
  <c r="A922" i="1"/>
  <c r="AJ922" i="1" l="1"/>
  <c r="AJ921" i="1"/>
  <c r="A923" i="1"/>
  <c r="A924" i="1"/>
  <c r="A925" i="1" s="1"/>
  <c r="AJ925" i="1" l="1"/>
  <c r="AJ924" i="1"/>
  <c r="AJ923" i="1"/>
  <c r="A926" i="1"/>
  <c r="A927" i="1" s="1"/>
  <c r="AJ927" i="1" l="1"/>
  <c r="AJ926" i="1"/>
  <c r="A928" i="1"/>
  <c r="A929" i="1"/>
  <c r="AJ929" i="1" l="1"/>
  <c r="AJ928" i="1"/>
  <c r="A930" i="1"/>
  <c r="A931" i="1"/>
  <c r="AJ931" i="1" l="1"/>
  <c r="AJ930" i="1"/>
  <c r="A932" i="1"/>
  <c r="A933" i="1"/>
  <c r="AJ933" i="1" l="1"/>
  <c r="AJ932" i="1"/>
  <c r="A934" i="1"/>
  <c r="A935" i="1"/>
  <c r="AJ935" i="1" l="1"/>
  <c r="AJ934" i="1"/>
  <c r="A936" i="1"/>
  <c r="A937" i="1"/>
  <c r="AJ937" i="1" l="1"/>
  <c r="AJ936" i="1"/>
  <c r="A938" i="1"/>
  <c r="A939" i="1"/>
  <c r="AJ939" i="1" l="1"/>
  <c r="AJ938" i="1"/>
  <c r="A940" i="1"/>
  <c r="A941" i="1"/>
  <c r="AJ941" i="1" l="1"/>
  <c r="AJ940" i="1"/>
  <c r="A942" i="1"/>
  <c r="A943" i="1"/>
  <c r="AJ943" i="1" l="1"/>
  <c r="AJ942" i="1"/>
  <c r="A944" i="1"/>
  <c r="A945" i="1"/>
  <c r="AJ945" i="1" l="1"/>
  <c r="AJ944" i="1"/>
  <c r="A946" i="1"/>
  <c r="A947" i="1"/>
  <c r="AJ947" i="1" l="1"/>
  <c r="AJ946" i="1"/>
  <c r="A948" i="1"/>
  <c r="A949" i="1"/>
  <c r="AJ949" i="1" l="1"/>
  <c r="AJ948" i="1"/>
  <c r="A950" i="1"/>
  <c r="AJ950" i="1" l="1"/>
  <c r="A951" i="1"/>
  <c r="A952" i="1" s="1"/>
  <c r="A953" i="1"/>
  <c r="A954" i="1" s="1"/>
  <c r="AJ954" i="1" l="1"/>
  <c r="AJ953" i="1"/>
  <c r="AJ952" i="1"/>
  <c r="AJ951" i="1"/>
  <c r="A955" i="1"/>
  <c r="A956" i="1"/>
  <c r="A957" i="1" s="1"/>
  <c r="AJ957" i="1" l="1"/>
  <c r="AJ956" i="1"/>
  <c r="AJ955" i="1"/>
  <c r="A958" i="1"/>
  <c r="A959" i="1" s="1"/>
  <c r="AJ959" i="1" l="1"/>
  <c r="AJ958" i="1"/>
  <c r="A960" i="1"/>
  <c r="A961" i="1"/>
  <c r="A962" i="1" s="1"/>
  <c r="A963" i="1"/>
  <c r="A964" i="1" s="1"/>
  <c r="A965" i="1"/>
  <c r="A966" i="1" s="1"/>
  <c r="A967" i="1"/>
  <c r="A968" i="1" s="1"/>
  <c r="A969" i="1"/>
  <c r="A970" i="1" s="1"/>
  <c r="A971" i="1"/>
  <c r="A972" i="1" s="1"/>
  <c r="A973" i="1"/>
  <c r="A974" i="1" s="1"/>
  <c r="A975" i="1"/>
  <c r="A976" i="1" s="1"/>
  <c r="A977" i="1" s="1"/>
  <c r="A978" i="1" s="1"/>
  <c r="A979" i="1"/>
  <c r="AJ979" i="1" l="1"/>
  <c r="B1" i="3"/>
  <c r="B2" i="3" s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3" i="2"/>
  <c r="A4" i="2" s="1"/>
  <c r="A5" i="2"/>
  <c r="A6" i="2" s="1"/>
  <c r="A7" i="2"/>
  <c r="A8" i="2" s="1"/>
  <c r="A9" i="2"/>
  <c r="A10" i="2" s="1"/>
  <c r="A11" i="2"/>
  <c r="A12" i="2" s="1"/>
  <c r="G12" i="2" l="1"/>
  <c r="R12" i="2"/>
  <c r="R11" i="2"/>
  <c r="G11" i="2"/>
  <c r="G10" i="2"/>
  <c r="R10" i="2"/>
  <c r="R9" i="2"/>
  <c r="G9" i="2"/>
  <c r="G8" i="2"/>
  <c r="R8" i="2"/>
  <c r="R7" i="2"/>
  <c r="G7" i="2"/>
  <c r="R6" i="2"/>
  <c r="G6" i="2"/>
  <c r="G5" i="2"/>
  <c r="R5" i="2"/>
  <c r="R4" i="2"/>
  <c r="G4" i="2"/>
  <c r="R3" i="2"/>
  <c r="G3" i="2"/>
  <c r="A13" i="2"/>
  <c r="B12" i="2"/>
  <c r="B11" i="2"/>
  <c r="H11" i="2"/>
  <c r="H10" i="2"/>
  <c r="C9" i="2"/>
  <c r="B9" i="2"/>
  <c r="H8" i="2"/>
  <c r="B8" i="2"/>
  <c r="B7" i="2"/>
  <c r="J6" i="2"/>
  <c r="B6" i="2"/>
  <c r="C5" i="2"/>
  <c r="H4" i="2"/>
  <c r="I4" i="2"/>
  <c r="I3" i="2"/>
  <c r="F12" i="2"/>
  <c r="H12" i="2"/>
  <c r="J11" i="2"/>
  <c r="C10" i="2"/>
  <c r="I10" i="2"/>
  <c r="I9" i="2"/>
  <c r="J8" i="2"/>
  <c r="H7" i="2"/>
  <c r="J7" i="2"/>
  <c r="I6" i="2"/>
  <c r="J5" i="2"/>
  <c r="F5" i="2"/>
  <c r="C3" i="2"/>
  <c r="B3" i="2"/>
  <c r="C12" i="2"/>
  <c r="I12" i="2"/>
  <c r="F11" i="2"/>
  <c r="J10" i="2"/>
  <c r="B10" i="2"/>
  <c r="J9" i="2"/>
  <c r="I8" i="2"/>
  <c r="F8" i="2"/>
  <c r="C7" i="2"/>
  <c r="C6" i="2"/>
  <c r="H6" i="2"/>
  <c r="I5" i="2"/>
  <c r="B5" i="2"/>
  <c r="F4" i="2"/>
  <c r="J3" i="2"/>
  <c r="F3" i="2"/>
  <c r="J12" i="2"/>
  <c r="I11" i="2"/>
  <c r="C11" i="2"/>
  <c r="F10" i="2"/>
  <c r="F9" i="2"/>
  <c r="H9" i="2"/>
  <c r="C8" i="2"/>
  <c r="I7" i="2"/>
  <c r="F7" i="2"/>
  <c r="F6" i="2"/>
  <c r="H5" i="2"/>
  <c r="J4" i="2"/>
  <c r="B4" i="2"/>
  <c r="H3" i="2"/>
  <c r="A14" i="2"/>
  <c r="B3" i="4"/>
  <c r="C4" i="2"/>
  <c r="B3" i="5"/>
  <c r="G14" i="2" l="1"/>
  <c r="R14" i="2"/>
  <c r="E3" i="2"/>
  <c r="K3" i="2"/>
  <c r="L3" i="2"/>
  <c r="E4" i="2"/>
  <c r="D4" i="2"/>
  <c r="K4" i="2"/>
  <c r="L4" i="2"/>
  <c r="D5" i="2"/>
  <c r="E5" i="2"/>
  <c r="K5" i="2"/>
  <c r="L5" i="2"/>
  <c r="E6" i="2"/>
  <c r="D6" i="2"/>
  <c r="K6" i="2"/>
  <c r="L6" i="2"/>
  <c r="E7" i="2"/>
  <c r="L7" i="2"/>
  <c r="K7" i="2"/>
  <c r="E8" i="2"/>
  <c r="L8" i="2"/>
  <c r="K8" i="2"/>
  <c r="E9" i="2"/>
  <c r="K9" i="2"/>
  <c r="L9" i="2"/>
  <c r="E10" i="2"/>
  <c r="D10" i="2"/>
  <c r="L10" i="2"/>
  <c r="K10" i="2"/>
  <c r="E11" i="2"/>
  <c r="D11" i="2"/>
  <c r="L11" i="2"/>
  <c r="K11" i="2"/>
  <c r="E12" i="2"/>
  <c r="D12" i="2"/>
  <c r="L12" i="2"/>
  <c r="K12" i="2"/>
  <c r="R13" i="2"/>
  <c r="G13" i="2"/>
  <c r="N6" i="2"/>
  <c r="F3" i="4"/>
  <c r="G3" i="4"/>
  <c r="D3" i="5"/>
  <c r="A15" i="2"/>
  <c r="F14" i="2"/>
  <c r="N3" i="2"/>
  <c r="N5" i="2"/>
  <c r="N10" i="2"/>
  <c r="N12" i="2"/>
  <c r="J13" i="2"/>
  <c r="E3" i="4"/>
  <c r="I3" i="4"/>
  <c r="C3" i="5"/>
  <c r="J14" i="2"/>
  <c r="I14" i="2"/>
  <c r="B4" i="4"/>
  <c r="N7" i="2"/>
  <c r="C13" i="2"/>
  <c r="B13" i="2"/>
  <c r="A16" i="2"/>
  <c r="C3" i="4"/>
  <c r="H3" i="4"/>
  <c r="F3" i="5"/>
  <c r="H3" i="5"/>
  <c r="B14" i="2"/>
  <c r="C14" i="2"/>
  <c r="B4" i="5"/>
  <c r="N8" i="2"/>
  <c r="N11" i="2"/>
  <c r="H13" i="2"/>
  <c r="D3" i="4"/>
  <c r="J3" i="4"/>
  <c r="G3" i="5"/>
  <c r="E3" i="5"/>
  <c r="H14" i="2"/>
  <c r="N4" i="2"/>
  <c r="N9" i="2"/>
  <c r="I13" i="2"/>
  <c r="F13" i="2"/>
  <c r="B5" i="4"/>
  <c r="B6" i="4" s="1"/>
  <c r="B7" i="4" s="1"/>
  <c r="B8" i="4" s="1"/>
  <c r="B9" i="4"/>
  <c r="B10" i="4" s="1"/>
  <c r="M7" i="2" l="1"/>
  <c r="M8" i="2"/>
  <c r="G16" i="2"/>
  <c r="R16" i="2"/>
  <c r="E13" i="2"/>
  <c r="D13" i="2"/>
  <c r="L13" i="2"/>
  <c r="K13" i="2"/>
  <c r="A3" i="5"/>
  <c r="K3" i="4"/>
  <c r="J4" i="5"/>
  <c r="I4" i="5"/>
  <c r="J3" i="5"/>
  <c r="D14" i="2"/>
  <c r="E14" i="2"/>
  <c r="L14" i="2"/>
  <c r="K14" i="2"/>
  <c r="R15" i="2"/>
  <c r="G15" i="2"/>
  <c r="A3" i="4"/>
  <c r="N3" i="4"/>
  <c r="M12" i="2"/>
  <c r="O12" i="2" s="1"/>
  <c r="P12" i="2" s="1"/>
  <c r="Q12" i="2" s="1"/>
  <c r="M11" i="2"/>
  <c r="O11" i="2" s="1"/>
  <c r="P11" i="2" s="1"/>
  <c r="Q11" i="2" s="1"/>
  <c r="M10" i="2"/>
  <c r="O10" i="2" s="1"/>
  <c r="P10" i="2" s="1"/>
  <c r="Q10" i="2" s="1"/>
  <c r="O7" i="2"/>
  <c r="P7" i="2" s="1"/>
  <c r="Q7" i="2" s="1"/>
  <c r="M6" i="2"/>
  <c r="O6" i="2" s="1"/>
  <c r="P6" i="2" s="1"/>
  <c r="Q6" i="2" s="1"/>
  <c r="M5" i="2"/>
  <c r="O5" i="2" s="1"/>
  <c r="P5" i="2" s="1"/>
  <c r="Q5" i="2" s="1"/>
  <c r="M4" i="2"/>
  <c r="O4" i="2" s="1"/>
  <c r="P4" i="2" s="1"/>
  <c r="Q4" i="2" s="1"/>
  <c r="M3" i="2"/>
  <c r="M9" i="2"/>
  <c r="O8" i="2"/>
  <c r="P8" i="2" s="1"/>
  <c r="Q8" i="2" s="1"/>
  <c r="D10" i="4"/>
  <c r="H10" i="4"/>
  <c r="D9" i="4"/>
  <c r="J9" i="4"/>
  <c r="H8" i="4"/>
  <c r="G8" i="4"/>
  <c r="I7" i="4"/>
  <c r="F7" i="4"/>
  <c r="E6" i="4"/>
  <c r="C6" i="4"/>
  <c r="D5" i="4"/>
  <c r="J5" i="4"/>
  <c r="B16" i="2"/>
  <c r="H16" i="2"/>
  <c r="C4" i="4"/>
  <c r="E4" i="4"/>
  <c r="C4" i="5"/>
  <c r="N14" i="2"/>
  <c r="H15" i="2"/>
  <c r="I10" i="4"/>
  <c r="E10" i="4"/>
  <c r="F9" i="4"/>
  <c r="H9" i="4"/>
  <c r="D8" i="4"/>
  <c r="J8" i="4"/>
  <c r="H7" i="4"/>
  <c r="C7" i="4"/>
  <c r="G6" i="4"/>
  <c r="D6" i="4"/>
  <c r="C5" i="4"/>
  <c r="G5" i="4"/>
  <c r="A17" i="2"/>
  <c r="F16" i="2"/>
  <c r="N13" i="2"/>
  <c r="G4" i="4"/>
  <c r="J4" i="4"/>
  <c r="G4" i="5"/>
  <c r="E4" i="5"/>
  <c r="F15" i="2"/>
  <c r="D7" i="4"/>
  <c r="J16" i="2"/>
  <c r="B5" i="5"/>
  <c r="B6" i="5" s="1"/>
  <c r="J15" i="2"/>
  <c r="F10" i="4"/>
  <c r="J10" i="4"/>
  <c r="I9" i="4"/>
  <c r="E9" i="4"/>
  <c r="C8" i="4"/>
  <c r="I8" i="4"/>
  <c r="G7" i="4"/>
  <c r="E7" i="4"/>
  <c r="F6" i="4"/>
  <c r="I6" i="4"/>
  <c r="E5" i="4"/>
  <c r="F5" i="4"/>
  <c r="I16" i="2"/>
  <c r="I4" i="4"/>
  <c r="F4" i="4"/>
  <c r="F4" i="5"/>
  <c r="H4" i="5"/>
  <c r="C15" i="2"/>
  <c r="B15" i="2"/>
  <c r="G10" i="4"/>
  <c r="C10" i="4"/>
  <c r="C9" i="4"/>
  <c r="G9" i="4"/>
  <c r="E8" i="4"/>
  <c r="F8" i="4"/>
  <c r="J7" i="4"/>
  <c r="J6" i="4"/>
  <c r="H6" i="4"/>
  <c r="H5" i="4"/>
  <c r="I5" i="4"/>
  <c r="C16" i="2"/>
  <c r="D4" i="4"/>
  <c r="H4" i="4"/>
  <c r="D4" i="5"/>
  <c r="I15" i="2"/>
  <c r="B11" i="4"/>
  <c r="B12" i="4" s="1"/>
  <c r="M14" i="2" l="1"/>
  <c r="K4" i="5"/>
  <c r="J6" i="5"/>
  <c r="J5" i="5"/>
  <c r="I5" i="5"/>
  <c r="G17" i="2"/>
  <c r="R17" i="2"/>
  <c r="K5" i="4"/>
  <c r="A5" i="4"/>
  <c r="N5" i="4"/>
  <c r="N7" i="4"/>
  <c r="A7" i="4"/>
  <c r="A9" i="4"/>
  <c r="N9" i="4"/>
  <c r="A10" i="4"/>
  <c r="N10" i="4"/>
  <c r="K10" i="4"/>
  <c r="D15" i="2"/>
  <c r="E15" i="2"/>
  <c r="K15" i="2"/>
  <c r="L15" i="2"/>
  <c r="A4" i="5"/>
  <c r="N4" i="4"/>
  <c r="A4" i="4"/>
  <c r="K4" i="4"/>
  <c r="E16" i="2"/>
  <c r="D16" i="2"/>
  <c r="L16" i="2"/>
  <c r="K16" i="2"/>
  <c r="K6" i="4"/>
  <c r="A6" i="4"/>
  <c r="N6" i="4"/>
  <c r="K7" i="4"/>
  <c r="K8" i="4"/>
  <c r="A8" i="4"/>
  <c r="N8" i="4"/>
  <c r="K9" i="4"/>
  <c r="O3" i="2"/>
  <c r="P3" i="2" s="1"/>
  <c r="Q3" i="2" s="1"/>
  <c r="I3" i="5"/>
  <c r="L4" i="5"/>
  <c r="I6" i="5"/>
  <c r="K6" i="5" s="1"/>
  <c r="O9" i="2"/>
  <c r="P9" i="2" s="1"/>
  <c r="Q9" i="2" s="1"/>
  <c r="O14" i="2"/>
  <c r="P14" i="2" s="1"/>
  <c r="Q14" i="2" s="1"/>
  <c r="L3" i="4"/>
  <c r="M13" i="2"/>
  <c r="O13" i="2" s="1"/>
  <c r="P13" i="2" s="1"/>
  <c r="Q13" i="2" s="1"/>
  <c r="E12" i="4"/>
  <c r="G12" i="4"/>
  <c r="I11" i="4"/>
  <c r="F11" i="4"/>
  <c r="C6" i="5"/>
  <c r="H6" i="5"/>
  <c r="H5" i="5"/>
  <c r="J17" i="2"/>
  <c r="N15" i="2"/>
  <c r="H12" i="4"/>
  <c r="C12" i="4"/>
  <c r="C11" i="4"/>
  <c r="H11" i="4"/>
  <c r="E6" i="5"/>
  <c r="F5" i="5"/>
  <c r="G5" i="5"/>
  <c r="F17" i="2"/>
  <c r="I17" i="2"/>
  <c r="N16" i="2"/>
  <c r="B13" i="4"/>
  <c r="F12" i="4"/>
  <c r="G11" i="4"/>
  <c r="J11" i="4"/>
  <c r="D6" i="5"/>
  <c r="C5" i="5"/>
  <c r="H17" i="2"/>
  <c r="D12" i="4"/>
  <c r="E11" i="4"/>
  <c r="F6" i="5"/>
  <c r="D5" i="5"/>
  <c r="C17" i="2"/>
  <c r="B17" i="2"/>
  <c r="J12" i="4"/>
  <c r="E5" i="5"/>
  <c r="I12" i="4"/>
  <c r="D11" i="4"/>
  <c r="G6" i="5"/>
  <c r="A18" i="2"/>
  <c r="A19" i="2" s="1"/>
  <c r="M3" i="4" l="1"/>
  <c r="M4" i="5"/>
  <c r="K3" i="5"/>
  <c r="M16" i="2"/>
  <c r="K5" i="5"/>
  <c r="L5" i="5" s="1"/>
  <c r="R19" i="2"/>
  <c r="G19" i="2"/>
  <c r="D17" i="2"/>
  <c r="E17" i="2"/>
  <c r="K17" i="2"/>
  <c r="L17" i="2"/>
  <c r="R18" i="2"/>
  <c r="G18" i="2"/>
  <c r="N11" i="4"/>
  <c r="A11" i="4"/>
  <c r="A12" i="4"/>
  <c r="N12" i="4"/>
  <c r="K12" i="4"/>
  <c r="A5" i="5"/>
  <c r="A6" i="5"/>
  <c r="K11" i="4"/>
  <c r="L9" i="4"/>
  <c r="L7" i="4"/>
  <c r="L6" i="5"/>
  <c r="L8" i="4"/>
  <c r="L6" i="4"/>
  <c r="M15" i="2"/>
  <c r="O15" i="2" s="1"/>
  <c r="P15" i="2" s="1"/>
  <c r="Q15" i="2" s="1"/>
  <c r="L5" i="4"/>
  <c r="O16" i="2"/>
  <c r="P16" i="2" s="1"/>
  <c r="Q16" i="2" s="1"/>
  <c r="L4" i="4"/>
  <c r="L10" i="4"/>
  <c r="J13" i="4"/>
  <c r="C13" i="4"/>
  <c r="B19" i="2"/>
  <c r="H19" i="2"/>
  <c r="F13" i="4"/>
  <c r="I13" i="4"/>
  <c r="A20" i="2"/>
  <c r="C19" i="2"/>
  <c r="F18" i="2"/>
  <c r="B18" i="2"/>
  <c r="H18" i="2"/>
  <c r="B14" i="4"/>
  <c r="G13" i="4"/>
  <c r="D13" i="4"/>
  <c r="F19" i="2"/>
  <c r="N17" i="2"/>
  <c r="H13" i="4"/>
  <c r="I19" i="2"/>
  <c r="J19" i="2"/>
  <c r="C18" i="2"/>
  <c r="J18" i="2"/>
  <c r="I18" i="2"/>
  <c r="B15" i="4"/>
  <c r="E13" i="4"/>
  <c r="M5" i="5" l="1"/>
  <c r="M4" i="4"/>
  <c r="M5" i="4"/>
  <c r="M6" i="4"/>
  <c r="M6" i="5"/>
  <c r="M9" i="4"/>
  <c r="M10" i="4"/>
  <c r="M8" i="4"/>
  <c r="M7" i="4"/>
  <c r="L3" i="5"/>
  <c r="E18" i="2"/>
  <c r="D18" i="2"/>
  <c r="L18" i="2"/>
  <c r="K18" i="2"/>
  <c r="R20" i="2"/>
  <c r="G20" i="2"/>
  <c r="K13" i="4"/>
  <c r="E19" i="2"/>
  <c r="D19" i="2"/>
  <c r="L19" i="2"/>
  <c r="K19" i="2"/>
  <c r="N13" i="4"/>
  <c r="A13" i="4"/>
  <c r="L12" i="4"/>
  <c r="L11" i="4"/>
  <c r="M17" i="2"/>
  <c r="O17" i="2" s="1"/>
  <c r="P17" i="2" s="1"/>
  <c r="Q17" i="2" s="1"/>
  <c r="D15" i="4"/>
  <c r="E15" i="4"/>
  <c r="G14" i="4"/>
  <c r="I14" i="4"/>
  <c r="N18" i="2"/>
  <c r="F15" i="4"/>
  <c r="J15" i="4"/>
  <c r="J14" i="4"/>
  <c r="D14" i="4"/>
  <c r="J20" i="2"/>
  <c r="I20" i="2"/>
  <c r="C20" i="2"/>
  <c r="N19" i="2"/>
  <c r="I15" i="4"/>
  <c r="E14" i="4"/>
  <c r="H20" i="2"/>
  <c r="F20" i="2"/>
  <c r="B7" i="5" s="1"/>
  <c r="B20" i="2"/>
  <c r="H15" i="4"/>
  <c r="C15" i="4"/>
  <c r="F14" i="4"/>
  <c r="C14" i="4"/>
  <c r="G15" i="4"/>
  <c r="H14" i="4"/>
  <c r="A21" i="2"/>
  <c r="A22" i="2" s="1"/>
  <c r="M3" i="5" l="1"/>
  <c r="M12" i="4"/>
  <c r="M11" i="4"/>
  <c r="R22" i="2"/>
  <c r="G22" i="2"/>
  <c r="E20" i="2"/>
  <c r="L20" i="2"/>
  <c r="K20" i="2"/>
  <c r="G21" i="2"/>
  <c r="R21" i="2"/>
  <c r="K15" i="4"/>
  <c r="A14" i="4"/>
  <c r="N14" i="4"/>
  <c r="K14" i="4"/>
  <c r="A15" i="4"/>
  <c r="N15" i="4"/>
  <c r="L13" i="4"/>
  <c r="M19" i="2"/>
  <c r="O19" i="2" s="1"/>
  <c r="P19" i="2" s="1"/>
  <c r="Q19" i="2" s="1"/>
  <c r="M18" i="2"/>
  <c r="O18" i="2" s="1"/>
  <c r="P18" i="2" s="1"/>
  <c r="Q18" i="2" s="1"/>
  <c r="H22" i="2"/>
  <c r="D7" i="5"/>
  <c r="F7" i="5"/>
  <c r="A23" i="2"/>
  <c r="I22" i="2"/>
  <c r="B22" i="2"/>
  <c r="C21" i="2"/>
  <c r="F21" i="2"/>
  <c r="C7" i="5"/>
  <c r="C22" i="2"/>
  <c r="B21" i="2"/>
  <c r="J21" i="2"/>
  <c r="B8" i="5"/>
  <c r="G7" i="5"/>
  <c r="H7" i="5"/>
  <c r="J22" i="2"/>
  <c r="N20" i="2"/>
  <c r="H21" i="2"/>
  <c r="E7" i="5"/>
  <c r="F22" i="2"/>
  <c r="B9" i="5" s="1"/>
  <c r="I21" i="2"/>
  <c r="A24" i="2"/>
  <c r="M13" i="4" l="1"/>
  <c r="M20" i="2"/>
  <c r="I7" i="5" s="1"/>
  <c r="R24" i="2"/>
  <c r="G24" i="2"/>
  <c r="E21" i="2"/>
  <c r="K21" i="2"/>
  <c r="L21" i="2"/>
  <c r="A7" i="5"/>
  <c r="J7" i="5"/>
  <c r="E22" i="2"/>
  <c r="L22" i="2"/>
  <c r="K22" i="2"/>
  <c r="R23" i="2"/>
  <c r="G23" i="2"/>
  <c r="L14" i="4"/>
  <c r="L15" i="4"/>
  <c r="O20" i="2"/>
  <c r="P20" i="2" s="1"/>
  <c r="Q20" i="2" s="1"/>
  <c r="D20" i="2"/>
  <c r="D22" i="2"/>
  <c r="D8" i="2"/>
  <c r="D9" i="2"/>
  <c r="D3" i="2"/>
  <c r="D2" i="2"/>
  <c r="D21" i="2"/>
  <c r="D7" i="2"/>
  <c r="H9" i="5"/>
  <c r="H8" i="5"/>
  <c r="F8" i="5"/>
  <c r="I24" i="2"/>
  <c r="F24" i="2"/>
  <c r="N21" i="2"/>
  <c r="C23" i="2"/>
  <c r="D9" i="5"/>
  <c r="G9" i="5"/>
  <c r="C8" i="5"/>
  <c r="J24" i="2"/>
  <c r="N22" i="2"/>
  <c r="F23" i="2"/>
  <c r="B3" i="7"/>
  <c r="C9" i="5"/>
  <c r="E9" i="5"/>
  <c r="G8" i="5"/>
  <c r="A25" i="2"/>
  <c r="A26" i="2" s="1"/>
  <c r="B24" i="2"/>
  <c r="H24" i="2"/>
  <c r="B23" i="2"/>
  <c r="I23" i="2"/>
  <c r="F9" i="5"/>
  <c r="E8" i="5"/>
  <c r="D8" i="5"/>
  <c r="C24" i="2"/>
  <c r="J23" i="2"/>
  <c r="H23" i="2"/>
  <c r="B10" i="5"/>
  <c r="A27" i="2"/>
  <c r="A28" i="2" s="1"/>
  <c r="A29" i="2"/>
  <c r="A30" i="2"/>
  <c r="A31" i="2" s="1"/>
  <c r="K7" i="5" l="1"/>
  <c r="M14" i="4"/>
  <c r="M15" i="4"/>
  <c r="M22" i="2"/>
  <c r="O22" i="2" s="1"/>
  <c r="P22" i="2" s="1"/>
  <c r="Q22" i="2" s="1"/>
  <c r="R31" i="2"/>
  <c r="G31" i="2"/>
  <c r="G30" i="2"/>
  <c r="R30" i="2"/>
  <c r="R29" i="2"/>
  <c r="G29" i="2"/>
  <c r="R28" i="2"/>
  <c r="G28" i="2"/>
  <c r="R27" i="2"/>
  <c r="G27" i="2"/>
  <c r="G26" i="2"/>
  <c r="R26" i="2"/>
  <c r="J9" i="5"/>
  <c r="A8" i="5"/>
  <c r="E23" i="2"/>
  <c r="K23" i="2"/>
  <c r="L23" i="2"/>
  <c r="D23" i="2"/>
  <c r="J8" i="5"/>
  <c r="E24" i="2"/>
  <c r="L24" i="2"/>
  <c r="D24" i="2"/>
  <c r="K24" i="2"/>
  <c r="R25" i="2"/>
  <c r="G25" i="2"/>
  <c r="A9" i="5"/>
  <c r="L7" i="5"/>
  <c r="I9" i="5"/>
  <c r="M21" i="2"/>
  <c r="I31" i="2"/>
  <c r="B31" i="2"/>
  <c r="F30" i="2"/>
  <c r="H29" i="2"/>
  <c r="I29" i="2"/>
  <c r="I28" i="2"/>
  <c r="F27" i="2"/>
  <c r="J27" i="2"/>
  <c r="D3" i="7"/>
  <c r="H10" i="5"/>
  <c r="F10" i="5"/>
  <c r="H26" i="2"/>
  <c r="I26" i="2"/>
  <c r="N24" i="2"/>
  <c r="F25" i="2"/>
  <c r="H31" i="2"/>
  <c r="C31" i="2"/>
  <c r="B30" i="2"/>
  <c r="J30" i="2"/>
  <c r="F29" i="2"/>
  <c r="H28" i="2"/>
  <c r="B28" i="2"/>
  <c r="C27" i="2"/>
  <c r="E3" i="7"/>
  <c r="C10" i="5"/>
  <c r="D10" i="5"/>
  <c r="B26" i="2"/>
  <c r="J25" i="2"/>
  <c r="B16" i="4"/>
  <c r="A32" i="2"/>
  <c r="A33" i="2" s="1"/>
  <c r="F31" i="2"/>
  <c r="C30" i="2"/>
  <c r="B29" i="2"/>
  <c r="J29" i="2"/>
  <c r="F28" i="2"/>
  <c r="B27" i="2"/>
  <c r="I27" i="2"/>
  <c r="G3" i="7"/>
  <c r="H3" i="7"/>
  <c r="G10" i="5"/>
  <c r="C26" i="2"/>
  <c r="J26" i="2"/>
  <c r="N23" i="2"/>
  <c r="I25" i="2"/>
  <c r="C25" i="2"/>
  <c r="J31" i="2"/>
  <c r="H30" i="2"/>
  <c r="I30" i="2"/>
  <c r="C29" i="2"/>
  <c r="J28" i="2"/>
  <c r="C28" i="2"/>
  <c r="H27" i="2"/>
  <c r="C3" i="7"/>
  <c r="F3" i="7"/>
  <c r="E10" i="5"/>
  <c r="F26" i="2"/>
  <c r="B17" i="4" s="1"/>
  <c r="H25" i="2"/>
  <c r="B25" i="2"/>
  <c r="B4" i="7"/>
  <c r="B5" i="7"/>
  <c r="B18" i="4"/>
  <c r="M24" i="2" l="1"/>
  <c r="M7" i="5"/>
  <c r="K9" i="5"/>
  <c r="L9" i="5" s="1"/>
  <c r="R33" i="2"/>
  <c r="G33" i="2"/>
  <c r="E25" i="2"/>
  <c r="D25" i="2"/>
  <c r="K25" i="2"/>
  <c r="L25" i="2"/>
  <c r="D26" i="2"/>
  <c r="E26" i="2"/>
  <c r="L26" i="2"/>
  <c r="K26" i="2"/>
  <c r="A10" i="5"/>
  <c r="A3" i="7"/>
  <c r="E28" i="2"/>
  <c r="D28" i="2"/>
  <c r="L28" i="2"/>
  <c r="K28" i="2"/>
  <c r="E30" i="2"/>
  <c r="D30" i="2"/>
  <c r="K30" i="2"/>
  <c r="L30" i="2"/>
  <c r="J10" i="5"/>
  <c r="J3" i="7"/>
  <c r="E27" i="2"/>
  <c r="D27" i="2"/>
  <c r="K27" i="2"/>
  <c r="L27" i="2"/>
  <c r="E29" i="2"/>
  <c r="D29" i="2"/>
  <c r="K29" i="2"/>
  <c r="L29" i="2"/>
  <c r="E31" i="2"/>
  <c r="D31" i="2"/>
  <c r="K31" i="2"/>
  <c r="L31" i="2"/>
  <c r="R32" i="2"/>
  <c r="G32" i="2"/>
  <c r="O24" i="2"/>
  <c r="P24" i="2" s="1"/>
  <c r="Q24" i="2" s="1"/>
  <c r="M23" i="2"/>
  <c r="O21" i="2"/>
  <c r="P21" i="2" s="1"/>
  <c r="Q21" i="2" s="1"/>
  <c r="I8" i="5"/>
  <c r="I10" i="5"/>
  <c r="I18" i="4"/>
  <c r="F18" i="4"/>
  <c r="G17" i="4"/>
  <c r="H17" i="4"/>
  <c r="H5" i="7"/>
  <c r="J16" i="4"/>
  <c r="D16" i="4"/>
  <c r="G4" i="7"/>
  <c r="C4" i="7"/>
  <c r="H33" i="2"/>
  <c r="F33" i="2"/>
  <c r="N25" i="2"/>
  <c r="N27" i="2"/>
  <c r="G18" i="4"/>
  <c r="H18" i="4"/>
  <c r="C17" i="4"/>
  <c r="D17" i="4"/>
  <c r="C5" i="7"/>
  <c r="G5" i="7"/>
  <c r="H16" i="4"/>
  <c r="E16" i="4"/>
  <c r="H4" i="7"/>
  <c r="I33" i="2"/>
  <c r="N28" i="2"/>
  <c r="B11" i="5"/>
  <c r="F32" i="2"/>
  <c r="N31" i="2"/>
  <c r="J32" i="2"/>
  <c r="B19" i="4"/>
  <c r="J18" i="4"/>
  <c r="E18" i="4"/>
  <c r="I17" i="4"/>
  <c r="F17" i="4"/>
  <c r="F5" i="7"/>
  <c r="E5" i="7"/>
  <c r="G16" i="4"/>
  <c r="C16" i="4"/>
  <c r="E4" i="7"/>
  <c r="A34" i="2"/>
  <c r="A35" i="2" s="1"/>
  <c r="B33" i="2"/>
  <c r="J33" i="2"/>
  <c r="N26" i="2"/>
  <c r="N29" i="2"/>
  <c r="C18" i="4"/>
  <c r="D18" i="4"/>
  <c r="J17" i="4"/>
  <c r="E17" i="4"/>
  <c r="D5" i="7"/>
  <c r="F16" i="4"/>
  <c r="I16" i="4"/>
  <c r="D4" i="7"/>
  <c r="F4" i="7"/>
  <c r="C33" i="2"/>
  <c r="N30" i="2"/>
  <c r="B32" i="2"/>
  <c r="I32" i="2"/>
  <c r="C32" i="2"/>
  <c r="H32" i="2"/>
  <c r="B12" i="5"/>
  <c r="M9" i="5" l="1"/>
  <c r="M31" i="2"/>
  <c r="O31" i="2" s="1"/>
  <c r="P31" i="2" s="1"/>
  <c r="Q31" i="2" s="1"/>
  <c r="K8" i="5"/>
  <c r="L8" i="5" s="1"/>
  <c r="M29" i="2"/>
  <c r="I4" i="7" s="1"/>
  <c r="M27" i="2"/>
  <c r="I11" i="5" s="1"/>
  <c r="K10" i="5"/>
  <c r="M26" i="2"/>
  <c r="O26" i="2" s="1"/>
  <c r="P26" i="2" s="1"/>
  <c r="Q26" i="2" s="1"/>
  <c r="M28" i="2"/>
  <c r="I12" i="5" s="1"/>
  <c r="J12" i="5"/>
  <c r="G35" i="2"/>
  <c r="R35" i="2"/>
  <c r="D32" i="2"/>
  <c r="E32" i="2"/>
  <c r="L32" i="2"/>
  <c r="K32" i="2"/>
  <c r="J11" i="5"/>
  <c r="J5" i="7"/>
  <c r="K16" i="4"/>
  <c r="A5" i="7"/>
  <c r="A17" i="4"/>
  <c r="N17" i="4"/>
  <c r="A18" i="4"/>
  <c r="N18" i="4"/>
  <c r="J4" i="7"/>
  <c r="E33" i="2"/>
  <c r="D33" i="2"/>
  <c r="L33" i="2"/>
  <c r="K33" i="2"/>
  <c r="R34" i="2"/>
  <c r="G34" i="2"/>
  <c r="A4" i="7"/>
  <c r="N16" i="4"/>
  <c r="A16" i="4"/>
  <c r="K17" i="4"/>
  <c r="K18" i="4"/>
  <c r="I3" i="7"/>
  <c r="O23" i="2"/>
  <c r="P23" i="2" s="1"/>
  <c r="Q23" i="2" s="1"/>
  <c r="M30" i="2"/>
  <c r="M25" i="2"/>
  <c r="O25" i="2" s="1"/>
  <c r="P25" i="2" s="1"/>
  <c r="Q25" i="2" s="1"/>
  <c r="B20" i="4"/>
  <c r="G19" i="4"/>
  <c r="H19" i="4"/>
  <c r="F12" i="5"/>
  <c r="I35" i="2"/>
  <c r="C35" i="2"/>
  <c r="C11" i="5"/>
  <c r="F11" i="5"/>
  <c r="J34" i="2"/>
  <c r="F34" i="2"/>
  <c r="E19" i="4"/>
  <c r="C19" i="4"/>
  <c r="H12" i="5"/>
  <c r="A36" i="2"/>
  <c r="B35" i="2"/>
  <c r="G11" i="5"/>
  <c r="H11" i="5"/>
  <c r="I34" i="2"/>
  <c r="I19" i="4"/>
  <c r="C12" i="5"/>
  <c r="D12" i="5"/>
  <c r="J35" i="2"/>
  <c r="D11" i="5"/>
  <c r="N33" i="2"/>
  <c r="D19" i="4"/>
  <c r="G12" i="5"/>
  <c r="F35" i="2"/>
  <c r="B13" i="5" s="1"/>
  <c r="E11" i="5"/>
  <c r="C34" i="2"/>
  <c r="A37" i="2"/>
  <c r="J19" i="4"/>
  <c r="N32" i="2"/>
  <c r="H34" i="2"/>
  <c r="F19" i="4"/>
  <c r="E12" i="5"/>
  <c r="H35" i="2"/>
  <c r="B34" i="2"/>
  <c r="O27" i="2" l="1"/>
  <c r="P27" i="2" s="1"/>
  <c r="Q27" i="2" s="1"/>
  <c r="O28" i="2"/>
  <c r="P28" i="2" s="1"/>
  <c r="Q28" i="2" s="1"/>
  <c r="O29" i="2"/>
  <c r="P29" i="2" s="1"/>
  <c r="Q29" i="2" s="1"/>
  <c r="M8" i="5"/>
  <c r="L10" i="5"/>
  <c r="K3" i="7"/>
  <c r="L3" i="7" s="1"/>
  <c r="K4" i="7"/>
  <c r="K11" i="5"/>
  <c r="L11" i="5" s="1"/>
  <c r="K12" i="5"/>
  <c r="L12" i="5" s="1"/>
  <c r="R37" i="2"/>
  <c r="G37" i="2"/>
  <c r="D34" i="2"/>
  <c r="E34" i="2"/>
  <c r="L34" i="2"/>
  <c r="K34" i="2"/>
  <c r="E35" i="2"/>
  <c r="D35" i="2"/>
  <c r="K35" i="2"/>
  <c r="L35" i="2"/>
  <c r="R36" i="2"/>
  <c r="G36" i="2"/>
  <c r="N19" i="4"/>
  <c r="A19" i="4"/>
  <c r="A11" i="5"/>
  <c r="A12" i="5"/>
  <c r="K19" i="4"/>
  <c r="L4" i="7"/>
  <c r="L18" i="4"/>
  <c r="M33" i="2"/>
  <c r="O33" i="2" s="1"/>
  <c r="P33" i="2" s="1"/>
  <c r="Q33" i="2" s="1"/>
  <c r="L16" i="4"/>
  <c r="M32" i="2"/>
  <c r="O32" i="2" s="1"/>
  <c r="P32" i="2" s="1"/>
  <c r="Q32" i="2" s="1"/>
  <c r="O30" i="2"/>
  <c r="P30" i="2" s="1"/>
  <c r="Q30" i="2" s="1"/>
  <c r="I5" i="7"/>
  <c r="L17" i="4"/>
  <c r="C37" i="2"/>
  <c r="J37" i="2"/>
  <c r="D13" i="5"/>
  <c r="N34" i="2"/>
  <c r="H36" i="2"/>
  <c r="B21" i="4"/>
  <c r="H37" i="2"/>
  <c r="F13" i="5"/>
  <c r="C13" i="5"/>
  <c r="C36" i="2"/>
  <c r="F36" i="2"/>
  <c r="C20" i="4"/>
  <c r="H20" i="4"/>
  <c r="G20" i="4"/>
  <c r="J20" i="4"/>
  <c r="B3" i="6"/>
  <c r="A38" i="2"/>
  <c r="N35" i="2"/>
  <c r="F37" i="2"/>
  <c r="H13" i="5"/>
  <c r="B36" i="2"/>
  <c r="F20" i="4"/>
  <c r="A39" i="2"/>
  <c r="I37" i="2"/>
  <c r="E13" i="5"/>
  <c r="G13" i="5"/>
  <c r="I36" i="2"/>
  <c r="B37" i="2"/>
  <c r="J36" i="2"/>
  <c r="E20" i="4"/>
  <c r="I20" i="4"/>
  <c r="D20" i="4"/>
  <c r="M11" i="5" l="1"/>
  <c r="M3" i="7"/>
  <c r="M16" i="4"/>
  <c r="M18" i="4"/>
  <c r="M12" i="5"/>
  <c r="M17" i="4"/>
  <c r="K5" i="7"/>
  <c r="M4" i="7"/>
  <c r="M10" i="5"/>
  <c r="M34" i="2"/>
  <c r="M35" i="2"/>
  <c r="O35" i="2" s="1"/>
  <c r="P35" i="2" s="1"/>
  <c r="Q35" i="2" s="1"/>
  <c r="G39" i="2"/>
  <c r="R39" i="2"/>
  <c r="K20" i="4"/>
  <c r="L20" i="4" s="1"/>
  <c r="M20" i="4" s="1"/>
  <c r="N20" i="4"/>
  <c r="A20" i="4"/>
  <c r="E36" i="2"/>
  <c r="D36" i="2"/>
  <c r="K36" i="2"/>
  <c r="L36" i="2"/>
  <c r="A13" i="5"/>
  <c r="E37" i="2"/>
  <c r="D37" i="2"/>
  <c r="L37" i="2"/>
  <c r="K37" i="2"/>
  <c r="J13" i="5"/>
  <c r="G38" i="2"/>
  <c r="R38" i="2"/>
  <c r="I13" i="5"/>
  <c r="L19" i="4"/>
  <c r="L5" i="7"/>
  <c r="O34" i="2"/>
  <c r="P34" i="2" s="1"/>
  <c r="Q34" i="2" s="1"/>
  <c r="F3" i="6"/>
  <c r="A40" i="2"/>
  <c r="J39" i="2"/>
  <c r="D21" i="4"/>
  <c r="G21" i="4"/>
  <c r="H38" i="2"/>
  <c r="I38" i="2"/>
  <c r="B22" i="4"/>
  <c r="C21" i="4"/>
  <c r="J21" i="4"/>
  <c r="J38" i="2"/>
  <c r="D3" i="6"/>
  <c r="E3" i="6"/>
  <c r="C39" i="2"/>
  <c r="N36" i="2"/>
  <c r="C3" i="6"/>
  <c r="G3" i="6"/>
  <c r="F39" i="2"/>
  <c r="B39" i="2"/>
  <c r="F21" i="4"/>
  <c r="I21" i="4"/>
  <c r="B38" i="2"/>
  <c r="N37" i="2"/>
  <c r="H21" i="4"/>
  <c r="E21" i="4"/>
  <c r="F38" i="2"/>
  <c r="C38" i="2"/>
  <c r="H3" i="6"/>
  <c r="H39" i="2"/>
  <c r="I39" i="2"/>
  <c r="A41" i="2"/>
  <c r="A42" i="2" s="1"/>
  <c r="A43" i="2"/>
  <c r="A44" i="2" s="1"/>
  <c r="A45" i="2" s="1"/>
  <c r="A46" i="2" s="1"/>
  <c r="A47" i="2" s="1"/>
  <c r="A48" i="2" s="1"/>
  <c r="A49" i="2"/>
  <c r="A50" i="2" s="1"/>
  <c r="A51" i="2" s="1"/>
  <c r="A52" i="2" s="1"/>
  <c r="B14" i="5"/>
  <c r="B23" i="4"/>
  <c r="M19" i="4" l="1"/>
  <c r="M5" i="7"/>
  <c r="K13" i="5"/>
  <c r="R52" i="2"/>
  <c r="G52" i="2"/>
  <c r="R51" i="2"/>
  <c r="G51" i="2"/>
  <c r="G50" i="2"/>
  <c r="R50" i="2"/>
  <c r="G49" i="2"/>
  <c r="R49" i="2"/>
  <c r="G48" i="2"/>
  <c r="R48" i="2"/>
  <c r="G47" i="2"/>
  <c r="R47" i="2"/>
  <c r="G46" i="2"/>
  <c r="R46" i="2"/>
  <c r="G45" i="2"/>
  <c r="R45" i="2"/>
  <c r="G44" i="2"/>
  <c r="R44" i="2"/>
  <c r="R43" i="2"/>
  <c r="G43" i="2"/>
  <c r="G42" i="2"/>
  <c r="R42" i="2"/>
  <c r="G41" i="2"/>
  <c r="R41" i="2"/>
  <c r="J3" i="6"/>
  <c r="A21" i="4"/>
  <c r="N21" i="4"/>
  <c r="D38" i="2"/>
  <c r="E38" i="2"/>
  <c r="K38" i="2"/>
  <c r="L38" i="2"/>
  <c r="K21" i="4"/>
  <c r="E39" i="2"/>
  <c r="D39" i="2"/>
  <c r="K39" i="2"/>
  <c r="L39" i="2"/>
  <c r="R40" i="2"/>
  <c r="G40" i="2"/>
  <c r="A3" i="6"/>
  <c r="M36" i="2"/>
  <c r="M37" i="2"/>
  <c r="O37" i="2" s="1"/>
  <c r="P37" i="2" s="1"/>
  <c r="Q37" i="2" s="1"/>
  <c r="AN846" i="1"/>
  <c r="AN848" i="1"/>
  <c r="AN849" i="1"/>
  <c r="AN850" i="1"/>
  <c r="AN851" i="1"/>
  <c r="AN852" i="1"/>
  <c r="AN853" i="1"/>
  <c r="AN854" i="1"/>
  <c r="AN855" i="1"/>
  <c r="AN856" i="1"/>
  <c r="AN857" i="1"/>
  <c r="AN859" i="1"/>
  <c r="AN860" i="1"/>
  <c r="AN861" i="1"/>
  <c r="AN862" i="1"/>
  <c r="AN863" i="1"/>
  <c r="AN821" i="1"/>
  <c r="AN830" i="1"/>
  <c r="AN822" i="1"/>
  <c r="AN831" i="1"/>
  <c r="AN723" i="1"/>
  <c r="AN773" i="1"/>
  <c r="AN791" i="1"/>
  <c r="AN810" i="1"/>
  <c r="AN718" i="1"/>
  <c r="AN754" i="1"/>
  <c r="AN649" i="1"/>
  <c r="AN580" i="1"/>
  <c r="AN731" i="1"/>
  <c r="AN782" i="1"/>
  <c r="AN825" i="1"/>
  <c r="AN827" i="1"/>
  <c r="AN732" i="1"/>
  <c r="AN802" i="1"/>
  <c r="AN713" i="1"/>
  <c r="AN695" i="1"/>
  <c r="AN771" i="1"/>
  <c r="AN800" i="1"/>
  <c r="AN715" i="1"/>
  <c r="AN650" i="1"/>
  <c r="AN536" i="1"/>
  <c r="AN571" i="1"/>
  <c r="AN181" i="1"/>
  <c r="AN449" i="1"/>
  <c r="AN562" i="1"/>
  <c r="AN189" i="1"/>
  <c r="AN470" i="1"/>
  <c r="AN259" i="1"/>
  <c r="AN585" i="1"/>
  <c r="AN460" i="1"/>
  <c r="AN730" i="1"/>
  <c r="AN716" i="1"/>
  <c r="AN807" i="1"/>
  <c r="AN636" i="1"/>
  <c r="AN307" i="1"/>
  <c r="AN187" i="1"/>
  <c r="AN347" i="1"/>
  <c r="AN510" i="1"/>
  <c r="AN353" i="1"/>
  <c r="AN490" i="1"/>
  <c r="AN423" i="1"/>
  <c r="AN271" i="1"/>
  <c r="AN128" i="1"/>
  <c r="AN402" i="1"/>
  <c r="AN564" i="1"/>
  <c r="AN354" i="1"/>
  <c r="AN302" i="1"/>
  <c r="AN389" i="1"/>
  <c r="AN129" i="1"/>
  <c r="AN140" i="1"/>
  <c r="AN46" i="1"/>
  <c r="AN548" i="1"/>
  <c r="AN304" i="1"/>
  <c r="AN499" i="1"/>
  <c r="AN144" i="1"/>
  <c r="AN292" i="1"/>
  <c r="AN813" i="1"/>
  <c r="AN603" i="1"/>
  <c r="AN763" i="1"/>
  <c r="AN195" i="1"/>
  <c r="AN286" i="1"/>
  <c r="AN458" i="1"/>
  <c r="AN381" i="1"/>
  <c r="AN329" i="1"/>
  <c r="AN570" i="1"/>
  <c r="AN151" i="1"/>
  <c r="AN332" i="1"/>
  <c r="AN420" i="1"/>
  <c r="AN545" i="1"/>
  <c r="AN203" i="1"/>
  <c r="AN635" i="1"/>
  <c r="AN415" i="1"/>
  <c r="AN336" i="1"/>
  <c r="AN174" i="1"/>
  <c r="AN104" i="1"/>
  <c r="AN108" i="1"/>
  <c r="AN230" i="1"/>
  <c r="AN501" i="1"/>
  <c r="AN657" i="1"/>
  <c r="AN156" i="1"/>
  <c r="AN161" i="1"/>
  <c r="AN55" i="1"/>
  <c r="AN202" i="1"/>
  <c r="AN364" i="1"/>
  <c r="AN40" i="1"/>
  <c r="AN828" i="1"/>
  <c r="AN829" i="1"/>
  <c r="AN736" i="1"/>
  <c r="AN806" i="1"/>
  <c r="AN550" i="1"/>
  <c r="AN727" i="1"/>
  <c r="AN796" i="1"/>
  <c r="AN742" i="1"/>
  <c r="AN575" i="1"/>
  <c r="AN485" i="1"/>
  <c r="AN62" i="1"/>
  <c r="AN642" i="1"/>
  <c r="AN253" i="1"/>
  <c r="AN186" i="1"/>
  <c r="AN503" i="1"/>
  <c r="AN370" i="1"/>
  <c r="AN616" i="1"/>
  <c r="AN519" i="1"/>
  <c r="AN789" i="1"/>
  <c r="AN729" i="1"/>
  <c r="AN740" i="1"/>
  <c r="AN149" i="1"/>
  <c r="AN390" i="1"/>
  <c r="AN592" i="1"/>
  <c r="AN340" i="1"/>
  <c r="AN697" i="1"/>
  <c r="AN39" i="1"/>
  <c r="AN683" i="1"/>
  <c r="AN371" i="1"/>
  <c r="AN355" i="1"/>
  <c r="AN70" i="1"/>
  <c r="AN524" i="1"/>
  <c r="AN693" i="1"/>
  <c r="AN345" i="1"/>
  <c r="AN376" i="1"/>
  <c r="AN44" i="1"/>
  <c r="AN160" i="1"/>
  <c r="AN57" i="1"/>
  <c r="AN274" i="1"/>
  <c r="AN681" i="1"/>
  <c r="AN438" i="1"/>
  <c r="AN660" i="1"/>
  <c r="AN41" i="1"/>
  <c r="AN131" i="1"/>
  <c r="AN434" i="1"/>
  <c r="AN761" i="1"/>
  <c r="AN775" i="1"/>
  <c r="AN750" i="1"/>
  <c r="AN504" i="1"/>
  <c r="AN533" i="1"/>
  <c r="AN193" i="1"/>
  <c r="AN106" i="1"/>
  <c r="AN472" i="1"/>
  <c r="AN111" i="1"/>
  <c r="AN416" i="1"/>
  <c r="AN318" i="1"/>
  <c r="AN218" i="1"/>
  <c r="AN534" i="1"/>
  <c r="AN244" i="1"/>
  <c r="AN700" i="1"/>
  <c r="AN215" i="1"/>
  <c r="AN35" i="1"/>
  <c r="AN165" i="1"/>
  <c r="AN83" i="1"/>
  <c r="AN273" i="1"/>
  <c r="AN237" i="1"/>
  <c r="AN142" i="1"/>
  <c r="AN176" i="1"/>
  <c r="AN543" i="1"/>
  <c r="AN343" i="1"/>
  <c r="AN65" i="1"/>
  <c r="AN835" i="1"/>
  <c r="AN836" i="1"/>
  <c r="AN783" i="1"/>
  <c r="AN711" i="1"/>
  <c r="AN630" i="1"/>
  <c r="AN722" i="1"/>
  <c r="AN790" i="1"/>
  <c r="AN809" i="1"/>
  <c r="AN768" i="1"/>
  <c r="AN758" i="1"/>
  <c r="AN673" i="1"/>
  <c r="AN600" i="1"/>
  <c r="AN360" i="1"/>
  <c r="AN523" i="1"/>
  <c r="AN375" i="1"/>
  <c r="AN133" i="1"/>
  <c r="AN86" i="1"/>
  <c r="AN312" i="1"/>
  <c r="AN116" i="1"/>
  <c r="AN569" i="1"/>
  <c r="AN567" i="1"/>
  <c r="AN408" i="1"/>
  <c r="AN565" i="1"/>
  <c r="AN328" i="1"/>
  <c r="AN373" i="1"/>
  <c r="AN447" i="1"/>
  <c r="AN521" i="1"/>
  <c r="AN217" i="1"/>
  <c r="AN362" i="1"/>
  <c r="AN578" i="1"/>
  <c r="AN688" i="1"/>
  <c r="AN495" i="1"/>
  <c r="AN177" i="1"/>
  <c r="AN643" i="1"/>
  <c r="AN484" i="1"/>
  <c r="AN780" i="1"/>
  <c r="AN719" i="1"/>
  <c r="AN666" i="1"/>
  <c r="AN607" i="1"/>
  <c r="AN788" i="1"/>
  <c r="AN747" i="1"/>
  <c r="AN526" i="1"/>
  <c r="AN497" i="1"/>
  <c r="AN260" i="1"/>
  <c r="AN361" i="1"/>
  <c r="AN5" i="1"/>
  <c r="AN651" i="1"/>
  <c r="AN661" i="1"/>
  <c r="AN36" i="1"/>
  <c r="AN506" i="1"/>
  <c r="AN398" i="1"/>
  <c r="AN691" i="1"/>
  <c r="AN411" i="1"/>
  <c r="AN382" i="1"/>
  <c r="AN216" i="1"/>
  <c r="AN677" i="1"/>
  <c r="AN618" i="1"/>
  <c r="AN239" i="1"/>
  <c r="AN127" i="1"/>
  <c r="AN298" i="1"/>
  <c r="AN401" i="1"/>
  <c r="AN171" i="1"/>
  <c r="AN446" i="1"/>
  <c r="AN12" i="1"/>
  <c r="AN380" i="1"/>
  <c r="AN687" i="1"/>
  <c r="AN465" i="1"/>
  <c r="AN66" i="1"/>
  <c r="AN670" i="1"/>
  <c r="AN611" i="1"/>
  <c r="AN516" i="1"/>
  <c r="AN367" i="1"/>
  <c r="AN349" i="1"/>
  <c r="AN256" i="1"/>
  <c r="AN17" i="1"/>
  <c r="AN265" i="1"/>
  <c r="AN255" i="1"/>
  <c r="AN647" i="1"/>
  <c r="AN509" i="1"/>
  <c r="AN461" i="1"/>
  <c r="AN119" i="1"/>
  <c r="AN414" i="1"/>
  <c r="AN54" i="1"/>
  <c r="AN257" i="1"/>
  <c r="AN283" i="1"/>
  <c r="AN658" i="1"/>
  <c r="AN587" i="1"/>
  <c r="AN179" i="1"/>
  <c r="AN58" i="1"/>
  <c r="AN561" i="1"/>
  <c r="AN25" i="1"/>
  <c r="AN453" i="1"/>
  <c r="AN166" i="1"/>
  <c r="AN297" i="1"/>
  <c r="AN439" i="1"/>
  <c r="AN72" i="1"/>
  <c r="AN270" i="1"/>
  <c r="AN726" i="1"/>
  <c r="AN795" i="1"/>
  <c r="AN760" i="1"/>
  <c r="AN589" i="1"/>
  <c r="AN733" i="1"/>
  <c r="AN803" i="1"/>
  <c r="AN765" i="1"/>
  <c r="AN679" i="1"/>
  <c r="AN456" i="1"/>
  <c r="AN518" i="1"/>
  <c r="AN357" i="1"/>
  <c r="AN701" i="1"/>
  <c r="AN489" i="1"/>
  <c r="AN551" i="1"/>
  <c r="AN268" i="1"/>
  <c r="AN147" i="1"/>
  <c r="AN702" i="1"/>
  <c r="AN671" i="1"/>
  <c r="AN568" i="1"/>
  <c r="AN303" i="1"/>
  <c r="AN248" i="1"/>
  <c r="AN680" i="1"/>
  <c r="AN663" i="1"/>
  <c r="AN492" i="1"/>
  <c r="AN412" i="1"/>
  <c r="AN226" i="1"/>
  <c r="AN150" i="1"/>
  <c r="AN120" i="1"/>
  <c r="AN224" i="1"/>
  <c r="AN325" i="1"/>
  <c r="AN698" i="1"/>
  <c r="AN659" i="1"/>
  <c r="AN400" i="1"/>
  <c r="AN221" i="1"/>
  <c r="AN593" i="1"/>
  <c r="AN183" i="1"/>
  <c r="AN396" i="1"/>
  <c r="AN238" i="1"/>
  <c r="AN191" i="1"/>
  <c r="AN34" i="1"/>
  <c r="AN69" i="1"/>
  <c r="AN308" i="1"/>
  <c r="AN49" i="1"/>
  <c r="AN363" i="1"/>
  <c r="AN410" i="1"/>
  <c r="AN395" i="1"/>
  <c r="AN197" i="1"/>
  <c r="AN282" i="1"/>
  <c r="AN280" i="1"/>
  <c r="AN246" i="1"/>
  <c r="AN115" i="1"/>
  <c r="AN581" i="1"/>
  <c r="AN443" i="1"/>
  <c r="AN452" i="1"/>
  <c r="AN263" i="1"/>
  <c r="AN588" i="1"/>
  <c r="AN514" i="1"/>
  <c r="AN428" i="1"/>
  <c r="AN27" i="1"/>
  <c r="AN294" i="1"/>
  <c r="AN299" i="1"/>
  <c r="AN79" i="1"/>
  <c r="AN394" i="1"/>
  <c r="AN14" i="1"/>
  <c r="AN99" i="1"/>
  <c r="AN840" i="1"/>
  <c r="AN89" i="1"/>
  <c r="AN194" i="1"/>
  <c r="AN419" i="1"/>
  <c r="AN432" i="1"/>
  <c r="AN388" i="1"/>
  <c r="AN823" i="1"/>
  <c r="AN832" i="1"/>
  <c r="AN824" i="1"/>
  <c r="AN833" i="1"/>
  <c r="AN728" i="1"/>
  <c r="AN778" i="1"/>
  <c r="AN797" i="1"/>
  <c r="AN817" i="1"/>
  <c r="AN769" i="1"/>
  <c r="AN767" i="1"/>
  <c r="AN557" i="1"/>
  <c r="AN539" i="1"/>
  <c r="AN735" i="1"/>
  <c r="AN786" i="1"/>
  <c r="AN805" i="1"/>
  <c r="AN755" i="1"/>
  <c r="AN757" i="1"/>
  <c r="AN566" i="1"/>
  <c r="AN672" i="1"/>
  <c r="AN520" i="1"/>
  <c r="AN3" i="1"/>
  <c r="AN341" i="1"/>
  <c r="AN480" i="1"/>
  <c r="AN190" i="1"/>
  <c r="AN188" i="1"/>
  <c r="AN269" i="1"/>
  <c r="AN669" i="1"/>
  <c r="AN596" i="1"/>
  <c r="AN359" i="1"/>
  <c r="AN558" i="1"/>
  <c r="AN496" i="1"/>
  <c r="AN90" i="1"/>
  <c r="AN199" i="1"/>
  <c r="AN15" i="1"/>
  <c r="AN80" i="1"/>
  <c r="AN327" i="1"/>
  <c r="AN662" i="1"/>
  <c r="AN552" i="1"/>
  <c r="AN595" i="1"/>
  <c r="AN277" i="1"/>
  <c r="AN704" i="1"/>
  <c r="AN352" i="1"/>
  <c r="AN738" i="1"/>
  <c r="AN808" i="1"/>
  <c r="AN762" i="1"/>
  <c r="AN620" i="1"/>
  <c r="AN779" i="1"/>
  <c r="AN818" i="1"/>
  <c r="AN686" i="1"/>
  <c r="AN639" i="1"/>
  <c r="AN152" i="1"/>
  <c r="AN491" i="1"/>
  <c r="AN275" i="1"/>
  <c r="AN675" i="1"/>
  <c r="AN413" i="1"/>
  <c r="AN507" i="1"/>
  <c r="AN467" i="1"/>
  <c r="AN68" i="1"/>
  <c r="AN645" i="1"/>
  <c r="AN146" i="1"/>
  <c r="AN481" i="1"/>
  <c r="AN331" i="1"/>
  <c r="AN654" i="1"/>
  <c r="AN579" i="1"/>
  <c r="AN377" i="1"/>
  <c r="AN52" i="1"/>
  <c r="AN118" i="1"/>
  <c r="AN285" i="1"/>
  <c r="AN145" i="1"/>
  <c r="AN91" i="1"/>
  <c r="AN159" i="1"/>
  <c r="AN213" i="1"/>
  <c r="AN641" i="1"/>
  <c r="AN310" i="1"/>
  <c r="AN264" i="1"/>
  <c r="AN228" i="1"/>
  <c r="AN624" i="1"/>
  <c r="AN441" i="1"/>
  <c r="AN7" i="1"/>
  <c r="AN11" i="1"/>
  <c r="AN366" i="1"/>
  <c r="AN204" i="1"/>
  <c r="AN279" i="1"/>
  <c r="AN30" i="1"/>
  <c r="AN541" i="1"/>
  <c r="AN498" i="1"/>
  <c r="AN468" i="1"/>
  <c r="AN444" i="1"/>
  <c r="AN378" i="1"/>
  <c r="AN254" i="1"/>
  <c r="AN278" i="1"/>
  <c r="AN316" i="1"/>
  <c r="AN233" i="1"/>
  <c r="AN612" i="1"/>
  <c r="AN486" i="1"/>
  <c r="AN429" i="1"/>
  <c r="AN554" i="1"/>
  <c r="AN488" i="1"/>
  <c r="AN464" i="1"/>
  <c r="AN137" i="1"/>
  <c r="AN222" i="1"/>
  <c r="AN23" i="1"/>
  <c r="AN262" i="1"/>
  <c r="AN71" i="1"/>
  <c r="AN837" i="1"/>
  <c r="AN785" i="1"/>
  <c r="AN759" i="1"/>
  <c r="AN582" i="1"/>
  <c r="AN725" i="1"/>
  <c r="AN793" i="1"/>
  <c r="AN712" i="1"/>
  <c r="AN633" i="1"/>
  <c r="AN417" i="1"/>
  <c r="AN61" i="1"/>
  <c r="AN405" i="1"/>
  <c r="AN678" i="1"/>
  <c r="AN627" i="1"/>
  <c r="AN528" i="1"/>
  <c r="AN281" i="1"/>
  <c r="AN383" i="1"/>
  <c r="AN138" i="1"/>
  <c r="AN652" i="1"/>
  <c r="AN674" i="1"/>
  <c r="AN13" i="1"/>
  <c r="AN56" i="1"/>
  <c r="AN577" i="1"/>
  <c r="AN637" i="1"/>
  <c r="AN393" i="1"/>
  <c r="AN182" i="1"/>
  <c r="AN192" i="1"/>
  <c r="AN305" i="1"/>
  <c r="AN153" i="1"/>
  <c r="AN110" i="1"/>
  <c r="AN223" i="1"/>
  <c r="AN180" i="1"/>
  <c r="AN648" i="1"/>
  <c r="AN450" i="1"/>
  <c r="AN31" i="1"/>
  <c r="AN586" i="1"/>
  <c r="AN511" i="1"/>
  <c r="AN493" i="1"/>
  <c r="AN426" i="1"/>
  <c r="AN208" i="1"/>
  <c r="AN117" i="1"/>
  <c r="AN219" i="1"/>
  <c r="AN139" i="1"/>
  <c r="AN406" i="1"/>
  <c r="AN505" i="1"/>
  <c r="AN385" i="1"/>
  <c r="AN339" i="1"/>
  <c r="AN88" i="1"/>
  <c r="AN207" i="1"/>
  <c r="AN287" i="1"/>
  <c r="AN163" i="1"/>
  <c r="AN19" i="1"/>
  <c r="AN574" i="1"/>
  <c r="AN487" i="1"/>
  <c r="AN319" i="1"/>
  <c r="AN28" i="1"/>
  <c r="AN699" i="1"/>
  <c r="AN10" i="1"/>
  <c r="AN346" i="1"/>
  <c r="AN38" i="1"/>
  <c r="AN392" i="1"/>
  <c r="AN242" i="1"/>
  <c r="AN844" i="1"/>
  <c r="AN717" i="1"/>
  <c r="AN42" i="1"/>
  <c r="AN98" i="1"/>
  <c r="AN291" i="1"/>
  <c r="AN457" i="1"/>
  <c r="AN668" i="1"/>
  <c r="AN512" i="1"/>
  <c r="AN559" i="1"/>
  <c r="AN178" i="1"/>
  <c r="AN442" i="1"/>
  <c r="AN437" i="1"/>
  <c r="AN102" i="1"/>
  <c r="AN599" i="1"/>
  <c r="AN597" i="1"/>
  <c r="AN82" i="1"/>
  <c r="AN799" i="1"/>
  <c r="AN556" i="1"/>
  <c r="AN737" i="1"/>
  <c r="AN745" i="1"/>
  <c r="AN451" i="1"/>
  <c r="AN37" i="1"/>
  <c r="AN605" i="1"/>
  <c r="AN170" i="1"/>
  <c r="AN169" i="1"/>
  <c r="AN626" i="1"/>
  <c r="AN628" i="1"/>
  <c r="AN351" i="1"/>
  <c r="AN608" i="1"/>
  <c r="AN477" i="1"/>
  <c r="AN251" i="1"/>
  <c r="AN184" i="1"/>
  <c r="AN232" i="1"/>
  <c r="AN622" i="1"/>
  <c r="AN502" i="1"/>
  <c r="AN403" i="1"/>
  <c r="AN211" i="1"/>
  <c r="AN387" i="1"/>
  <c r="AN425" i="1"/>
  <c r="AN67" i="1"/>
  <c r="AN126" i="1"/>
  <c r="AN462" i="1"/>
  <c r="AN173" i="1"/>
  <c r="AN74" i="1"/>
  <c r="AN77" i="1"/>
  <c r="AN326" i="1"/>
  <c r="AN135" i="1"/>
  <c r="AN293" i="1"/>
  <c r="AN547" i="1"/>
  <c r="AN348" i="1"/>
  <c r="AN172" i="1"/>
  <c r="AN323" i="1"/>
  <c r="AN708" i="1"/>
  <c r="AN776" i="1"/>
  <c r="AN746" i="1"/>
  <c r="AN784" i="1"/>
  <c r="AN614" i="1"/>
  <c r="AN482" i="1"/>
  <c r="AN436" i="1"/>
  <c r="AN632" i="1"/>
  <c r="AN638" i="1"/>
  <c r="AN124" i="1"/>
  <c r="AN549" i="1"/>
  <c r="AN60" i="1"/>
  <c r="AN93" i="1"/>
  <c r="AN475" i="1"/>
  <c r="AN92" i="1"/>
  <c r="AN47" i="1"/>
  <c r="AN168" i="1"/>
  <c r="AN399" i="1"/>
  <c r="AN301" i="1"/>
  <c r="AN21" i="1"/>
  <c r="AN235" i="1"/>
  <c r="AN478" i="1"/>
  <c r="AN418" i="1"/>
  <c r="AN333" i="1"/>
  <c r="AN422" i="1"/>
  <c r="AN644" i="1"/>
  <c r="AN479" i="1"/>
  <c r="AN16" i="1"/>
  <c r="AN330" i="1"/>
  <c r="AN295" i="1"/>
  <c r="AN709" i="1"/>
  <c r="AN591" i="1"/>
  <c r="AN75" i="1"/>
  <c r="AN50" i="1"/>
  <c r="AN87" i="1"/>
  <c r="AN368" i="1"/>
  <c r="AN258" i="1"/>
  <c r="AN209" i="1"/>
  <c r="AN404" i="1"/>
  <c r="AN842" i="1"/>
  <c r="AN321" i="1"/>
  <c r="AN407" i="1"/>
  <c r="AN841" i="1"/>
  <c r="AN820" i="1"/>
  <c r="AN838" i="1"/>
  <c r="AN787" i="1"/>
  <c r="AN751" i="1"/>
  <c r="AN753" i="1"/>
  <c r="AN656" i="1"/>
  <c r="AN777" i="1"/>
  <c r="AN815" i="1"/>
  <c r="AN748" i="1"/>
  <c r="AN573" i="1"/>
  <c r="AN424" i="1"/>
  <c r="AN421" i="1"/>
  <c r="AN63" i="1"/>
  <c r="AN201" i="1"/>
  <c r="AN532" i="1"/>
  <c r="AN555" i="1"/>
  <c r="AN664" i="1"/>
  <c r="AN33" i="1"/>
  <c r="AN59" i="1"/>
  <c r="AN431" i="1"/>
  <c r="AN685" i="1"/>
  <c r="AN454" i="1"/>
  <c r="AN602" i="1"/>
  <c r="AN721" i="1"/>
  <c r="AN743" i="1"/>
  <c r="AN689" i="1"/>
  <c r="AN798" i="1"/>
  <c r="AN537" i="1"/>
  <c r="AN32" i="1"/>
  <c r="AN610" i="1"/>
  <c r="AN474" i="1"/>
  <c r="AN96" i="1"/>
  <c r="AN85" i="1"/>
  <c r="AN576" i="1"/>
  <c r="AN29" i="1"/>
  <c r="AN540" i="1"/>
  <c r="AN515" i="1"/>
  <c r="AN162" i="1"/>
  <c r="AN205" i="1"/>
  <c r="AN123" i="1"/>
  <c r="AN706" i="1"/>
  <c r="AN667" i="1"/>
  <c r="AN234" i="1"/>
  <c r="AN473" i="1"/>
  <c r="AN289" i="1"/>
  <c r="AN95" i="1"/>
  <c r="AN290" i="1"/>
  <c r="AN335" i="1"/>
  <c r="AN154" i="1"/>
  <c r="AN198" i="1"/>
  <c r="AN314" i="1"/>
  <c r="AN214" i="1"/>
  <c r="AN300" i="1"/>
  <c r="AN455" i="1"/>
  <c r="AN350" i="1"/>
  <c r="AN337" i="1"/>
  <c r="AN206" i="1"/>
  <c r="AN48" i="1"/>
  <c r="AN240" i="1"/>
  <c r="AN734" i="1"/>
  <c r="AN804" i="1"/>
  <c r="AN692" i="1"/>
  <c r="AN811" i="1"/>
  <c r="AN655" i="1"/>
  <c r="AN250" i="1"/>
  <c r="AN155" i="1"/>
  <c r="AN24" i="1"/>
  <c r="AN694" i="1"/>
  <c r="AN546" i="1"/>
  <c r="AN619" i="1"/>
  <c r="AN338" i="1"/>
  <c r="AN583" i="1"/>
  <c r="AN113" i="1"/>
  <c r="AN231" i="1"/>
  <c r="AN324" i="1"/>
  <c r="AN227" i="1"/>
  <c r="AN9" i="1"/>
  <c r="AN517" i="1"/>
  <c r="AN267" i="1"/>
  <c r="AN100" i="1"/>
  <c r="AN266" i="1"/>
  <c r="AN114" i="1"/>
  <c r="AN167" i="1"/>
  <c r="AN530" i="1"/>
  <c r="AN342" i="1"/>
  <c r="AN365" i="1"/>
  <c r="AN397" i="1"/>
  <c r="AN229" i="1"/>
  <c r="AN684" i="1"/>
  <c r="AN158" i="1"/>
  <c r="AN634" i="1"/>
  <c r="AN476" i="1"/>
  <c r="AN276" i="1"/>
  <c r="AN121" i="1"/>
  <c r="H52" i="2"/>
  <c r="F52" i="2"/>
  <c r="H51" i="2"/>
  <c r="F50" i="2"/>
  <c r="C50" i="2"/>
  <c r="I49" i="2"/>
  <c r="F48" i="2"/>
  <c r="H48" i="2"/>
  <c r="C47" i="2"/>
  <c r="C46" i="2"/>
  <c r="J45" i="2"/>
  <c r="F44" i="2"/>
  <c r="C44" i="2"/>
  <c r="C43" i="2"/>
  <c r="H42" i="2"/>
  <c r="H14" i="5"/>
  <c r="E14" i="5"/>
  <c r="C23" i="4"/>
  <c r="E23" i="4"/>
  <c r="H41" i="2"/>
  <c r="F41" i="2"/>
  <c r="C22" i="4"/>
  <c r="F22" i="4"/>
  <c r="N39" i="2"/>
  <c r="C40" i="2"/>
  <c r="I52" i="2"/>
  <c r="B52" i="2"/>
  <c r="B51" i="2"/>
  <c r="J51" i="2"/>
  <c r="I50" i="2"/>
  <c r="H49" i="2"/>
  <c r="B49" i="2"/>
  <c r="J48" i="2"/>
  <c r="H47" i="2"/>
  <c r="J47" i="2"/>
  <c r="B46" i="2"/>
  <c r="I45" i="2"/>
  <c r="H45" i="2"/>
  <c r="I44" i="2"/>
  <c r="H44" i="2"/>
  <c r="J43" i="2"/>
  <c r="I43" i="2"/>
  <c r="C42" i="2"/>
  <c r="D14" i="5"/>
  <c r="C14" i="5"/>
  <c r="H23" i="4"/>
  <c r="J23" i="4"/>
  <c r="C41" i="2"/>
  <c r="D22" i="4"/>
  <c r="J22" i="4"/>
  <c r="H40" i="2"/>
  <c r="A53" i="2"/>
  <c r="C52" i="2"/>
  <c r="F51" i="2"/>
  <c r="H50" i="2"/>
  <c r="B50" i="2"/>
  <c r="J49" i="2"/>
  <c r="I48" i="2"/>
  <c r="F47" i="2"/>
  <c r="H46" i="2"/>
  <c r="I46" i="2"/>
  <c r="B45" i="2"/>
  <c r="B44" i="2"/>
  <c r="H43" i="2"/>
  <c r="J42" i="2"/>
  <c r="I42" i="2"/>
  <c r="G14" i="5"/>
  <c r="F23" i="4"/>
  <c r="B41" i="2"/>
  <c r="I22" i="4"/>
  <c r="J40" i="2"/>
  <c r="J52" i="2"/>
  <c r="C51" i="2"/>
  <c r="C49" i="2"/>
  <c r="F49" i="2"/>
  <c r="I47" i="2"/>
  <c r="J46" i="2"/>
  <c r="C45" i="2"/>
  <c r="F45" i="2"/>
  <c r="J44" i="2"/>
  <c r="B43" i="2"/>
  <c r="B42" i="2"/>
  <c r="D23" i="4"/>
  <c r="I23" i="4"/>
  <c r="E22" i="4"/>
  <c r="F40" i="2"/>
  <c r="B15" i="5" s="1"/>
  <c r="B48" i="2"/>
  <c r="G23" i="4"/>
  <c r="I41" i="2"/>
  <c r="G22" i="4"/>
  <c r="N38" i="2"/>
  <c r="I40" i="2"/>
  <c r="I51" i="2"/>
  <c r="J50" i="2"/>
  <c r="C48" i="2"/>
  <c r="B47" i="2"/>
  <c r="F46" i="2"/>
  <c r="F43" i="2"/>
  <c r="F42" i="2"/>
  <c r="B3" i="9" s="1"/>
  <c r="F14" i="5"/>
  <c r="J41" i="2"/>
  <c r="H22" i="4"/>
  <c r="B40" i="2"/>
  <c r="L13" i="5" l="1"/>
  <c r="M39" i="2"/>
  <c r="O39" i="2" s="1"/>
  <c r="P39" i="2" s="1"/>
  <c r="Q39" i="2" s="1"/>
  <c r="E40" i="2"/>
  <c r="D40" i="2"/>
  <c r="L40" i="2"/>
  <c r="K40" i="2"/>
  <c r="K23" i="4"/>
  <c r="A14" i="5"/>
  <c r="E42" i="2"/>
  <c r="D42" i="2"/>
  <c r="K42" i="2"/>
  <c r="L42" i="2"/>
  <c r="E43" i="2"/>
  <c r="D43" i="2"/>
  <c r="L43" i="2"/>
  <c r="K43" i="2"/>
  <c r="E46" i="2"/>
  <c r="D46" i="2"/>
  <c r="L46" i="2"/>
  <c r="K46" i="2"/>
  <c r="E47" i="2"/>
  <c r="D47" i="2"/>
  <c r="L47" i="2"/>
  <c r="K47" i="2"/>
  <c r="E49" i="2"/>
  <c r="D49" i="2"/>
  <c r="K49" i="2"/>
  <c r="L49" i="2"/>
  <c r="E51" i="2"/>
  <c r="D51" i="2"/>
  <c r="K51" i="2"/>
  <c r="L51" i="2"/>
  <c r="E52" i="2"/>
  <c r="D52" i="2"/>
  <c r="L52" i="2"/>
  <c r="K52" i="2"/>
  <c r="J14" i="5"/>
  <c r="K22" i="4"/>
  <c r="A22" i="4"/>
  <c r="N22" i="4"/>
  <c r="E41" i="2"/>
  <c r="D41" i="2"/>
  <c r="K41" i="2"/>
  <c r="L41" i="2"/>
  <c r="A23" i="4"/>
  <c r="N23" i="4"/>
  <c r="E44" i="2"/>
  <c r="D44" i="2"/>
  <c r="K44" i="2"/>
  <c r="L44" i="2"/>
  <c r="E45" i="2"/>
  <c r="D45" i="2"/>
  <c r="K45" i="2"/>
  <c r="L45" i="2"/>
  <c r="E48" i="2"/>
  <c r="D48" i="2"/>
  <c r="L48" i="2"/>
  <c r="K48" i="2"/>
  <c r="E50" i="2"/>
  <c r="D50" i="2"/>
  <c r="K50" i="2"/>
  <c r="L50" i="2"/>
  <c r="G53" i="2"/>
  <c r="R53" i="2"/>
  <c r="L21" i="4"/>
  <c r="M38" i="2"/>
  <c r="O38" i="2" s="1"/>
  <c r="P38" i="2" s="1"/>
  <c r="Q38" i="2" s="1"/>
  <c r="O36" i="2"/>
  <c r="P36" i="2" s="1"/>
  <c r="Q36" i="2" s="1"/>
  <c r="I3" i="6"/>
  <c r="E15" i="5"/>
  <c r="G3" i="9"/>
  <c r="B24" i="4"/>
  <c r="I53" i="2"/>
  <c r="E3" i="9"/>
  <c r="I3" i="9"/>
  <c r="F15" i="5"/>
  <c r="C15" i="5"/>
  <c r="A54" i="2"/>
  <c r="J53" i="2"/>
  <c r="D3" i="9"/>
  <c r="H3" i="9"/>
  <c r="G15" i="5"/>
  <c r="D15" i="5"/>
  <c r="N42" i="2"/>
  <c r="N44" i="2"/>
  <c r="N48" i="2"/>
  <c r="N43" i="2"/>
  <c r="N46" i="2"/>
  <c r="N49" i="2"/>
  <c r="N52" i="2"/>
  <c r="H53" i="2"/>
  <c r="F3" i="9"/>
  <c r="C3" i="9"/>
  <c r="B16" i="5"/>
  <c r="B17" i="5" s="1"/>
  <c r="B18" i="5" s="1"/>
  <c r="N50" i="2"/>
  <c r="F53" i="2"/>
  <c r="C53" i="2"/>
  <c r="J3" i="9"/>
  <c r="H15" i="5"/>
  <c r="N40" i="2"/>
  <c r="N41" i="2"/>
  <c r="N45" i="2"/>
  <c r="B6" i="7"/>
  <c r="N47" i="2"/>
  <c r="N51" i="2"/>
  <c r="B53" i="2"/>
  <c r="B7" i="7"/>
  <c r="B19" i="5"/>
  <c r="B20" i="5" s="1"/>
  <c r="B21" i="5" s="1"/>
  <c r="B22" i="5" s="1"/>
  <c r="I14" i="5" l="1"/>
  <c r="M21" i="4"/>
  <c r="K3" i="6"/>
  <c r="L3" i="6" s="1"/>
  <c r="M13" i="5"/>
  <c r="M45" i="2"/>
  <c r="I6" i="7" s="1"/>
  <c r="M44" i="2"/>
  <c r="I19" i="5" s="1"/>
  <c r="M41" i="2"/>
  <c r="O41" i="2" s="1"/>
  <c r="P41" i="2" s="1"/>
  <c r="Q41" i="2" s="1"/>
  <c r="M51" i="2"/>
  <c r="O51" i="2" s="1"/>
  <c r="P51" i="2" s="1"/>
  <c r="Q51" i="2" s="1"/>
  <c r="M49" i="2"/>
  <c r="O49" i="2" s="1"/>
  <c r="P49" i="2" s="1"/>
  <c r="Q49" i="2" s="1"/>
  <c r="M42" i="2"/>
  <c r="I17" i="5" s="1"/>
  <c r="J22" i="5"/>
  <c r="J21" i="5"/>
  <c r="J20" i="5"/>
  <c r="J19" i="5"/>
  <c r="J18" i="5"/>
  <c r="J17" i="5"/>
  <c r="E53" i="2"/>
  <c r="D53" i="2"/>
  <c r="L53" i="2"/>
  <c r="K53" i="2"/>
  <c r="J6" i="7"/>
  <c r="J15" i="5"/>
  <c r="R54" i="2"/>
  <c r="G54" i="2"/>
  <c r="A15" i="5"/>
  <c r="J16" i="5"/>
  <c r="I16" i="5"/>
  <c r="K3" i="9"/>
  <c r="A3" i="9"/>
  <c r="L23" i="4"/>
  <c r="K14" i="5"/>
  <c r="M50" i="2"/>
  <c r="O50" i="2" s="1"/>
  <c r="P50" i="2" s="1"/>
  <c r="Q50" i="2" s="1"/>
  <c r="M48" i="2"/>
  <c r="O48" i="2" s="1"/>
  <c r="P48" i="2" s="1"/>
  <c r="Q48" i="2" s="1"/>
  <c r="L22" i="4"/>
  <c r="M52" i="2"/>
  <c r="O52" i="2" s="1"/>
  <c r="P52" i="2" s="1"/>
  <c r="Q52" i="2" s="1"/>
  <c r="M47" i="2"/>
  <c r="M46" i="2"/>
  <c r="O46" i="2" s="1"/>
  <c r="P46" i="2" s="1"/>
  <c r="Q46" i="2" s="1"/>
  <c r="M43" i="2"/>
  <c r="M40" i="2"/>
  <c r="B23" i="5"/>
  <c r="F22" i="5"/>
  <c r="G21" i="5"/>
  <c r="D21" i="5"/>
  <c r="G20" i="5"/>
  <c r="G19" i="5"/>
  <c r="F19" i="5"/>
  <c r="H18" i="5"/>
  <c r="E7" i="7"/>
  <c r="F7" i="7"/>
  <c r="G17" i="5"/>
  <c r="G6" i="7"/>
  <c r="C6" i="7"/>
  <c r="E24" i="4"/>
  <c r="F54" i="2"/>
  <c r="E6" i="7"/>
  <c r="J24" i="4"/>
  <c r="H54" i="2"/>
  <c r="D22" i="5"/>
  <c r="E22" i="5"/>
  <c r="F21" i="5"/>
  <c r="C20" i="5"/>
  <c r="E18" i="5"/>
  <c r="F18" i="5"/>
  <c r="C17" i="5"/>
  <c r="G16" i="5"/>
  <c r="G22" i="5"/>
  <c r="C22" i="5"/>
  <c r="C21" i="5"/>
  <c r="E20" i="5"/>
  <c r="F20" i="5"/>
  <c r="D19" i="5"/>
  <c r="D18" i="5"/>
  <c r="G18" i="5"/>
  <c r="C7" i="7"/>
  <c r="H17" i="5"/>
  <c r="F17" i="5"/>
  <c r="H6" i="7"/>
  <c r="D24" i="4"/>
  <c r="F24" i="4"/>
  <c r="C54" i="2"/>
  <c r="J54" i="2"/>
  <c r="C16" i="5"/>
  <c r="D6" i="7"/>
  <c r="F6" i="7"/>
  <c r="C24" i="4"/>
  <c r="G24" i="4"/>
  <c r="I54" i="2"/>
  <c r="B54" i="2"/>
  <c r="H22" i="5"/>
  <c r="H21" i="5"/>
  <c r="E21" i="5"/>
  <c r="H20" i="5"/>
  <c r="H19" i="5"/>
  <c r="E19" i="5"/>
  <c r="C18" i="5"/>
  <c r="D7" i="7"/>
  <c r="G7" i="7"/>
  <c r="E17" i="5"/>
  <c r="N53" i="2"/>
  <c r="D16" i="5"/>
  <c r="B25" i="4"/>
  <c r="H24" i="4"/>
  <c r="H16" i="5"/>
  <c r="F16" i="5"/>
  <c r="I24" i="4"/>
  <c r="A55" i="2"/>
  <c r="D20" i="5"/>
  <c r="C19" i="5"/>
  <c r="H7" i="7"/>
  <c r="D17" i="5"/>
  <c r="E16" i="5"/>
  <c r="A56" i="2"/>
  <c r="A57" i="2" s="1"/>
  <c r="O45" i="2" l="1"/>
  <c r="P45" i="2" s="1"/>
  <c r="Q45" i="2" s="1"/>
  <c r="M3" i="6"/>
  <c r="M23" i="4"/>
  <c r="M22" i="4"/>
  <c r="O44" i="2"/>
  <c r="P44" i="2" s="1"/>
  <c r="Q44" i="2" s="1"/>
  <c r="K16" i="5"/>
  <c r="O42" i="2"/>
  <c r="P42" i="2" s="1"/>
  <c r="Q42" i="2" s="1"/>
  <c r="K17" i="5"/>
  <c r="K19" i="5"/>
  <c r="G57" i="2"/>
  <c r="R57" i="2"/>
  <c r="R56" i="2"/>
  <c r="G56" i="2"/>
  <c r="J7" i="7"/>
  <c r="A17" i="5"/>
  <c r="A18" i="5"/>
  <c r="A19" i="5"/>
  <c r="A20" i="5"/>
  <c r="E54" i="2"/>
  <c r="D54" i="2"/>
  <c r="L54" i="2"/>
  <c r="K54" i="2"/>
  <c r="G55" i="2"/>
  <c r="R55" i="2"/>
  <c r="A24" i="4"/>
  <c r="N24" i="4"/>
  <c r="K24" i="4"/>
  <c r="A16" i="5"/>
  <c r="A6" i="7"/>
  <c r="A7" i="7"/>
  <c r="A21" i="5"/>
  <c r="A22" i="5"/>
  <c r="J23" i="5"/>
  <c r="I23" i="5"/>
  <c r="I20" i="5"/>
  <c r="I18" i="5"/>
  <c r="O43" i="2"/>
  <c r="P43" i="2" s="1"/>
  <c r="Q43" i="2" s="1"/>
  <c r="I21" i="5"/>
  <c r="O47" i="2"/>
  <c r="P47" i="2" s="1"/>
  <c r="Q47" i="2" s="1"/>
  <c r="L14" i="5"/>
  <c r="O40" i="2"/>
  <c r="P40" i="2" s="1"/>
  <c r="Q40" i="2" s="1"/>
  <c r="I15" i="5"/>
  <c r="K6" i="7"/>
  <c r="L3" i="9"/>
  <c r="M53" i="2"/>
  <c r="I22" i="5"/>
  <c r="H57" i="2"/>
  <c r="I57" i="2"/>
  <c r="F56" i="2"/>
  <c r="I56" i="2"/>
  <c r="F25" i="4"/>
  <c r="G25" i="4"/>
  <c r="H55" i="2"/>
  <c r="I55" i="2"/>
  <c r="F23" i="5"/>
  <c r="H23" i="5"/>
  <c r="D23" i="5"/>
  <c r="E23" i="5"/>
  <c r="J57" i="2"/>
  <c r="H56" i="2"/>
  <c r="D25" i="4"/>
  <c r="H25" i="4"/>
  <c r="C55" i="2"/>
  <c r="B55" i="2"/>
  <c r="B56" i="2"/>
  <c r="E25" i="4"/>
  <c r="N54" i="2"/>
  <c r="A58" i="2"/>
  <c r="B57" i="2"/>
  <c r="C57" i="2"/>
  <c r="J56" i="2"/>
  <c r="I25" i="4"/>
  <c r="J25" i="4"/>
  <c r="F55" i="2"/>
  <c r="B26" i="4" s="1"/>
  <c r="J55" i="2"/>
  <c r="B24" i="5"/>
  <c r="C23" i="5"/>
  <c r="G23" i="5"/>
  <c r="F57" i="2"/>
  <c r="B25" i="5" s="1"/>
  <c r="C56" i="2"/>
  <c r="C25" i="4"/>
  <c r="A59" i="2"/>
  <c r="A60" i="2" s="1"/>
  <c r="A61" i="2" s="1"/>
  <c r="A62" i="2" s="1"/>
  <c r="A63" i="2" s="1"/>
  <c r="K22" i="5" l="1"/>
  <c r="L22" i="5" s="1"/>
  <c r="K20" i="5"/>
  <c r="L20" i="5" s="1"/>
  <c r="L19" i="5"/>
  <c r="M3" i="9"/>
  <c r="K15" i="5"/>
  <c r="L15" i="5" s="1"/>
  <c r="M14" i="5"/>
  <c r="K21" i="5"/>
  <c r="L21" i="5" s="1"/>
  <c r="K18" i="5"/>
  <c r="L18" i="5" s="1"/>
  <c r="L17" i="5"/>
  <c r="L16" i="5"/>
  <c r="R63" i="2"/>
  <c r="G63" i="2"/>
  <c r="R62" i="2"/>
  <c r="G62" i="2"/>
  <c r="R61" i="2"/>
  <c r="G61" i="2"/>
  <c r="R60" i="2"/>
  <c r="G60" i="2"/>
  <c r="G59" i="2"/>
  <c r="R59" i="2"/>
  <c r="A25" i="4"/>
  <c r="N25" i="4"/>
  <c r="E56" i="2"/>
  <c r="D56" i="2"/>
  <c r="K56" i="2"/>
  <c r="L56" i="2"/>
  <c r="E55" i="2"/>
  <c r="D55" i="2"/>
  <c r="K55" i="2"/>
  <c r="L55" i="2"/>
  <c r="A23" i="5"/>
  <c r="J24" i="5"/>
  <c r="I24" i="5"/>
  <c r="K25" i="4"/>
  <c r="L25" i="4" s="1"/>
  <c r="M25" i="4" s="1"/>
  <c r="E57" i="2"/>
  <c r="D57" i="2"/>
  <c r="L57" i="2"/>
  <c r="K57" i="2"/>
  <c r="R58" i="2"/>
  <c r="G58" i="2"/>
  <c r="O53" i="2"/>
  <c r="P53" i="2" s="1"/>
  <c r="Q53" i="2" s="1"/>
  <c r="I7" i="7"/>
  <c r="L6" i="7"/>
  <c r="K23" i="5"/>
  <c r="L24" i="4"/>
  <c r="M54" i="2"/>
  <c r="O54" i="2" s="1"/>
  <c r="P54" i="2" s="1"/>
  <c r="Q54" i="2" s="1"/>
  <c r="F63" i="2"/>
  <c r="H63" i="2"/>
  <c r="B62" i="2"/>
  <c r="H61" i="2"/>
  <c r="I60" i="2"/>
  <c r="C25" i="5"/>
  <c r="H25" i="5"/>
  <c r="C59" i="2"/>
  <c r="H26" i="4"/>
  <c r="E26" i="4"/>
  <c r="E24" i="5"/>
  <c r="F24" i="5"/>
  <c r="H58" i="2"/>
  <c r="C58" i="2"/>
  <c r="B63" i="2"/>
  <c r="J62" i="2"/>
  <c r="H62" i="2"/>
  <c r="I61" i="2"/>
  <c r="B61" i="2"/>
  <c r="H60" i="2"/>
  <c r="C60" i="2"/>
  <c r="D25" i="5"/>
  <c r="F59" i="2"/>
  <c r="H59" i="2"/>
  <c r="I26" i="4"/>
  <c r="J26" i="4"/>
  <c r="N55" i="2"/>
  <c r="H24" i="5"/>
  <c r="A3" i="10"/>
  <c r="A64" i="2"/>
  <c r="A65" i="2" s="1"/>
  <c r="C63" i="2"/>
  <c r="F62" i="2"/>
  <c r="J61" i="2"/>
  <c r="F60" i="2"/>
  <c r="B60" i="2"/>
  <c r="G25" i="5"/>
  <c r="B59" i="2"/>
  <c r="J59" i="2"/>
  <c r="D26" i="4"/>
  <c r="G26" i="4"/>
  <c r="G24" i="5"/>
  <c r="N57" i="2"/>
  <c r="I58" i="2"/>
  <c r="J63" i="2"/>
  <c r="I63" i="2"/>
  <c r="I62" i="2"/>
  <c r="C62" i="2"/>
  <c r="C61" i="2"/>
  <c r="F61" i="2"/>
  <c r="J60" i="2"/>
  <c r="F25" i="5"/>
  <c r="E25" i="5"/>
  <c r="I59" i="2"/>
  <c r="C26" i="4"/>
  <c r="F26" i="4"/>
  <c r="N56" i="2"/>
  <c r="D24" i="5"/>
  <c r="C24" i="5"/>
  <c r="B58" i="2"/>
  <c r="F58" i="2"/>
  <c r="B3" i="8" s="1"/>
  <c r="B26" i="5"/>
  <c r="A66" i="2"/>
  <c r="J58" i="2"/>
  <c r="A67" i="2"/>
  <c r="A68" i="2" s="1"/>
  <c r="A69" i="2" s="1"/>
  <c r="M21" i="5" l="1"/>
  <c r="M22" i="5"/>
  <c r="M15" i="5"/>
  <c r="M17" i="5"/>
  <c r="M19" i="5"/>
  <c r="M24" i="4"/>
  <c r="M18" i="5"/>
  <c r="M6" i="7"/>
  <c r="M20" i="5"/>
  <c r="K7" i="7"/>
  <c r="M16" i="5"/>
  <c r="K24" i="5"/>
  <c r="M55" i="2"/>
  <c r="O55" i="2" s="1"/>
  <c r="P55" i="2" s="1"/>
  <c r="Q55" i="2" s="1"/>
  <c r="M56" i="2"/>
  <c r="M57" i="2"/>
  <c r="I25" i="5" s="1"/>
  <c r="G69" i="2"/>
  <c r="R69" i="2"/>
  <c r="G68" i="2"/>
  <c r="R68" i="2"/>
  <c r="G67" i="2"/>
  <c r="R67" i="2"/>
  <c r="G66" i="2"/>
  <c r="R66" i="2"/>
  <c r="G65" i="2"/>
  <c r="R65" i="2"/>
  <c r="E58" i="2"/>
  <c r="D58" i="2"/>
  <c r="L58" i="2"/>
  <c r="K58" i="2"/>
  <c r="N3" i="10"/>
  <c r="I3" i="10" s="1"/>
  <c r="K1" i="10" s="1"/>
  <c r="A24" i="5"/>
  <c r="K26" i="4"/>
  <c r="A26" i="4"/>
  <c r="N26" i="4"/>
  <c r="E61" i="2"/>
  <c r="D61" i="2"/>
  <c r="K61" i="2"/>
  <c r="L61" i="2"/>
  <c r="E63" i="2"/>
  <c r="D63" i="2"/>
  <c r="L63" i="2"/>
  <c r="K63" i="2"/>
  <c r="J25" i="5"/>
  <c r="E59" i="2"/>
  <c r="D59" i="2"/>
  <c r="L59" i="2"/>
  <c r="K59" i="2"/>
  <c r="A25" i="5"/>
  <c r="E60" i="2"/>
  <c r="D60" i="2"/>
  <c r="L60" i="2"/>
  <c r="K60" i="2"/>
  <c r="E62" i="2"/>
  <c r="D62" i="2"/>
  <c r="K62" i="2"/>
  <c r="L62" i="2"/>
  <c r="R64" i="2"/>
  <c r="G64" i="2"/>
  <c r="L23" i="5"/>
  <c r="O56" i="2"/>
  <c r="P56" i="2" s="1"/>
  <c r="Q56" i="2" s="1"/>
  <c r="O57" i="2"/>
  <c r="P57" i="2" s="1"/>
  <c r="Q57" i="2" s="1"/>
  <c r="L24" i="5"/>
  <c r="L7" i="7"/>
  <c r="M3" i="10"/>
  <c r="H69" i="2"/>
  <c r="F69" i="2"/>
  <c r="F68" i="2"/>
  <c r="C67" i="2"/>
  <c r="I66" i="2"/>
  <c r="G3" i="8"/>
  <c r="E3" i="8"/>
  <c r="G26" i="5"/>
  <c r="E26" i="5"/>
  <c r="I65" i="2"/>
  <c r="C65" i="2"/>
  <c r="D3" i="10"/>
  <c r="N61" i="2"/>
  <c r="N60" i="2"/>
  <c r="I64" i="2"/>
  <c r="B64" i="2"/>
  <c r="B69" i="2"/>
  <c r="H68" i="2"/>
  <c r="C68" i="2"/>
  <c r="I67" i="2"/>
  <c r="F67" i="2"/>
  <c r="H66" i="2"/>
  <c r="B66" i="2"/>
  <c r="I3" i="8"/>
  <c r="H3" i="8"/>
  <c r="F26" i="5"/>
  <c r="F65" i="2"/>
  <c r="N58" i="2"/>
  <c r="E3" i="10"/>
  <c r="C3" i="10"/>
  <c r="N59" i="2"/>
  <c r="C64" i="2"/>
  <c r="A70" i="2"/>
  <c r="A71" i="2" s="1"/>
  <c r="J69" i="2"/>
  <c r="J68" i="2"/>
  <c r="H67" i="2"/>
  <c r="J67" i="2"/>
  <c r="J66" i="2"/>
  <c r="J3" i="8"/>
  <c r="D3" i="8"/>
  <c r="H26" i="5"/>
  <c r="J65" i="2"/>
  <c r="H65" i="2"/>
  <c r="G3" i="10"/>
  <c r="B3" i="10"/>
  <c r="N63" i="2"/>
  <c r="N62" i="2"/>
  <c r="F64" i="2"/>
  <c r="I69" i="2"/>
  <c r="C69" i="2"/>
  <c r="I68" i="2"/>
  <c r="B68" i="2"/>
  <c r="B67" i="2"/>
  <c r="C66" i="2"/>
  <c r="F66" i="2"/>
  <c r="F3" i="8"/>
  <c r="C3" i="8"/>
  <c r="C26" i="5"/>
  <c r="D26" i="5"/>
  <c r="B65" i="2"/>
  <c r="F3" i="10"/>
  <c r="H3" i="10"/>
  <c r="H64" i="2"/>
  <c r="J64" i="2"/>
  <c r="B27" i="4"/>
  <c r="B27" i="5"/>
  <c r="B28" i="5" s="1"/>
  <c r="B29" i="5" s="1"/>
  <c r="B30" i="5" s="1"/>
  <c r="B31" i="5" s="1"/>
  <c r="B32" i="5" s="1"/>
  <c r="M7" i="7" l="1"/>
  <c r="M23" i="5"/>
  <c r="M24" i="5"/>
  <c r="M62" i="2"/>
  <c r="O62" i="2" s="1"/>
  <c r="P62" i="2" s="1"/>
  <c r="Q62" i="2" s="1"/>
  <c r="M60" i="2"/>
  <c r="O60" i="2" s="1"/>
  <c r="P60" i="2" s="1"/>
  <c r="Q60" i="2" s="1"/>
  <c r="M63" i="2"/>
  <c r="J30" i="5"/>
  <c r="I30" i="5"/>
  <c r="J29" i="5"/>
  <c r="J28" i="5"/>
  <c r="R71" i="2"/>
  <c r="G71" i="2"/>
  <c r="J27" i="5"/>
  <c r="J3" i="10"/>
  <c r="J26" i="5"/>
  <c r="E65" i="2"/>
  <c r="D65" i="2"/>
  <c r="K65" i="2"/>
  <c r="L65" i="2"/>
  <c r="A26" i="5"/>
  <c r="A3" i="8"/>
  <c r="K3" i="8"/>
  <c r="E66" i="2"/>
  <c r="D66" i="2"/>
  <c r="L66" i="2"/>
  <c r="K66" i="2"/>
  <c r="E67" i="2"/>
  <c r="D67" i="2"/>
  <c r="L67" i="2"/>
  <c r="K67" i="2"/>
  <c r="E68" i="2"/>
  <c r="D68" i="2"/>
  <c r="K68" i="2"/>
  <c r="L68" i="2"/>
  <c r="E69" i="2"/>
  <c r="D69" i="2"/>
  <c r="K69" i="2"/>
  <c r="L69" i="2"/>
  <c r="E64" i="2"/>
  <c r="D64" i="2"/>
  <c r="L64" i="2"/>
  <c r="K64" i="2"/>
  <c r="G70" i="2"/>
  <c r="R70" i="2"/>
  <c r="I28" i="5"/>
  <c r="O63" i="2"/>
  <c r="P63" i="2" s="1"/>
  <c r="Q63" i="2" s="1"/>
  <c r="M59" i="2"/>
  <c r="O59" i="2" s="1"/>
  <c r="P59" i="2" s="1"/>
  <c r="Q59" i="2" s="1"/>
  <c r="K25" i="5"/>
  <c r="M61" i="2"/>
  <c r="O61" i="2" s="1"/>
  <c r="P61" i="2" s="1"/>
  <c r="Q61" i="2" s="1"/>
  <c r="L26" i="4"/>
  <c r="M58" i="2"/>
  <c r="D32" i="5"/>
  <c r="D31" i="5"/>
  <c r="G31" i="5"/>
  <c r="F30" i="5"/>
  <c r="G29" i="5"/>
  <c r="D29" i="5"/>
  <c r="C28" i="5"/>
  <c r="B28" i="4"/>
  <c r="D27" i="4"/>
  <c r="E27" i="4"/>
  <c r="H71" i="2"/>
  <c r="E27" i="5"/>
  <c r="C27" i="5"/>
  <c r="N67" i="2"/>
  <c r="N69" i="2"/>
  <c r="E32" i="5"/>
  <c r="H31" i="5"/>
  <c r="F31" i="5"/>
  <c r="E30" i="5"/>
  <c r="C29" i="5"/>
  <c r="E29" i="5"/>
  <c r="F28" i="5"/>
  <c r="C27" i="4"/>
  <c r="I27" i="4"/>
  <c r="A72" i="2"/>
  <c r="J71" i="2"/>
  <c r="D27" i="5"/>
  <c r="G27" i="5"/>
  <c r="H70" i="2"/>
  <c r="C70" i="2"/>
  <c r="F70" i="2"/>
  <c r="I70" i="2"/>
  <c r="H32" i="5"/>
  <c r="D30" i="5"/>
  <c r="H29" i="5"/>
  <c r="H28" i="5"/>
  <c r="F27" i="4"/>
  <c r="F71" i="2"/>
  <c r="B4" i="8" s="1"/>
  <c r="C71" i="2"/>
  <c r="N66" i="2"/>
  <c r="C32" i="5"/>
  <c r="C31" i="5"/>
  <c r="F29" i="5"/>
  <c r="E28" i="5"/>
  <c r="H27" i="4"/>
  <c r="I71" i="2"/>
  <c r="F27" i="5"/>
  <c r="J70" i="2"/>
  <c r="B70" i="2"/>
  <c r="G32" i="5"/>
  <c r="E31" i="5"/>
  <c r="C30" i="5"/>
  <c r="G28" i="5"/>
  <c r="G27" i="4"/>
  <c r="H27" i="5"/>
  <c r="N68" i="2"/>
  <c r="F32" i="5"/>
  <c r="H30" i="5"/>
  <c r="G30" i="5"/>
  <c r="D28" i="5"/>
  <c r="J27" i="4"/>
  <c r="B71" i="2"/>
  <c r="N65" i="2"/>
  <c r="N64" i="2"/>
  <c r="B29" i="4"/>
  <c r="B30" i="4" s="1"/>
  <c r="B31" i="4" s="1"/>
  <c r="K28" i="5" l="1"/>
  <c r="M69" i="2"/>
  <c r="M68" i="2"/>
  <c r="O68" i="2" s="1"/>
  <c r="P68" i="2" s="1"/>
  <c r="Q68" i="2" s="1"/>
  <c r="M26" i="4"/>
  <c r="M65" i="2"/>
  <c r="O65" i="2" s="1"/>
  <c r="P65" i="2" s="1"/>
  <c r="Q65" i="2" s="1"/>
  <c r="K30" i="5"/>
  <c r="L30" i="5" s="1"/>
  <c r="M30" i="5" s="1"/>
  <c r="M66" i="2"/>
  <c r="O66" i="2" s="1"/>
  <c r="P66" i="2" s="1"/>
  <c r="Q66" i="2" s="1"/>
  <c r="D70" i="2"/>
  <c r="E70" i="2"/>
  <c r="L70" i="2"/>
  <c r="K70" i="2"/>
  <c r="D71" i="2"/>
  <c r="E71" i="2"/>
  <c r="K71" i="2"/>
  <c r="L71" i="2"/>
  <c r="R72" i="2"/>
  <c r="G72" i="2"/>
  <c r="K27" i="4"/>
  <c r="L27" i="4" s="1"/>
  <c r="M27" i="4" s="1"/>
  <c r="A27" i="4"/>
  <c r="N27" i="4"/>
  <c r="A29" i="5"/>
  <c r="A31" i="5"/>
  <c r="A32" i="5"/>
  <c r="J32" i="5"/>
  <c r="J31" i="5"/>
  <c r="A27" i="5"/>
  <c r="A28" i="5"/>
  <c r="A30" i="5"/>
  <c r="I26" i="5"/>
  <c r="O58" i="2"/>
  <c r="P58" i="2" s="1"/>
  <c r="Q58" i="2" s="1"/>
  <c r="L25" i="5"/>
  <c r="L28" i="5"/>
  <c r="M64" i="2"/>
  <c r="O64" i="2" s="1"/>
  <c r="P64" i="2" s="1"/>
  <c r="Q64" i="2" s="1"/>
  <c r="M67" i="2"/>
  <c r="O67" i="2" s="1"/>
  <c r="P67" i="2" s="1"/>
  <c r="Q67" i="2" s="1"/>
  <c r="I31" i="5"/>
  <c r="K31" i="5" s="1"/>
  <c r="L3" i="8"/>
  <c r="K3" i="10"/>
  <c r="I32" i="5"/>
  <c r="K32" i="5" s="1"/>
  <c r="O69" i="2"/>
  <c r="P69" i="2" s="1"/>
  <c r="Q69" i="2" s="1"/>
  <c r="I27" i="5"/>
  <c r="I29" i="5"/>
  <c r="K29" i="5" s="1"/>
  <c r="L29" i="5" s="1"/>
  <c r="M29" i="5" s="1"/>
  <c r="C31" i="4"/>
  <c r="F4" i="8"/>
  <c r="C29" i="4"/>
  <c r="J72" i="2"/>
  <c r="E28" i="4"/>
  <c r="C28" i="4"/>
  <c r="I31" i="4"/>
  <c r="D30" i="4"/>
  <c r="D29" i="4"/>
  <c r="N70" i="2"/>
  <c r="C72" i="2"/>
  <c r="H28" i="4"/>
  <c r="J31" i="4"/>
  <c r="F31" i="4"/>
  <c r="F30" i="4"/>
  <c r="G30" i="4"/>
  <c r="I4" i="8"/>
  <c r="G4" i="8"/>
  <c r="H29" i="4"/>
  <c r="F29" i="4"/>
  <c r="I72" i="2"/>
  <c r="F72" i="2"/>
  <c r="J28" i="4"/>
  <c r="D28" i="4"/>
  <c r="E31" i="4"/>
  <c r="G31" i="4"/>
  <c r="J30" i="4"/>
  <c r="C30" i="4"/>
  <c r="D4" i="8"/>
  <c r="H4" i="8"/>
  <c r="I29" i="4"/>
  <c r="J29" i="4"/>
  <c r="N71" i="2"/>
  <c r="H72" i="2"/>
  <c r="G28" i="4"/>
  <c r="I28" i="4"/>
  <c r="B3" i="12"/>
  <c r="D31" i="4"/>
  <c r="E30" i="4"/>
  <c r="H30" i="4"/>
  <c r="C4" i="8"/>
  <c r="G29" i="4"/>
  <c r="A73" i="2"/>
  <c r="H31" i="4"/>
  <c r="I30" i="4"/>
  <c r="J4" i="8"/>
  <c r="E4" i="8"/>
  <c r="E29" i="4"/>
  <c r="B72" i="2"/>
  <c r="F28" i="4"/>
  <c r="L3" i="10" l="1"/>
  <c r="K26" i="5"/>
  <c r="K27" i="5"/>
  <c r="M3" i="8"/>
  <c r="M25" i="5"/>
  <c r="M28" i="5"/>
  <c r="M70" i="2"/>
  <c r="K28" i="4"/>
  <c r="L28" i="4" s="1"/>
  <c r="M28" i="4" s="1"/>
  <c r="D72" i="2"/>
  <c r="E72" i="2"/>
  <c r="K72" i="2"/>
  <c r="L72" i="2"/>
  <c r="K29" i="4"/>
  <c r="N30" i="4"/>
  <c r="A30" i="4"/>
  <c r="K30" i="4"/>
  <c r="K31" i="4"/>
  <c r="N28" i="4"/>
  <c r="A28" i="4"/>
  <c r="R73" i="2"/>
  <c r="G73" i="2"/>
  <c r="N29" i="4"/>
  <c r="A29" i="4"/>
  <c r="K4" i="8"/>
  <c r="L4" i="8" s="1"/>
  <c r="M4" i="8" s="1"/>
  <c r="A4" i="8"/>
  <c r="N31" i="4"/>
  <c r="A31" i="4"/>
  <c r="L27" i="5"/>
  <c r="O70" i="2"/>
  <c r="P70" i="2" s="1"/>
  <c r="Q70" i="2" s="1"/>
  <c r="L31" i="5"/>
  <c r="L26" i="5"/>
  <c r="L32" i="5"/>
  <c r="M71" i="2"/>
  <c r="O71" i="2" s="1"/>
  <c r="P71" i="2" s="1"/>
  <c r="Q71" i="2" s="1"/>
  <c r="F3" i="12"/>
  <c r="N72" i="2"/>
  <c r="B73" i="2"/>
  <c r="F73" i="2"/>
  <c r="D3" i="12"/>
  <c r="G3" i="12"/>
  <c r="H73" i="2"/>
  <c r="H3" i="12"/>
  <c r="E3" i="12"/>
  <c r="A74" i="2"/>
  <c r="I73" i="2"/>
  <c r="J73" i="2"/>
  <c r="C3" i="12"/>
  <c r="C73" i="2"/>
  <c r="M32" i="5" l="1"/>
  <c r="M31" i="5"/>
  <c r="M27" i="5"/>
  <c r="M26" i="5"/>
  <c r="L29" i="4"/>
  <c r="A3" i="12"/>
  <c r="D73" i="2"/>
  <c r="E73" i="2"/>
  <c r="L73" i="2"/>
  <c r="K73" i="2"/>
  <c r="R74" i="2"/>
  <c r="G74" i="2"/>
  <c r="J3" i="12"/>
  <c r="L31" i="4"/>
  <c r="M72" i="2"/>
  <c r="L30" i="4"/>
  <c r="B33" i="5"/>
  <c r="I74" i="2"/>
  <c r="H74" i="2"/>
  <c r="N73" i="2"/>
  <c r="C74" i="2"/>
  <c r="B74" i="2"/>
  <c r="J74" i="2"/>
  <c r="F74" i="2"/>
  <c r="A75" i="2"/>
  <c r="M30" i="4" l="1"/>
  <c r="M31" i="4"/>
  <c r="M29" i="4"/>
  <c r="M73" i="2"/>
  <c r="I33" i="5" s="1"/>
  <c r="J33" i="5"/>
  <c r="D74" i="2"/>
  <c r="E74" i="2"/>
  <c r="K74" i="2"/>
  <c r="L74" i="2"/>
  <c r="R75" i="2"/>
  <c r="G75" i="2"/>
  <c r="O72" i="2"/>
  <c r="P72" i="2" s="1"/>
  <c r="Q72" i="2" s="1"/>
  <c r="I3" i="12"/>
  <c r="O73" i="2"/>
  <c r="P73" i="2" s="1"/>
  <c r="Q73" i="2" s="1"/>
  <c r="B34" i="5"/>
  <c r="C33" i="5"/>
  <c r="H33" i="5"/>
  <c r="D33" i="5"/>
  <c r="E33" i="5"/>
  <c r="G33" i="5"/>
  <c r="F33" i="5"/>
  <c r="N74" i="2"/>
  <c r="F75" i="2"/>
  <c r="J75" i="2"/>
  <c r="H75" i="2"/>
  <c r="B75" i="2"/>
  <c r="I75" i="2"/>
  <c r="C75" i="2"/>
  <c r="K3" i="12" l="1"/>
  <c r="A33" i="5"/>
  <c r="K33" i="5"/>
  <c r="M74" i="2"/>
  <c r="O74" i="2" s="1"/>
  <c r="P74" i="2" s="1"/>
  <c r="Q74" i="2" s="1"/>
  <c r="D75" i="2"/>
  <c r="E75" i="2"/>
  <c r="N38" i="4"/>
  <c r="N51" i="4"/>
  <c r="N47" i="4"/>
  <c r="N40" i="4"/>
  <c r="N52" i="4"/>
  <c r="N33" i="4"/>
  <c r="N32" i="4"/>
  <c r="N34" i="4"/>
  <c r="N50" i="4"/>
  <c r="N43" i="4"/>
  <c r="N35" i="4"/>
  <c r="N37" i="4"/>
  <c r="N44" i="4"/>
  <c r="N48" i="4"/>
  <c r="N41" i="4"/>
  <c r="N46" i="4"/>
  <c r="N45" i="4"/>
  <c r="N42" i="4"/>
  <c r="N49" i="4"/>
  <c r="N39" i="4"/>
  <c r="N36" i="4"/>
  <c r="K75" i="2"/>
  <c r="L75" i="2"/>
  <c r="J34" i="5"/>
  <c r="L33" i="5"/>
  <c r="L3" i="12"/>
  <c r="B35" i="5"/>
  <c r="H34" i="5"/>
  <c r="C34" i="5"/>
  <c r="D34" i="5"/>
  <c r="N75" i="2"/>
  <c r="G34" i="5"/>
  <c r="F34" i="5"/>
  <c r="E34" i="5"/>
  <c r="M3" i="12" l="1"/>
  <c r="M33" i="5"/>
  <c r="M75" i="2"/>
  <c r="I35" i="5" s="1"/>
  <c r="I34" i="5"/>
  <c r="A34" i="5"/>
  <c r="J35" i="5"/>
  <c r="O75" i="2"/>
  <c r="P75" i="2" s="1"/>
  <c r="Q75" i="2" s="1"/>
  <c r="G35" i="5"/>
  <c r="E35" i="5"/>
  <c r="D35" i="5"/>
  <c r="C35" i="5"/>
  <c r="H35" i="5"/>
  <c r="F35" i="5"/>
  <c r="K35" i="5" l="1"/>
  <c r="K34" i="5"/>
  <c r="A35" i="5"/>
  <c r="L35" i="5"/>
  <c r="M35" i="5" l="1"/>
  <c r="L34" i="5"/>
  <c r="M34" i="5" l="1"/>
</calcChain>
</file>

<file path=xl/sharedStrings.xml><?xml version="1.0" encoding="utf-8"?>
<sst xmlns="http://schemas.openxmlformats.org/spreadsheetml/2006/main" count="2875" uniqueCount="1004">
  <si>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</si>
  <si>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</si>
  <si>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</si>
  <si>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</si>
  <si>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</si>
  <si>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</si>
  <si>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</si>
  <si>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</si>
  <si>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</si>
  <si>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</si>
  <si>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</si>
  <si>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</si>
  <si>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</si>
  <si>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</si>
  <si>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</si>
  <si>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</si>
  <si>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</si>
  <si>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</si>
  <si>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</si>
  <si>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</si>
  <si>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</si>
  <si>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</si>
  <si>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</si>
  <si>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</si>
  <si>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</si>
  <si>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</si>
  <si>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</si>
  <si>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</si>
  <si>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</si>
  <si>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</si>
  <si>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</si>
  <si>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</si>
  <si>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</si>
  <si>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</si>
  <si>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</si>
  <si>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</si>
  <si>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</si>
  <si>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</si>
  <si>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</si>
  <si>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</si>
  <si>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</si>
  <si>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</si>
  <si>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</si>
  <si>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</si>
  <si>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</si>
  <si>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</si>
  <si>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</si>
  <si>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</si>
  <si>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</si>
  <si>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</si>
  <si>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</si>
  <si>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</si>
  <si>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</si>
  <si>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</si>
  <si>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</si>
  <si>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</si>
  <si>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</si>
  <si>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</si>
  <si>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</si>
  <si>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</si>
  <si>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</si>
  <si>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</si>
  <si>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</si>
  <si>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</si>
  <si>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</si>
  <si>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</si>
  <si>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</si>
  <si>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</si>
  <si>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</si>
  <si>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</si>
  <si>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</si>
  <si>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</si>
  <si>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</si>
  <si>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</si>
  <si>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</si>
  <si>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</si>
  <si>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</si>
  <si>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</si>
  <si>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</si>
  <si>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</si>
  <si>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</si>
  <si>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</si>
  <si>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</si>
  <si>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</si>
  <si>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</si>
  <si>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</si>
  <si>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GRAFINDO</t>
  </si>
  <si>
    <t>UNTANA</t>
  </si>
  <si>
    <t>SURAT JALAN</t>
  </si>
  <si>
    <t>CLEAR HOLDER FOLIO SIKA AC-105 F</t>
  </si>
  <si>
    <t>LSN</t>
  </si>
  <si>
    <t>60 LSN</t>
  </si>
  <si>
    <t>BINTANG SAUDARA</t>
  </si>
  <si>
    <t>SO2022120078645</t>
  </si>
  <si>
    <t>KERTAS CREPE POT KREASI KOALA</t>
  </si>
  <si>
    <t>PAK</t>
  </si>
  <si>
    <t>MIX</t>
  </si>
  <si>
    <t>SO2022120078664</t>
  </si>
  <si>
    <t>CLIP BOARD 6688-TR KOALA</t>
  </si>
  <si>
    <t>270 PAK</t>
  </si>
  <si>
    <t>12 LSN</t>
  </si>
  <si>
    <t>SBS</t>
  </si>
  <si>
    <t>TH012/12/2022</t>
  </si>
  <si>
    <t>PALET GAMBAR 1011</t>
  </si>
  <si>
    <t>PCS</t>
  </si>
  <si>
    <t>48 LSN</t>
  </si>
  <si>
    <t>192 PCS</t>
  </si>
  <si>
    <t>144 PCS</t>
  </si>
  <si>
    <t>PCK XDA-3348D/8X20/BENTUK/SET/LUCU HIJAU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</si>
  <si>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</si>
  <si>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</si>
  <si>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</si>
  <si>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</si>
  <si>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</si>
  <si>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</si>
  <si>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</si>
  <si>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DZ</t>
  </si>
  <si>
    <t>12 GRS</t>
  </si>
  <si>
    <t>36 DOZ</t>
  </si>
  <si>
    <t>20 DOZ</t>
  </si>
  <si>
    <t>KENKO CORRECTION TAPE CT-902 (12M X 5MM)</t>
  </si>
  <si>
    <t>48 DOZ</t>
  </si>
  <si>
    <t>100 PAK</t>
  </si>
  <si>
    <t>6 BOX X 6 SET</t>
  </si>
  <si>
    <t>24 DOZ</t>
  </si>
  <si>
    <t>KENKO GEL PEN HI-TECH-H 0.28MM BLUE</t>
  </si>
  <si>
    <t>50 PCS</t>
  </si>
  <si>
    <t>KENKO STAPLER HD-10</t>
  </si>
  <si>
    <t>SET</t>
  </si>
  <si>
    <t>144 DZ</t>
  </si>
  <si>
    <t>24 PCS</t>
  </si>
  <si>
    <t>BOX</t>
  </si>
  <si>
    <t>120 ROL</t>
  </si>
  <si>
    <t>ROL</t>
  </si>
  <si>
    <t>KENKO 12 COLOR PENCIL CP-12F CLASSIC</t>
  </si>
  <si>
    <t>KENKO TAPE DISPENSER TD-323 (1" &amp; 3" CORE)</t>
  </si>
  <si>
    <t>20 GRS</t>
  </si>
  <si>
    <t>BALLPEN BP-338 VOCUS BLACK JK</t>
  </si>
  <si>
    <t>KENKO CORRECTION FLUID KE-108</t>
  </si>
  <si>
    <t>24 BOX X 24 SET</t>
  </si>
  <si>
    <t>KENKO COLOR PENCIL CP-12HALF CLASSIC</t>
  </si>
  <si>
    <t>4 BOX X 6 SET</t>
  </si>
  <si>
    <t>KENKO GEL PEN KE-16 DOT N DOT BLACK</t>
  </si>
  <si>
    <t>KENKO GEL PEN KE-200 BLACK</t>
  </si>
  <si>
    <t>ETJ</t>
  </si>
  <si>
    <t>004.23</t>
  </si>
  <si>
    <t>ENTER WB (K) 802</t>
  </si>
  <si>
    <t>005341</t>
  </si>
  <si>
    <t>BK KAS FOLIO</t>
  </si>
  <si>
    <t>BELUM PPN 11%</t>
  </si>
  <si>
    <t>SA230100053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</si>
  <si>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</si>
  <si>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</si>
  <si>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</si>
  <si>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</si>
  <si>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BONUS OIL PASTEL JK</t>
  </si>
  <si>
    <t>23010093</t>
  </si>
  <si>
    <t>23010016</t>
  </si>
  <si>
    <t>KENKO PENCIL 2B 0810 FLUORESCENT</t>
  </si>
  <si>
    <t>KENKO PENCIL 2B-6906 BTK BATIK</t>
  </si>
  <si>
    <t>KENKO PENCIL 2B-3181 HITAM CAP MERAH</t>
  </si>
  <si>
    <t>KENKO PUNCH NO.85 XL</t>
  </si>
  <si>
    <t>23010019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</si>
  <si>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</si>
  <si>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</si>
  <si>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</si>
  <si>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</si>
  <si>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</si>
  <si>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SA 39277</t>
  </si>
  <si>
    <t>SA 39295</t>
  </si>
  <si>
    <t>SA 39250</t>
  </si>
  <si>
    <t>00 DOZ</t>
  </si>
  <si>
    <t>PMJP</t>
  </si>
  <si>
    <t>SURAT JALAN NO : 40</t>
  </si>
  <si>
    <t>CELENGAN L</t>
  </si>
  <si>
    <t>CELENGAN XL</t>
  </si>
  <si>
    <t>10 LSN</t>
  </si>
  <si>
    <t>6 LSN</t>
  </si>
  <si>
    <t>022.23</t>
  </si>
  <si>
    <t>ENTER 30 CM 675</t>
  </si>
  <si>
    <t>200 LSN</t>
  </si>
  <si>
    <t>ENTER WB (B) 803</t>
  </si>
  <si>
    <t>8 LSN</t>
  </si>
  <si>
    <t>ENTER BOXFILE KCG (BF 567)</t>
  </si>
  <si>
    <t>MIX HT=3,B=2</t>
  </si>
  <si>
    <t>60 PCS</t>
  </si>
  <si>
    <t>ENTER BK TABUNGAN</t>
  </si>
  <si>
    <t>3600 PCS</t>
  </si>
  <si>
    <t>120 LSN</t>
  </si>
  <si>
    <t>PALLET DOP KEPITING 202</t>
  </si>
  <si>
    <t>PALLET DOP SAKURA 201</t>
  </si>
  <si>
    <t>ENTER C/ BOARD 03 ANTI PECAH</t>
  </si>
  <si>
    <t>023.23</t>
  </si>
  <si>
    <t>ENTER C/ BOARD KAYU</t>
  </si>
  <si>
    <t>CASH : 34500</t>
  </si>
  <si>
    <t>024.23</t>
  </si>
  <si>
    <t>ENTER B TAMU KEMBANG</t>
  </si>
  <si>
    <t>16 LSN</t>
  </si>
  <si>
    <t>ENTER B TAMU BATIK</t>
  </si>
  <si>
    <t>JAYA MAKMUR</t>
  </si>
  <si>
    <t>JM/ 12702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</si>
  <si>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</si>
  <si>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</si>
  <si>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</si>
  <si>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</si>
  <si>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</si>
  <si>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</si>
  <si>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</si>
  <si>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</si>
  <si>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</si>
  <si>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10 CTN MIX 24 PCS/ CTN</t>
  </si>
  <si>
    <t>BONUS</t>
  </si>
  <si>
    <t>1 CTN MIX 24 PCS/ CTN, BONUS</t>
  </si>
  <si>
    <t>10 CTN MIX 36 PCS/ CTN</t>
  </si>
  <si>
    <t>1 CTN MIX 36 PCS/ CTN, BONUS</t>
  </si>
  <si>
    <t>GLORY</t>
  </si>
  <si>
    <t>A 08</t>
  </si>
  <si>
    <t>BT BATIK</t>
  </si>
  <si>
    <t>AG CK POLOS</t>
  </si>
  <si>
    <t>DISKON CASH 135.000</t>
  </si>
  <si>
    <t>DB STATIONERY</t>
  </si>
  <si>
    <t>JUA047/23</t>
  </si>
  <si>
    <t>GEL PEN TIZO 1.0 TG340</t>
  </si>
  <si>
    <t>96 LSN</t>
  </si>
  <si>
    <t>GA-23-01-0001</t>
  </si>
  <si>
    <t>MAP KANCING SIKA AC-05 KUNING</t>
  </si>
  <si>
    <t>BUSINESS FILE SIKA AC-106 HIJAU</t>
  </si>
  <si>
    <t>50 LSN</t>
  </si>
  <si>
    <t>GA-23-01-0014</t>
  </si>
  <si>
    <t>TRI MITRA SEJATI</t>
  </si>
  <si>
    <t>20230100720</t>
  </si>
  <si>
    <t>COMBI</t>
  </si>
  <si>
    <t>0111</t>
  </si>
  <si>
    <t>DOC RIT PRESTIGE</t>
  </si>
  <si>
    <t>SAPUTRO OFFICE</t>
  </si>
  <si>
    <t>F-3661 INVSOS</t>
  </si>
  <si>
    <t>MEJA IPAD IMPORT JUMBO KARAKTER</t>
  </si>
  <si>
    <t>DUTA BUANA</t>
  </si>
  <si>
    <t>HM/002/01-23H</t>
  </si>
  <si>
    <t>GARISAN TF-1990 BUSUR BOLONG (180 DEGREE)</t>
  </si>
  <si>
    <t>100 LSN</t>
  </si>
  <si>
    <t>25 LSN</t>
  </si>
  <si>
    <t>HM/007/0-23H</t>
  </si>
  <si>
    <t>SURYA PRATAMA</t>
  </si>
  <si>
    <t>F23A000039</t>
  </si>
  <si>
    <t>BOS</t>
  </si>
  <si>
    <t>120 PCS</t>
  </si>
  <si>
    <t>1100PCS</t>
  </si>
  <si>
    <t>ENTER WHITE BOARD 802 (K)</t>
  </si>
  <si>
    <t>ENTER BOXFILE BENTUK</t>
  </si>
  <si>
    <t>KOJIKO K/ABSEN D/MRH</t>
  </si>
  <si>
    <t>GEL 1.0 TG340BI BIRU</t>
  </si>
  <si>
    <t>BUSINESS FILE SIKA AC-106 PUTIH</t>
  </si>
  <si>
    <t>ELEC NATIONAL 20M X 120 ROLL</t>
  </si>
  <si>
    <t>GARISAN TF-1991 BUSUR 360 DEGREE (K)</t>
  </si>
  <si>
    <t>BALLPEN GEL TF-3115 0.3MM HIGHTECH KNOCK</t>
  </si>
  <si>
    <t>CAT AIR OPINI 110@216</t>
  </si>
  <si>
    <t>CAT AIR OPINI 120 @144</t>
  </si>
  <si>
    <t>Row Labels</t>
  </si>
  <si>
    <t>Grand Total</t>
  </si>
  <si>
    <t>FAKTUR_H</t>
  </si>
  <si>
    <t>Sum of C</t>
  </si>
  <si>
    <t>SA230100214</t>
  </si>
  <si>
    <t>CRAYON PUTAR TWCR-12MINI JK</t>
  </si>
  <si>
    <t>12 BOX X 12 SET</t>
  </si>
  <si>
    <t>CORRECTION TAPE CT-520 JK</t>
  </si>
  <si>
    <t>30 BOX X 12 PCS</t>
  </si>
  <si>
    <t>50 PAK X 10 ROL</t>
  </si>
  <si>
    <t>LABEL LB-P2LN (2 BARIS) JK</t>
  </si>
  <si>
    <t>TAPE CUTTER TD-103 JK</t>
  </si>
  <si>
    <t>SCISSOR SC-828 JK</t>
  </si>
  <si>
    <t>12 BOX X 12 PCS</t>
  </si>
  <si>
    <t>SCISSOR SC-848 JK</t>
  </si>
  <si>
    <t>BINDER CLIP 155 JK</t>
  </si>
  <si>
    <t>GRS</t>
  </si>
  <si>
    <t>PERMANENT MARKER PM-34 BLACK JK</t>
  </si>
  <si>
    <t>48 BOX X 12 PCS</t>
  </si>
  <si>
    <t>SA230100135</t>
  </si>
  <si>
    <t>ERASER 526-B40P JK</t>
  </si>
  <si>
    <t>50 BOX X 40 PCS</t>
  </si>
  <si>
    <t>ERASER 526-B20 JK</t>
  </si>
  <si>
    <t>50 BOX X 20 PCS</t>
  </si>
  <si>
    <t>SA230100107</t>
  </si>
  <si>
    <t>ERASER 526-B40BL JK</t>
  </si>
  <si>
    <t>ERASER ER-B20BL JK</t>
  </si>
  <si>
    <t>HANSA</t>
  </si>
  <si>
    <t>HN012023081</t>
  </si>
  <si>
    <t>LILIN ANGKA SHINTOENG</t>
  </si>
  <si>
    <t>NO.1</t>
  </si>
  <si>
    <t>HM/ 013/ 01-23H</t>
  </si>
  <si>
    <t>BALLPEN GEL TF-1190 HTM 0.3MM HIGHTECH</t>
  </si>
  <si>
    <t>SCISSOR SC-838 JK</t>
  </si>
  <si>
    <t>CAHAYA GEMILANG</t>
  </si>
  <si>
    <t>SA202301-00003</t>
  </si>
  <si>
    <t>84 LSN</t>
  </si>
  <si>
    <t>LESTARY STATIONERY</t>
  </si>
  <si>
    <t>441162</t>
  </si>
  <si>
    <t>BAG 35*40*20 BELT BG 15-025</t>
  </si>
  <si>
    <t>BAG 40*45*20 BELT BG15-026</t>
  </si>
  <si>
    <t>BAG 45*50*20 BELT BG15-027</t>
  </si>
  <si>
    <t>SO2023010078694</t>
  </si>
  <si>
    <t>PAPER BAG COKLAT BESAR TEBAL</t>
  </si>
  <si>
    <t>30 LSN</t>
  </si>
  <si>
    <t>JUA152/23</t>
  </si>
  <si>
    <t>TP BD 191-26</t>
  </si>
  <si>
    <t>180 PCS</t>
  </si>
  <si>
    <t>TP BD 933</t>
  </si>
  <si>
    <t>T PENSIL BD XLG BD 180-26</t>
  </si>
  <si>
    <t>TP BD BD 931</t>
  </si>
  <si>
    <t>VA0051B1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</si>
  <si>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</si>
  <si>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</si>
  <si>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</si>
  <si>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</si>
  <si>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</si>
  <si>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</si>
  <si>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</si>
  <si>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</si>
  <si>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PARAMA</t>
  </si>
  <si>
    <t>SAMPUL SAMSON KWARTO BATIK</t>
  </si>
  <si>
    <t>240 PCS/ PAK</t>
  </si>
  <si>
    <t>SAMPUL SAMSON KWARTO FANCY</t>
  </si>
  <si>
    <t>240 PAK</t>
  </si>
  <si>
    <t>SAMPUL SAMSON BOXY BATIK</t>
  </si>
  <si>
    <t>180 PAK</t>
  </si>
  <si>
    <t>SAMPUL SAMSON BOXY FANCY</t>
  </si>
  <si>
    <t>F-3662 INVS03</t>
  </si>
  <si>
    <t>10 PCS</t>
  </si>
  <si>
    <t>MANDIRI BAHAGIA SEJATI</t>
  </si>
  <si>
    <t>2023/FJP/01/0073</t>
  </si>
  <si>
    <t>JARUM PENTOL MIKA 38MM (ISI 40)</t>
  </si>
  <si>
    <t>F23AP000137</t>
  </si>
  <si>
    <t>SERUTAN TABUNG 231 (MIX) ISI 24 PCS@120</t>
  </si>
  <si>
    <t>F23AP000232</t>
  </si>
  <si>
    <t>23010463</t>
  </si>
  <si>
    <t>KENKO CUTTER BLADE L-150 (18MM)</t>
  </si>
  <si>
    <t>KENKO GEL PEN HI-TECH-H 0.28MM BLACK</t>
  </si>
  <si>
    <t>KENKO TRIGONAL CLIP NO.3</t>
  </si>
  <si>
    <t>KENKO GEL PEN SAHARA BLACK</t>
  </si>
  <si>
    <t>23010446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</si>
  <si>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</si>
  <si>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</si>
  <si>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</si>
  <si>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</si>
  <si>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</si>
  <si>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</si>
  <si>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23010447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</si>
  <si>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</si>
  <si>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</si>
  <si>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</si>
  <si>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</si>
  <si>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</si>
  <si>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</si>
  <si>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23010462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</si>
  <si>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</si>
  <si>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</si>
  <si>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</si>
  <si>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</si>
  <si>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</si>
  <si>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</si>
  <si>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</si>
  <si>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50 BOX</t>
  </si>
  <si>
    <t>50 PAK X 10 BOX</t>
  </si>
  <si>
    <t>20 PAK X 10 BOX</t>
  </si>
  <si>
    <t>30 DOZ</t>
  </si>
  <si>
    <t>25 DOZ</t>
  </si>
  <si>
    <t>10 DOZ</t>
  </si>
  <si>
    <t>6 PCS</t>
  </si>
  <si>
    <t xml:space="preserve">50 BOX </t>
  </si>
  <si>
    <t>50 BOX 12 DOZ</t>
  </si>
  <si>
    <t>30 GRS</t>
  </si>
  <si>
    <t>SA 39403</t>
  </si>
  <si>
    <t>SA 39400</t>
  </si>
  <si>
    <t>18 DOZ</t>
  </si>
  <si>
    <t>20 BOX</t>
  </si>
  <si>
    <t>SA 39399</t>
  </si>
  <si>
    <t>60 DOZ</t>
  </si>
  <si>
    <t>SA 39404</t>
  </si>
  <si>
    <t>SA 39405</t>
  </si>
  <si>
    <t>23010132</t>
  </si>
  <si>
    <t>SA 39304</t>
  </si>
  <si>
    <t>SA 39315</t>
  </si>
  <si>
    <t>23010152</t>
  </si>
  <si>
    <t>SA 39327</t>
  </si>
  <si>
    <t>KENKO TAPE DISPENSER TD-323 (1" &amp; 3 " CORE)</t>
  </si>
  <si>
    <t>KENKO STAPLER HD-10D</t>
  </si>
  <si>
    <t>23010249</t>
  </si>
  <si>
    <t>SA 39358</t>
  </si>
  <si>
    <t>23010211</t>
  </si>
  <si>
    <t>SA 39328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</si>
  <si>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</si>
  <si>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</si>
  <si>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</si>
  <si>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</si>
  <si>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</si>
  <si>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23010343</t>
  </si>
  <si>
    <t>KENKO BINDER CLIP NO.260</t>
  </si>
  <si>
    <t>KENKO STAPLES NO.1210 (23/ 10)</t>
  </si>
  <si>
    <t>SA 39372</t>
  </si>
  <si>
    <t>23010336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</si>
  <si>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</si>
  <si>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</si>
  <si>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</si>
  <si>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</si>
  <si>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</si>
  <si>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</si>
  <si>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12 DOZ X 12 SET</t>
  </si>
  <si>
    <t>6 DOZX 12 SET</t>
  </si>
  <si>
    <t>8 BOX X 6 SET</t>
  </si>
  <si>
    <t>18 GRS</t>
  </si>
  <si>
    <t>12 GRS X 12 OZ</t>
  </si>
  <si>
    <t>5 GRS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</si>
  <si>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</si>
  <si>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</si>
  <si>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</si>
  <si>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</si>
  <si>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</si>
  <si>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</si>
  <si>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SA230100292</t>
  </si>
  <si>
    <t>CORRECTION TAPE CT-549 JK</t>
  </si>
  <si>
    <t>CORRECTION TAPE CT-510A JK</t>
  </si>
  <si>
    <t>192 PAK</t>
  </si>
  <si>
    <t>BONUS BINDER CLIP JK</t>
  </si>
  <si>
    <t>OIL PASTEL OP-18S PP CASE SEA WORLD JK</t>
  </si>
  <si>
    <t>6 BOX X 12 SET</t>
  </si>
  <si>
    <t>SA230100352</t>
  </si>
  <si>
    <t>PENCIL LEAD PL-11 (2.0) JK</t>
  </si>
  <si>
    <t>12 BOX X 6 DZ</t>
  </si>
  <si>
    <t>PENCIL P-88 2B JK</t>
  </si>
  <si>
    <t>CRAYON PUTAR TWCR-12S JK</t>
  </si>
  <si>
    <t>OIL PASTEL OP-12 S PP CASE SEA WORLD JK</t>
  </si>
  <si>
    <t>OIL PASTEL OP 12CR ROUND JK</t>
  </si>
  <si>
    <t>6 BOX X 24 SET</t>
  </si>
  <si>
    <t>SA230100291</t>
  </si>
  <si>
    <t>LABEL LB-P2CY (2 BARIS, YELLOW) JK</t>
  </si>
  <si>
    <t>LABEL LB-2RL (1 BARIS) JK</t>
  </si>
  <si>
    <t>100 PAK X 10 ROL</t>
  </si>
  <si>
    <t>BUKU TAMU GB-2833 R-5 (BATIK) JK</t>
  </si>
  <si>
    <t>TRIGONAL CLIP NO.3 JK</t>
  </si>
  <si>
    <t>GLUE GL-R35 JK</t>
  </si>
  <si>
    <t>SN23010066</t>
  </si>
  <si>
    <t>CALCULATOR JOYKO CC-19A</t>
  </si>
  <si>
    <t>4 BOX X 20 PCS</t>
  </si>
  <si>
    <t>CALCULATOR JOYKO CC-56</t>
  </si>
  <si>
    <t>8 BOX X 10 PCS</t>
  </si>
  <si>
    <t>CALCULATOR JOYKO CC-57</t>
  </si>
  <si>
    <t>6 BOX X 1 0 PCS</t>
  </si>
  <si>
    <t>SA230100433</t>
  </si>
  <si>
    <t>12 PCS</t>
  </si>
  <si>
    <t>HD STAPLER HD-12N/13 JK</t>
  </si>
  <si>
    <t>STAPLER HD-12N/24 JK</t>
  </si>
  <si>
    <t>STAPLER HD-10 JK</t>
  </si>
  <si>
    <t>20 DZ</t>
  </si>
  <si>
    <t>23010542</t>
  </si>
  <si>
    <t>23010528</t>
  </si>
  <si>
    <t>KENKO CORRECTION FLUID KE-823M</t>
  </si>
  <si>
    <t>KENKO POCKET NOTE PN-404</t>
  </si>
  <si>
    <t>SA 39409</t>
  </si>
  <si>
    <t>SA 39419</t>
  </si>
  <si>
    <t>L LEAF A5-7020 (50S) JK</t>
  </si>
  <si>
    <t>PPW</t>
  </si>
  <si>
    <t>0122-B/HW/I/23</t>
  </si>
  <si>
    <t>BT 20 CM</t>
  </si>
  <si>
    <t>100 DZ</t>
  </si>
  <si>
    <t xml:space="preserve">PPW </t>
  </si>
  <si>
    <t>0122/HW/I/23</t>
  </si>
  <si>
    <t>BT 30 CM</t>
  </si>
  <si>
    <t>0296-B/HW/XI/22</t>
  </si>
  <si>
    <t>10 DZ</t>
  </si>
  <si>
    <t>GA-23-01-0126</t>
  </si>
  <si>
    <t>ISOLASI FANCY</t>
  </si>
  <si>
    <t>200 SLOP</t>
  </si>
  <si>
    <t>TH013/1/2023</t>
  </si>
  <si>
    <t>SINAR MAS</t>
  </si>
  <si>
    <t>653 EDY</t>
  </si>
  <si>
    <t>P/C KODE 3SS 3D A 2020 D</t>
  </si>
  <si>
    <t>CASH DISC 3 %</t>
  </si>
  <si>
    <t>SA230100431</t>
  </si>
  <si>
    <t>TRIGONAL CLIP NO.1 JK</t>
  </si>
  <si>
    <t>500 BOX</t>
  </si>
  <si>
    <t>GUNTACKER GT-700 JK</t>
  </si>
  <si>
    <t>6 BOX X 12 PCS</t>
  </si>
  <si>
    <t>PENCIL LEAD PL-05 2B JK</t>
  </si>
  <si>
    <t>PENCIL LEAD PL-10 2.0 2B JK</t>
  </si>
  <si>
    <t>12 BOX X 12 DZ</t>
  </si>
  <si>
    <t>PENCIL LEAD PL-11 2.0 JK</t>
  </si>
  <si>
    <t>LABELLER MX 5500M 8 DIGITS JK</t>
  </si>
  <si>
    <t>20 PCS</t>
  </si>
  <si>
    <t>20 BOX X 12 PCS</t>
  </si>
  <si>
    <t>CORRECTION TAPE CT-507 JK</t>
  </si>
  <si>
    <t>60 BOX X 12 PCS</t>
  </si>
  <si>
    <t>SA230100432</t>
  </si>
  <si>
    <t>12 BOX X 24 PCS</t>
  </si>
  <si>
    <t>PENCIL CASE PC-0719TV-33A/F TRAVEL JK</t>
  </si>
  <si>
    <t>288 PCS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</si>
  <si>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</si>
  <si>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</si>
  <si>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</si>
  <si>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</si>
  <si>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</si>
  <si>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24 BOX X 24 PCS</t>
  </si>
  <si>
    <t>CORRECTION FLUID CF-S224 JK</t>
  </si>
  <si>
    <t>CORRECTION FLUID CF-S225 JK</t>
  </si>
  <si>
    <t>36 DZ</t>
  </si>
  <si>
    <t>SN23010093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</si>
  <si>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</si>
  <si>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</si>
  <si>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</si>
  <si>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</si>
  <si>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</si>
  <si>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</si>
  <si>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</si>
  <si>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</si>
  <si>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</si>
  <si>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</si>
  <si>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8 BOX X 20 PCS</t>
  </si>
  <si>
    <t>6 BOX X 10 PCS</t>
  </si>
  <si>
    <t>6 BOX X 20 PCS</t>
  </si>
  <si>
    <t>CALCULATOR JOYKO CC-12CO GREEN</t>
  </si>
  <si>
    <t>SN23010094</t>
  </si>
  <si>
    <t>CALCULATOR JOYKO CC-800 CH</t>
  </si>
  <si>
    <t>23010574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</si>
  <si>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</si>
  <si>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</si>
  <si>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</si>
  <si>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</si>
  <si>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</si>
  <si>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</si>
  <si>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</si>
  <si>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</si>
  <si>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23010575</t>
  </si>
  <si>
    <t>80 PCS</t>
  </si>
  <si>
    <t>80 ROL</t>
  </si>
  <si>
    <t>60 ROL</t>
  </si>
  <si>
    <t>SA 39427</t>
  </si>
  <si>
    <t>SA 39433</t>
  </si>
  <si>
    <t>D-R</t>
  </si>
  <si>
    <t>SS2301020</t>
  </si>
  <si>
    <t>GUNTING JUNIOR J100 JUNIOR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</si>
  <si>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</si>
  <si>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</si>
  <si>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</si>
  <si>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</si>
  <si>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</si>
  <si>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</si>
  <si>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</si>
  <si>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23010775</t>
  </si>
  <si>
    <t>KENKO GEL PEN EASY GEL BLACK</t>
  </si>
  <si>
    <t>KENKO 24 COLOR PENCIL CP-24F CLASSIC</t>
  </si>
  <si>
    <t>KENKO CORRECTION TAPE CT-903 (12M X 5MM)</t>
  </si>
  <si>
    <t>SA 39467</t>
  </si>
  <si>
    <t>SA230100612</t>
  </si>
  <si>
    <t>CORRECTION TAPE CT-522 JK</t>
  </si>
  <si>
    <t>JUA325/23</t>
  </si>
  <si>
    <t>GEL ZHIXIN + REFILL G-3118</t>
  </si>
  <si>
    <t>GEL ZHIXIN + REFILL G-3093</t>
  </si>
  <si>
    <t>GEL ZHIXIN + REFILL G-3103</t>
  </si>
  <si>
    <t>GEL ZHIXIN + REFILL G-3112</t>
  </si>
  <si>
    <t>JUA324/23</t>
  </si>
  <si>
    <t>GEL ZHIXIN + REFILL G-5002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</si>
  <si>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</si>
  <si>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</si>
  <si>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</si>
  <si>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</si>
  <si>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</si>
  <si>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</si>
  <si>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G-3130</t>
  </si>
  <si>
    <t>GEL ZHIXIN + REFILL G-3129</t>
  </si>
  <si>
    <t>GEL ZHIXIN + REFILL G-3128</t>
  </si>
  <si>
    <t>GEL ZHIXIN + REFILL G-3127</t>
  </si>
  <si>
    <t>GEL ZHIXIN + REFILL G-3126</t>
  </si>
  <si>
    <t>GEL ZHIXIN + REFILL G-3125</t>
  </si>
  <si>
    <t>GEL ZHIXIN + REFILL G-3124</t>
  </si>
  <si>
    <t>GEL ZHIXIN + REFILL G-3123</t>
  </si>
  <si>
    <t>GEL ZHIXIN + REFILL G-3121</t>
  </si>
  <si>
    <t>GEL ZHIXIN + REFILL G-3119</t>
  </si>
  <si>
    <t>JUA323/23</t>
  </si>
  <si>
    <t>MEK PENSIL 2.0 TIZO TM030A-1</t>
  </si>
  <si>
    <t>MEKANIK TIZO 2.0 TM030-E</t>
  </si>
  <si>
    <t>MEK PENSIL 2.0 TM1800</t>
  </si>
  <si>
    <t>MEK TIZO 2.0 TM030-C</t>
  </si>
  <si>
    <t>MEK PENSIL 2.0 TIZO TM030-F</t>
  </si>
  <si>
    <t>MEK PENSIL 2.0 TIZO TM030-G</t>
  </si>
  <si>
    <t>MEK PENSIL 2.0 TIZO TM030-H</t>
  </si>
  <si>
    <t>MEK PENSIL 2B 2.0 TM01661</t>
  </si>
  <si>
    <t>144 LSN</t>
  </si>
  <si>
    <t>MEK PENSIL 2B 2.0 TM01069</t>
  </si>
  <si>
    <t>GEL TIZO TG31220</t>
  </si>
  <si>
    <t>GP TIZO 395-F TG395-F</t>
  </si>
  <si>
    <t>GEL ZHIXIN + REFILL G-5001</t>
  </si>
  <si>
    <t>GEL ZHIXIN + REFILL G-5004</t>
  </si>
  <si>
    <t>GEL ZHIXIN + REFILL G-5009</t>
  </si>
  <si>
    <t>GEL ZHIXIN + REFILL G-3101</t>
  </si>
  <si>
    <t>GEL ZHIXIN + REFILL G-3117</t>
  </si>
  <si>
    <t>JUA123/23</t>
  </si>
  <si>
    <t>GUNINDO</t>
  </si>
  <si>
    <t>2300086</t>
  </si>
  <si>
    <t>WB ERASER 803</t>
  </si>
  <si>
    <t>SLOP</t>
  </si>
  <si>
    <t>EXP</t>
  </si>
  <si>
    <t>5000 LSN</t>
  </si>
  <si>
    <t>5500 LSN</t>
  </si>
  <si>
    <t>23010870</t>
  </si>
  <si>
    <t>KENKO PENCIL CASE PC-0719-TK</t>
  </si>
  <si>
    <t>KENKO CUTTER BLADE A-100 (9MM)</t>
  </si>
  <si>
    <t>KENKO GEL PEN HI TECH H 0.28MM BLACK</t>
  </si>
  <si>
    <t>120 DOZ</t>
  </si>
  <si>
    <t>SA 39502</t>
  </si>
  <si>
    <t>SA 39509</t>
  </si>
  <si>
    <t>23010988</t>
  </si>
  <si>
    <t>KENKO CORRECTION TAPE CT-909 (12M X 5MM)</t>
  </si>
  <si>
    <t>KENKO CORRECTION TAPE CT-1505FC (15M X 5MM)</t>
  </si>
  <si>
    <t>KENKO GEL PEN SAHARA SNACK BLACK</t>
  </si>
  <si>
    <t>SA 39526</t>
  </si>
  <si>
    <t>SA230100770</t>
  </si>
  <si>
    <t>STAMP PAD NO 1 JK</t>
  </si>
  <si>
    <t>18 PAK X 12 PCS</t>
  </si>
  <si>
    <t>ERASER ER-30W JK</t>
  </si>
  <si>
    <t>50 BOX X 1 0 PCS</t>
  </si>
  <si>
    <t>SA230100693</t>
  </si>
  <si>
    <t>TRIGONAL CLIP NO 3 JK</t>
  </si>
  <si>
    <t>COLOR PENCIL CP-24 PB JK</t>
  </si>
  <si>
    <t>12 BOX X 6 SET</t>
  </si>
  <si>
    <t>COLOR PENCIL CP-S24 JK</t>
  </si>
  <si>
    <t>PUNCH 30XL JK</t>
  </si>
  <si>
    <t>10 BOX X 12 PCS</t>
  </si>
  <si>
    <t>GEL PEN GP-265 Q GEL BLACK JK</t>
  </si>
  <si>
    <t>GLUE STICK GS-09 8 GRAM JK</t>
  </si>
  <si>
    <t>64 BOX X 12 PCS</t>
  </si>
  <si>
    <t>SA230100694</t>
  </si>
  <si>
    <t>CUTTER L-500 JK</t>
  </si>
  <si>
    <t>24 DZ</t>
  </si>
  <si>
    <t>CUTTER BLADE L-150 AM (L) JK</t>
  </si>
  <si>
    <t>40 DZ</t>
  </si>
  <si>
    <t>BONUS CUTTER L-150 AM (L) JK</t>
  </si>
  <si>
    <t>HN012023164</t>
  </si>
  <si>
    <t>MIX NO 1 S/D 7 @ 2 LSN</t>
  </si>
  <si>
    <t>LILIN SHINTOENG 24 BTG</t>
  </si>
  <si>
    <t>2300095</t>
  </si>
  <si>
    <t xml:space="preserve">OSS GUNINDO </t>
  </si>
  <si>
    <t>GUNINDO FL COKLAT</t>
  </si>
  <si>
    <t>40 LSN</t>
  </si>
  <si>
    <t>HM/018/01-23-H</t>
  </si>
  <si>
    <t>72 SET</t>
  </si>
  <si>
    <t>SA230100823</t>
  </si>
  <si>
    <t>COLOR PENCIL CP-103 JK</t>
  </si>
  <si>
    <t>COLOR PENCIL CP-107 JK</t>
  </si>
  <si>
    <t>12 BOX X 24 SET</t>
  </si>
  <si>
    <t>COLOR PENCIL CP-12 PB JK</t>
  </si>
  <si>
    <t>50 BOX X 30 PCS</t>
  </si>
  <si>
    <t>SA230100824</t>
  </si>
  <si>
    <t>KEY RING KR-9 JK</t>
  </si>
  <si>
    <t>DRM</t>
  </si>
  <si>
    <t>48 DRM X 50 PCS</t>
  </si>
  <si>
    <t>PENCIL CASE PC-0618FZ-1 A/D (FRUITZY)</t>
  </si>
  <si>
    <t>72 DZ</t>
  </si>
  <si>
    <t>SCISSOR SC-12 JK</t>
  </si>
  <si>
    <t>SHARPENER B-24PTL JK</t>
  </si>
  <si>
    <t>CORRECTION TAPE CT-533 JK</t>
  </si>
  <si>
    <t>40 BOX X 12 PCS</t>
  </si>
  <si>
    <t>BULLDOG CLIP 6-145 JK</t>
  </si>
  <si>
    <t>TAPE CUTTER TC-113 JK</t>
  </si>
  <si>
    <t>SA230100825</t>
  </si>
  <si>
    <t>GUN TACKER GT-700 JK</t>
  </si>
  <si>
    <t>24 BOX X 12 PCS</t>
  </si>
  <si>
    <t>CRAYON PUTAR TWCR-24S JK</t>
  </si>
  <si>
    <t>BONUS CUTTER L-500 JK</t>
  </si>
  <si>
    <t>SN23010133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</si>
  <si>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</si>
  <si>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</si>
  <si>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</si>
  <si>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</si>
  <si>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</si>
  <si>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</si>
  <si>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SA230100904</t>
  </si>
  <si>
    <t>CRAYON PUTAR TWCR-12 MINI JK</t>
  </si>
  <si>
    <t>OIL PASTEL OP-12S PP CASE SEA WORLD JK</t>
  </si>
  <si>
    <t>BONUS U/ PEMBELIAN OIL PASTEL JOYKO</t>
  </si>
  <si>
    <t>SA230100903</t>
  </si>
  <si>
    <t>GEL PEN GP-330 (BLACK) JK</t>
  </si>
  <si>
    <t>GLUE STICK GS-100 (8 GRAM) JK</t>
  </si>
  <si>
    <t>36 BOX X 24 PCS</t>
  </si>
  <si>
    <t>23011110</t>
  </si>
  <si>
    <t>GLUE GL-W01 JK</t>
  </si>
  <si>
    <t>SA 39546</t>
  </si>
  <si>
    <t>KARET PENTIL SUPER LEGENDA</t>
  </si>
  <si>
    <t>DISKON CASHH 5%</t>
  </si>
  <si>
    <t>600 BOX</t>
  </si>
  <si>
    <t>JEFFRY</t>
  </si>
  <si>
    <t>DUTA BAHAGIA</t>
  </si>
  <si>
    <t>DHM/ 006/ 01-23C</t>
  </si>
  <si>
    <t>BINDER NOTE FPHY 001-B5-60</t>
  </si>
  <si>
    <t>72 PCS</t>
  </si>
  <si>
    <t>DHM/ 05/ 01-23C</t>
  </si>
  <si>
    <t>BINDER NOTE FPHY001-A5-50</t>
  </si>
  <si>
    <t>96 PCS</t>
  </si>
  <si>
    <t>0X7.23</t>
  </si>
  <si>
    <t>300 PCS</t>
  </si>
  <si>
    <t>YUSHINCA</t>
  </si>
  <si>
    <t>23/YS/I/055</t>
  </si>
  <si>
    <t>5 LSN</t>
  </si>
  <si>
    <t>0125</t>
  </si>
  <si>
    <t>7 DZ</t>
  </si>
  <si>
    <t>DOC RIT INFINITY</t>
  </si>
  <si>
    <t>MIX : 6 DZ HIJAU, 2 DZ BIRU</t>
  </si>
  <si>
    <t>JUA370/23</t>
  </si>
  <si>
    <t>TFS</t>
  </si>
  <si>
    <t>PK-230100092</t>
  </si>
  <si>
    <t>ZIPPER FILE CLEAR HOLDER 555 20 FILE GREEN</t>
  </si>
  <si>
    <t>ZIPPER FILE CLEAR HOLDER 555 20 FILE RED</t>
  </si>
  <si>
    <t>ZIPPER FILE CLEAR HOLDER 555 20 FILE YELLOW</t>
  </si>
  <si>
    <t>ZIPPER FILE CLEAR HOLDER 555 20 FILE BLUE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</si>
  <si>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</si>
  <si>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</si>
  <si>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</si>
  <si>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</si>
  <si>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HN012023198</t>
  </si>
  <si>
    <t>MALAM SHINTOENG K 6-12W</t>
  </si>
  <si>
    <t>MALAM SHINTOENG K 1W POLOS</t>
  </si>
  <si>
    <t>MALAM SHINTOENG TG 1W POLOS</t>
  </si>
  <si>
    <t>MALAM SHINTOENG TG 6-12W</t>
  </si>
  <si>
    <t>MALAM SHINTOENG B 1W POLOS</t>
  </si>
  <si>
    <t>MALAM SHINTOENG B 6-12W</t>
  </si>
  <si>
    <t>CLIP FILE C 323 MIX</t>
  </si>
  <si>
    <t>CLIP FILE C 324 A5 MIX</t>
  </si>
  <si>
    <t>BAG 60*70*25 BELT BG15-029</t>
  </si>
  <si>
    <t>L201055</t>
  </si>
  <si>
    <t>50 PAK</t>
  </si>
  <si>
    <t>SA230101015</t>
  </si>
  <si>
    <t>OIL PASTEL OP-24S PP CASE SEA WORLD JK</t>
  </si>
  <si>
    <t>SA230101013</t>
  </si>
  <si>
    <t>GLUE GL-R50 JK</t>
  </si>
  <si>
    <t>SA230101014</t>
  </si>
  <si>
    <t>MECH PENCIL MP-21 JK</t>
  </si>
  <si>
    <t>SHARPENER B-23 JK</t>
  </si>
  <si>
    <t>SN23010172</t>
  </si>
  <si>
    <t>23011377</t>
  </si>
  <si>
    <t>SA 39615</t>
  </si>
  <si>
    <t>KENKO GEL PEN K-1 BLACK</t>
  </si>
  <si>
    <t>23011158</t>
  </si>
  <si>
    <t>SA 39589</t>
  </si>
  <si>
    <t>KENKO GLUE STICK 15 GR(MEDIUM)</t>
  </si>
  <si>
    <t>KENKO GLUE STICK 8GR(SMALL)</t>
  </si>
  <si>
    <t>36 BOX X 30 PCS</t>
  </si>
  <si>
    <t>36 BOX X 20 PCS</t>
  </si>
  <si>
    <t>CORRECTION FLUID CF-S209A JK</t>
  </si>
  <si>
    <t>ISI GW NO 10</t>
  </si>
  <si>
    <t>ISI GW NO 369</t>
  </si>
  <si>
    <t>0Z2.23</t>
  </si>
  <si>
    <t>ENTER CAT AIR A 129</t>
  </si>
  <si>
    <t>120 SET</t>
  </si>
  <si>
    <t>ENTER CAT ACRYLIC A 912</t>
  </si>
  <si>
    <t>OZ3.23</t>
  </si>
  <si>
    <t>ENTER GRS 1M KAYU</t>
  </si>
  <si>
    <t>100 PCS</t>
  </si>
  <si>
    <t>GA-23-01-0251</t>
  </si>
  <si>
    <t>240 PCS</t>
  </si>
  <si>
    <t>B09</t>
  </si>
  <si>
    <t>AG BATIK</t>
  </si>
  <si>
    <t>DISKON CASH 64000</t>
  </si>
  <si>
    <t>HM/023/01-23H</t>
  </si>
  <si>
    <t>WINS SENTOSA</t>
  </si>
  <si>
    <t>SI-2023/01-0176</t>
  </si>
  <si>
    <t>PITA JPN POLOS MIX B</t>
  </si>
  <si>
    <t>PITA JPN MOTIF POLOS MIX B</t>
  </si>
  <si>
    <t>BG-2023/01-0049</t>
  </si>
  <si>
    <t>BAHAGIA TEGUH</t>
  </si>
  <si>
    <t>PENSIL CARPENTER 500</t>
  </si>
  <si>
    <t>BG-2023/01-0053</t>
  </si>
  <si>
    <t>PENSIL ZHONG HUA 69 2B</t>
  </si>
  <si>
    <t>10 BOX</t>
  </si>
  <si>
    <t>GA-23-01-0285</t>
  </si>
  <si>
    <t>MAP KANCING SIKA AC-05 MERAH</t>
  </si>
  <si>
    <t>MAP KANCING SIKA AC-05 BIRU</t>
  </si>
  <si>
    <t>SINV99-230100000430</t>
  </si>
  <si>
    <t>SDI STAPLES 1204 NO 3</t>
  </si>
  <si>
    <t>SA230101066</t>
  </si>
  <si>
    <t>COLOR PENCIL CP 12 PB JK</t>
  </si>
  <si>
    <t>SA230101229</t>
  </si>
  <si>
    <t>CORRECTION FLUID JK-101 JK</t>
  </si>
  <si>
    <t>48 DZ</t>
  </si>
  <si>
    <t>BONUS CORR FLUID JK-101</t>
  </si>
  <si>
    <t>SA230101237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</si>
  <si>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</si>
  <si>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</si>
  <si>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</si>
  <si>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</si>
  <si>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</si>
  <si>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SA230101228</t>
  </si>
  <si>
    <t>GLUE STICK GS-104 (ANIMAL KINGDOM) JK</t>
  </si>
  <si>
    <t>TAPE CUTTER TD-101 JK</t>
  </si>
  <si>
    <t>6 BOX X 12 DZ</t>
  </si>
  <si>
    <t>PENCIL LEAD PL-16 (2.0) JK</t>
  </si>
  <si>
    <t>CASH BOX CB-21A JK</t>
  </si>
  <si>
    <t>CASH BOX CB-26A JK</t>
  </si>
  <si>
    <t>16 PCS</t>
  </si>
  <si>
    <t>PENCIL LEAD  PL-17 (2.0) 2B JK</t>
  </si>
  <si>
    <t>TAPE CUTTER TC-106 JK</t>
  </si>
  <si>
    <t>BI-2037/01-0138/LGS</t>
  </si>
  <si>
    <t>GLUE STICK 7 X 30</t>
  </si>
  <si>
    <t>GLUE STICK 11 X 29</t>
  </si>
  <si>
    <t>TAS KARUNG 70 X 70</t>
  </si>
  <si>
    <t>TAS KARUNG 55 X 65 X 25</t>
  </si>
  <si>
    <t>TAS KARUNG 50 X 55</t>
  </si>
  <si>
    <t>TAS KARUNG 45 X 50</t>
  </si>
  <si>
    <t>TAS KARUNG 40 X 45</t>
  </si>
  <si>
    <t>OPP 18 X 36</t>
  </si>
  <si>
    <t>VA0360B1</t>
  </si>
  <si>
    <t>PCM GP-65071/ 8X22.5/ PUA/ UGLT/ D</t>
  </si>
  <si>
    <t>PCM GP-9363/ 8X22/ PUA/ BENTUK/ D</t>
  </si>
  <si>
    <t>PCM KT-111/ 8X23.5/ PUA/ GLT/ BT21</t>
  </si>
  <si>
    <t>PCM XU-0080/ 12X22/ +PU/ DNY</t>
  </si>
  <si>
    <t>7HO14/1/2023</t>
  </si>
  <si>
    <t>HBAG LUX MY 02A</t>
  </si>
  <si>
    <t>MAP SCHOOL BAG KOTAK HIJAU MUDA</t>
  </si>
  <si>
    <t>PC IMITASI 385</t>
  </si>
  <si>
    <t>PENGGARIS GASTA 0733</t>
  </si>
  <si>
    <t>LETTER TRAY BESI MT NO-3</t>
  </si>
  <si>
    <t>PCK 195</t>
  </si>
  <si>
    <t>PENGHAPUS ER 1318</t>
  </si>
  <si>
    <t>G 007</t>
  </si>
  <si>
    <t>PC A838</t>
  </si>
  <si>
    <t>PC A 792</t>
  </si>
  <si>
    <t>PC H 837</t>
  </si>
  <si>
    <t>PC H 797</t>
  </si>
  <si>
    <t>PC 823</t>
  </si>
  <si>
    <t>36 LSN</t>
  </si>
  <si>
    <t>23/I/280</t>
  </si>
  <si>
    <t>240 BOX</t>
  </si>
  <si>
    <t>REFILL GEL FANCY VRG-2015 (PRINCESS)</t>
  </si>
  <si>
    <t>REFILL GEL FANCY VRG-2016 (ANIMAL CARNIVAL)</t>
  </si>
  <si>
    <t>REFILL GEL FANCY VRG-2018 (TSUM-TSUM)</t>
  </si>
  <si>
    <t>REFILL GEL FANCY VRG-2019 (HELLO DORAEMON)</t>
  </si>
  <si>
    <t>REFILL GEL FANCY VRG-2020 (HIJAB LOVE)</t>
  </si>
  <si>
    <t>BINTANG JAYA</t>
  </si>
  <si>
    <t>SI.2023.01.00353</t>
  </si>
  <si>
    <t>H_DISKON</t>
  </si>
  <si>
    <t>H_DISC DLL</t>
  </si>
  <si>
    <t>CRAYON 1012-12 WRN MIX WOMY</t>
  </si>
  <si>
    <t>B 17</t>
  </si>
  <si>
    <t>B 19</t>
  </si>
  <si>
    <t>DISKON CASH 57000</t>
  </si>
  <si>
    <t>DISKON CASH 134500</t>
  </si>
  <si>
    <t>REFILL GEL FANCY VRG-2017 (SUPERHERO)</t>
  </si>
  <si>
    <t>CP-SQ12L CRAYON PUTAR PANJANG</t>
  </si>
  <si>
    <t>JL-61231</t>
  </si>
  <si>
    <t>P/ C MAG C-1758 (22*7.5)</t>
  </si>
  <si>
    <t>HN012023297</t>
  </si>
  <si>
    <t>LILIN SHINTOENG 12 BTG</t>
  </si>
  <si>
    <t>NO 0/1/2/3/4/5/9 @ 2LSN</t>
  </si>
  <si>
    <t>078958</t>
  </si>
  <si>
    <t>SULING YAMAHA</t>
  </si>
  <si>
    <t>PIANIKA DH BOX PREMIUM</t>
  </si>
  <si>
    <t>2300157</t>
  </si>
  <si>
    <t>HB-65 GUNINDO</t>
  </si>
  <si>
    <t>SULING GDS23 SOLID</t>
  </si>
  <si>
    <t>CUTTER A 18 TRANS</t>
  </si>
  <si>
    <t>HB75 GUNINDO</t>
  </si>
  <si>
    <t>HN012023292</t>
  </si>
  <si>
    <t>HN012023286</t>
  </si>
  <si>
    <t>NO.6</t>
  </si>
  <si>
    <t>NO.2</t>
  </si>
  <si>
    <t>NO.3/4/8 @3LSN</t>
  </si>
  <si>
    <t>PK-230100117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</si>
  <si>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</si>
  <si>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</si>
  <si>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</si>
  <si>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</si>
  <si>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</si>
  <si>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</si>
  <si>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G 014</t>
  </si>
  <si>
    <t>PC H 769</t>
  </si>
  <si>
    <t>HONGSIAN</t>
  </si>
  <si>
    <t>MAP KCG ATOS MRH</t>
  </si>
  <si>
    <t>MAP KCG ATOS BR</t>
  </si>
  <si>
    <t>PUNCH 30 XL JK</t>
  </si>
  <si>
    <t>MESIN LABEL MX 5500M</t>
  </si>
  <si>
    <t>PENSIL 2B P95 JK</t>
  </si>
  <si>
    <t>TIPE*EX JK-101 JK</t>
  </si>
  <si>
    <t>SPIDOL PM-34 HTM</t>
  </si>
  <si>
    <t>P CASE REST A 776</t>
  </si>
  <si>
    <t>P CASE REST H 466</t>
  </si>
  <si>
    <t>P CASE  REST H761</t>
  </si>
  <si>
    <t>SALIKAH</t>
  </si>
  <si>
    <t>DR (SS) ORI</t>
  </si>
  <si>
    <t>GUNTING JUNIOR J400 JUNIOR</t>
  </si>
  <si>
    <t>GUNTING JUNIOR J500 JUNIOR</t>
  </si>
  <si>
    <t>GUNTING JUNIOR J300 JUNIOR</t>
  </si>
  <si>
    <t>GUNTING JUNIOR J200 JUNIOR</t>
  </si>
  <si>
    <t>GUNTING IDEAL K500</t>
  </si>
  <si>
    <t>GUNTING IDEAL K300</t>
  </si>
  <si>
    <t>GUNTING TREND SS</t>
  </si>
  <si>
    <t>20 LSN</t>
  </si>
  <si>
    <t>24 LSN</t>
  </si>
  <si>
    <t>PENSIL 2B P88 JK</t>
  </si>
  <si>
    <t>TIPEX KENKO KE-01</t>
  </si>
  <si>
    <t>LEM STICK  8 GR</t>
  </si>
  <si>
    <t>36 BOX</t>
  </si>
  <si>
    <t>B CLIP 155</t>
  </si>
  <si>
    <t>B CLIP 200</t>
  </si>
  <si>
    <t>10 GRS</t>
  </si>
  <si>
    <t>B CLIP 260</t>
  </si>
  <si>
    <t>TIPEX 831</t>
  </si>
  <si>
    <t>LL A5-100</t>
  </si>
  <si>
    <t>96 PAK</t>
  </si>
  <si>
    <t>BP KENKO KE 100 HTM</t>
  </si>
  <si>
    <t>TIPEX KE-01</t>
  </si>
  <si>
    <t>PW 12W KENKO PANJANG</t>
  </si>
  <si>
    <t>DISPENSER TD 323</t>
  </si>
  <si>
    <t>B CLIP 107 KENKO</t>
  </si>
  <si>
    <t>50 GRS</t>
  </si>
  <si>
    <t>CUTTER KENKO L 500</t>
  </si>
  <si>
    <t>ISI STAPLER 1210 (23/10)</t>
  </si>
  <si>
    <t>200 PCS</t>
  </si>
  <si>
    <t>CLIP KENKO NO.3</t>
  </si>
  <si>
    <t>TIP KEN KE108</t>
  </si>
  <si>
    <t>SA230101441</t>
  </si>
  <si>
    <t>SA 39678</t>
  </si>
  <si>
    <t>23011764</t>
  </si>
  <si>
    <t>KENKO BINDER CLIP NO.155</t>
  </si>
  <si>
    <t>KENKO BINDER CLIP NO.200</t>
  </si>
  <si>
    <t>KENKO CORRECTION TAPE CT-831 *8M X 5MM)</t>
  </si>
  <si>
    <t>SA 39682</t>
  </si>
  <si>
    <t>23011733</t>
  </si>
  <si>
    <t>SA 39622</t>
  </si>
  <si>
    <t>KENKO LOOSE LEAF A5-LL 100-2070</t>
  </si>
  <si>
    <t>KENKO BINDER CLIP NO.107</t>
  </si>
  <si>
    <t>20 PAK</t>
  </si>
  <si>
    <t>KENKO GEL PEN KE-100 BLACK</t>
  </si>
  <si>
    <t>KENKO CUTTER L-500 (18MM BLADE)</t>
  </si>
  <si>
    <t>B 26</t>
  </si>
  <si>
    <t>CASH DISC : 78.000</t>
  </si>
  <si>
    <t>A41.23</t>
  </si>
  <si>
    <t>ENTER 30CM 675</t>
  </si>
  <si>
    <t>200 DZ</t>
  </si>
  <si>
    <t>JUA599/233</t>
  </si>
  <si>
    <t>STABILO TIZO 54 PC TF610</t>
  </si>
  <si>
    <t>HIGHLIGHTER 24 PCS TF616</t>
  </si>
  <si>
    <t>32 PCS</t>
  </si>
  <si>
    <t>DIMUAT 1 COLI</t>
  </si>
  <si>
    <t>16 BOX X 40 PCS</t>
  </si>
  <si>
    <t>AG CK KOMBINASI</t>
  </si>
  <si>
    <t>SA230101591</t>
  </si>
  <si>
    <t>MATH SET MS-25 JK</t>
  </si>
  <si>
    <t>MATH SET MS-75 JK</t>
  </si>
  <si>
    <t>MATH SET MS-402 JK</t>
  </si>
  <si>
    <t>TAPE CUTTER TD-102 JK</t>
  </si>
  <si>
    <t>LABEL LB-2RL(1 BARIS) JK</t>
  </si>
  <si>
    <t>23011870</t>
  </si>
  <si>
    <t>KENKO BINDER CLIP NO.105</t>
  </si>
  <si>
    <t xml:space="preserve">5 GRS </t>
  </si>
  <si>
    <t>26 BOX X 20 PCS</t>
  </si>
  <si>
    <t>HN012023340</t>
  </si>
  <si>
    <t>CUTTER TACO 78 KECIL</t>
  </si>
  <si>
    <t>CUTTER TACO 88 BESAR</t>
  </si>
  <si>
    <t>ACRYLIC COLOUR TF-AC-001 (12X5ML)</t>
  </si>
  <si>
    <t>MAP KCG ATOZ KNG</t>
  </si>
  <si>
    <t>PCM KT-387/ 8X22.5/ PUA/ GLT/ GIRL</t>
  </si>
  <si>
    <t>JL-61563</t>
  </si>
  <si>
    <t>LEM CAIR G-5036 (50 ML)</t>
  </si>
  <si>
    <t>430 PCS</t>
  </si>
  <si>
    <t>STABILLO HL-520 (12) VANCO</t>
  </si>
  <si>
    <t>DZN</t>
  </si>
  <si>
    <t>100 DZN</t>
  </si>
  <si>
    <t>P/C MAG C-1756 (22*7.5)</t>
  </si>
  <si>
    <t>160 PCS</t>
  </si>
  <si>
    <t>LMA 2023-01-160</t>
  </si>
  <si>
    <t>POLAR BEAR W/ DISP MN-305</t>
  </si>
  <si>
    <t>PITA JPN LIST GOLD MIX B 040</t>
  </si>
  <si>
    <t>ACRYLIC COLOUR TF-AC-003 (18 X 6ML)</t>
  </si>
  <si>
    <t>MAP ZIPPER JALA BIRU (240 PCS)</t>
  </si>
  <si>
    <t>MAP ZIPPER JALA HIJAU (240 PCS)</t>
  </si>
  <si>
    <t>MAP ZIPPER JALA MERAH (240 PCS)</t>
  </si>
  <si>
    <t>MAP L/CLEAR HOLDER SIKA AC-105 MERAH (60 LSN/DUS)</t>
  </si>
  <si>
    <t>MAP L/CLEAR HOLDER SIKA AC-105 KUNING (60 LSN/DUS)</t>
  </si>
  <si>
    <t>SEMPOA 13 TIANG</t>
  </si>
  <si>
    <t>SEMPOA 17 TIANG</t>
  </si>
  <si>
    <t>BUSUR 3 1/2 MIKA</t>
  </si>
  <si>
    <t>BUSUR NO.4 MIKA</t>
  </si>
  <si>
    <t>CLEAR HOLDER AC-105 PUTIH</t>
  </si>
  <si>
    <t>PALET GAMBAR BIOLA-APEL WARNA/ WAP-202</t>
  </si>
  <si>
    <t>PALET GAMBAR BIOLA-ANGGUR WARNA/ WAG-201</t>
  </si>
  <si>
    <t>PALET CAT AIR BIASA DOF 06013</t>
  </si>
  <si>
    <t>Column2</t>
  </si>
  <si>
    <t>SA230101701</t>
  </si>
  <si>
    <t>CUTTER BLADE A-100 AM (S) JK</t>
  </si>
  <si>
    <t>120 DZ</t>
  </si>
  <si>
    <t>SA230101817</t>
  </si>
  <si>
    <t>SCISSOR SC-828 SG JK</t>
  </si>
  <si>
    <t>SCISSOR SC-838 SG JK</t>
  </si>
  <si>
    <t>STAPLER HD-10M JK</t>
  </si>
  <si>
    <t>25 DZ</t>
  </si>
  <si>
    <t>STAPLER HD-10 MP JK</t>
  </si>
  <si>
    <t>LONG REACH STAPLER HD35LA JK</t>
  </si>
  <si>
    <t>BALLPEN BP-273 ZETO (BLACK) JK</t>
  </si>
  <si>
    <t>DESK SET DS-0812 JK</t>
  </si>
  <si>
    <t>SHARPENER B-82 (BEAR) JK</t>
  </si>
  <si>
    <t>60 BOX X 24 PCS</t>
  </si>
  <si>
    <t>SA230101822</t>
  </si>
  <si>
    <t>PAPER FASTENER PF-50 (COLOR) JK</t>
  </si>
  <si>
    <t>PAPER FASTENER PF-50 (WHITE) JK</t>
  </si>
  <si>
    <t>PAPER CLIP C-3100 JK</t>
  </si>
  <si>
    <t>CAD</t>
  </si>
  <si>
    <t>24 BOX X 12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</si>
</sst>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14" fontId="2" fillId="3" borderId="0" xfId="0" applyNumberFormat="1" applyFont="1" applyFill="1" applyBorder="1" applyAlignment="1">
      <alignment horizontal="left" vertical="center"/>
    </xf>
    <xf numFmtId="14" fontId="6" fillId="3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24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N979" headerRowDxfId="228" dataDxfId="227">
  <autoFilter ref="A2:AN979"/>
  <sortState ref="A23:AN342">
    <sortCondition ref="G2:G1019"/>
  </sortState>
  <tableColumns count="40">
    <tableColumn id="36" name="ID" totalsRowLabel="Total" dataDxfId="226" totalsRowDxfId="225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4" totalsRowDxfId="223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40" name="Column2" dataDxfId="222" totalsRowDxfId="221">
      <calculatedColumnFormula>IF(NOTA[[#This Row],[CEK_EXP]]&lt;D2,"err","")</calculatedColumnFormula>
    </tableColumn>
    <tableColumn id="28" name="CEK_EXP" dataDxfId="220" totalsRowDxfId="219">
      <calculatedColumnFormula>IF(NOTA[[#This Row],[TANGGAL]]="",D2,NOTA[[#This Row],[TANGGAL]])</calculatedColumnFormula>
    </tableColumn>
    <tableColumn id="37" name="ID_H" dataDxfId="218" totalsRowDxfId="21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6" totalsRowDxfId="215"/>
    <tableColumn id="3" name="SUPPLIER" dataDxfId="214" totalsRowDxfId="213"/>
    <tableColumn id="4" name="FAKTUR" dataDxfId="212" totalsRowDxfId="211"/>
    <tableColumn id="5" name="NO.NOTA" dataDxfId="210" totalsRowDxfId="209"/>
    <tableColumn id="6" name="NO.SJ" dataDxfId="208" totalsRowDxfId="207"/>
    <tableColumn id="7" name="TGL.NOTA" dataDxfId="206" totalsRowDxfId="205"/>
    <tableColumn id="8" name="SERI" dataDxfId="204" totalsRowDxfId="203"/>
    <tableColumn id="9" name="NAMA BARANG" dataDxfId="202" totalsRowDxfId="201"/>
    <tableColumn id="10" name="C" dataDxfId="200" totalsRowDxfId="199"/>
    <tableColumn id="12" name="QTY" dataDxfId="198" totalsRowDxfId="197"/>
    <tableColumn id="13" name="STN" dataDxfId="196" totalsRowDxfId="195"/>
    <tableColumn id="14" name="HARGA SATUAN" dataDxfId="194" totalsRowDxfId="193"/>
    <tableColumn id="16" name="HARGA/ CTN" dataDxfId="192" totalsRowDxfId="191"/>
    <tableColumn id="17" name="QTY/ CTN" dataDxfId="190" totalsRowDxfId="189"/>
    <tableColumn id="18" name="DISC 1" dataDxfId="188" totalsRowDxfId="187"/>
    <tableColumn id="19" name="DISC 2" dataDxfId="186" totalsRowDxfId="185"/>
    <tableColumn id="11" name="DISC DLL" dataDxfId="184" totalsRowDxfId="183"/>
    <tableColumn id="31" name="KETERANGAN" dataDxfId="182" totalsRowDxfId="181"/>
    <tableColumn id="20" name="JUMLAH" dataDxfId="180" totalsRowDxfId="17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8" totalsRowDxfId="177">
      <calculatedColumnFormula>IF(NOTA[[#This Row],[JUMLAH]]="","",NOTA[[#This Row],[JUMLAH]]*NOTA[[#This Row],[DISC 1]])</calculatedColumnFormula>
    </tableColumn>
    <tableColumn id="22" name="DISC 2-" dataDxfId="176" totalsRowDxfId="175">
      <calculatedColumnFormula>IF(NOTA[[#This Row],[JUMLAH]]="","",(NOTA[[#This Row],[JUMLAH]]-NOTA[[#This Row],[DISC 1-]])*NOTA[[#This Row],[DISC 2]])</calculatedColumnFormula>
    </tableColumn>
    <tableColumn id="25" name="DISC" dataDxfId="174" totalsRowDxfId="173">
      <calculatedColumnFormula>IF(NOTA[[#This Row],[JUMLAH]]="","",NOTA[[#This Row],[DISC 1-]]+NOTA[[#This Row],[DISC 2-]])</calculatedColumnFormula>
    </tableColumn>
    <tableColumn id="26" name="TOTAL" dataDxfId="172" totalsRowDxfId="171">
      <calculatedColumnFormula>IF(NOTA[[#This Row],[JUMLAH]]="","",NOTA[[#This Row],[JUMLAH]]-NOTA[[#This Row],[DISC]])</calculatedColumnFormula>
    </tableColumn>
    <tableColumn id="33" name="DISC TOTAL" dataDxfId="170" totalsRowDxfId="16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8" totalsRowDxfId="16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6" totalsRowDxfId="16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4" totalsRowDxfId="163">
      <calculatedColumnFormula>IF(OR(NOTA[[#This Row],[QTY]]="",NOTA[[#This Row],[HARGA SATUAN]]="",),"",NOTA[[#This Row],[QTY]]*NOTA[[#This Row],[HARGA SATUAN]])</calculatedColumnFormula>
    </tableColumn>
    <tableColumn id="27" name="TGL_H" dataDxfId="162" totalsRowDxfId="16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0" totalsRowDxfId="15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58" totalsRowDxfId="157">
      <calculatedColumnFormula>IF(NOTA[[#This Row],[ID_H]]="","",IF(NOTA[[#This Row],[FAKTUR]]="",INDIRECT(ADDRESS(ROW()-1,COLUMN())),NOTA[[#This Row],[FAKTUR]]))</calculatedColumnFormula>
    </tableColumn>
    <tableColumn id="30" name="qb" dataDxfId="156">
      <calculatedColumnFormula>IF(NOTA[[#This Row],[ID]]="","",COUNTIF(NOTA[ID_H],NOTA[[#This Row],[ID_H]]))</calculatedColumnFormula>
    </tableColumn>
    <tableColumn id="29" name="Column1" dataDxfId="155">
      <calculatedColumnFormula>IF(NOTA[[#This Row],[TGL.NOTA]]="",IF(NOTA[[#This Row],[SUPPLIER_H]]="","",AK2),MONTH(NOTA[[#This Row],[TGL.NOTA]]))</calculatedColumnFormula>
    </tableColumn>
    <tableColumn id="38" name="CONCAT1" dataDxfId="15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3">
      <calculatedColumnFormula>IF(NOTA[C]="",NOTA[[#This Row],[CONCAT1]]&amp;NOTA[[#This Row],[HARGA SATUAN]],NOTA[[#This Row],[CONCAT1]]&amp;NOTA[[#This Row],[HARGA/ CTN_H]]&amp;NOTA[[#This Row],[DISC 1]]&amp;NOTA[[#This Row],[DISC 2]])</calculatedColumnFormula>
    </tableColumn>
    <tableColumn id="39" name="//DB" dataDxfId="152">
      <calculatedColumnFormula>IF(NOTA[[#This Row],[CONCAT1]]="","",MATCH(NOTA[[#This Row],[CONCAT1]],[1]!db[NB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((LMA[[#This Row],[SUB TOTAL]]-LMA[[#This Row],[DISKON]])/1.11)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Row],[ID]],[2]!Table1[ID],0)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8">
  <autoFilter ref="A2:N52"/>
  <sortState ref="A3:N52">
    <sortCondition ref="F2:F52"/>
  </sortState>
  <tableColumns count="14">
    <tableColumn id="17" name="//NOTA" dataDxfId="12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4">
      <calculatedColumnFormula>IF(KENKO[[#This Row],[//PAJAK]]="","",INDEX(INDIRECT("PAJAK["&amp;KENKO[#Headers]&amp;"]"),KENKO[[#This Row],[//PAJAK]]-1))</calculatedColumnFormula>
    </tableColumn>
    <tableColumn id="4" name="TGL.MASUK" dataDxfId="123">
      <calculatedColumnFormula>IF(KENKO[[#This Row],[//PAJAK]]="","",INDEX(INDIRECT("PAJAK["&amp;KENKO[#Headers]&amp;"]"),KENKO[[#This Row],[//PAJAK]]-1))</calculatedColumnFormula>
    </tableColumn>
    <tableColumn id="5" name="TGL.NOTA" dataDxfId="122">
      <calculatedColumnFormula>IF(KENKO[[#This Row],[//PAJAK]]="","",INDEX(INDIRECT("PAJAK["&amp;KENKO[#Headers]&amp;"]"),KENKO[[#This Row],[//PAJAK]]-1))</calculatedColumnFormula>
    </tableColumn>
    <tableColumn id="6" name="NO.NOTA" dataDxfId="121">
      <calculatedColumnFormula>IF(KENKO[[#This Row],[//PAJAK]]="","",INDEX(INDIRECT("PAJAK["&amp;KENKO[#Headers]&amp;"]"),KENKO[[#This Row],[//PAJAK]]-1))</calculatedColumnFormula>
    </tableColumn>
    <tableColumn id="7" name="NO.SJ" dataDxfId="120">
      <calculatedColumnFormula>IF(KENKO[[#This Row],[//PAJAK]]="","",INDEX(INDIRECT("PAJAK["&amp;KENKO[#Headers]&amp;"]"),KENKO[[#This Row],[//PAJAK]]-1))</calculatedColumnFormula>
    </tableColumn>
    <tableColumn id="8" name="SUB TOTAL" dataDxfId="119">
      <calculatedColumnFormula>IF(KENKO[[#This Row],[//PAJAK]]="","",INDEX(INDIRECT("PAJAK["&amp;KENKO[#Headers]&amp;"]"),KENKO[[#This Row],[//PAJAK]]-1))</calculatedColumnFormula>
    </tableColumn>
    <tableColumn id="9" name="DISKON" dataDxfId="118">
      <calculatedColumnFormula>IF(KENKO[[#This Row],[//PAJAK]]="","",INDEX(INDIRECT("PAJAK["&amp;KENKO[#Headers]&amp;"]"),KENKO[[#This Row],[//PAJAK]]-1))</calculatedColumnFormula>
    </tableColumn>
    <tableColumn id="10" name="DPP" dataDxfId="117">
      <calculatedColumnFormula>(KENKO[[#This Row],[SUB TOTAL]]-KENKO[[#This Row],[DISKON]])/1.11</calculatedColumnFormula>
    </tableColumn>
    <tableColumn id="11" name="PPN (11%)" dataDxfId="116">
      <calculatedColumnFormula>KENKO[[#This Row],[DPP]]*11%</calculatedColumnFormula>
    </tableColumn>
    <tableColumn id="12" name="TOTAL" dataDxfId="115">
      <calculatedColumnFormula>KENKO[[#This Row],[DPP]]+KENKO[[#This Row],[PPN (11%)]]</calculatedColumnFormula>
    </tableColumn>
    <tableColumn id="13" name="Column1" dataDxfId="11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3">
  <autoFilter ref="A2:M50"/>
  <tableColumns count="13">
    <tableColumn id="1" name="//NOTA" dataDxfId="11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9">
      <calculatedColumnFormula>IF(ATALI[[#This Row],[//PAJAK]]="","",INDEX(INDIRECT("PAJAK["&amp;ATALI[#Headers]&amp;"]"),ATALI[[#This Row],[//PAJAK]]-1))</calculatedColumnFormula>
    </tableColumn>
    <tableColumn id="5" name="TGL.MASUK" dataDxfId="108">
      <calculatedColumnFormula>IF(ATALI[[#This Row],[//PAJAK]]="","",INDEX(INDIRECT("PAJAK["&amp;ATALI[#Headers]&amp;"]"),ATALI[[#This Row],[//PAJAK]]-1))</calculatedColumnFormula>
    </tableColumn>
    <tableColumn id="6" name="TGL.NOTA" dataDxfId="107">
      <calculatedColumnFormula>IF(ATALI[[#This Row],[//PAJAK]]="","",INDEX(INDIRECT("PAJAK["&amp;ATALI[#Headers]&amp;"]"),ATALI[[#This Row],[//PAJAK]]-1))</calculatedColumnFormula>
    </tableColumn>
    <tableColumn id="7" name="NO.NOTA" dataDxfId="106">
      <calculatedColumnFormula>IF(ATALI[[#This Row],[//PAJAK]]="","",INDEX(INDIRECT("PAJAK["&amp;ATALI[#Headers]&amp;"]"),ATALI[[#This Row],[//PAJAK]]-1))</calculatedColumnFormula>
    </tableColumn>
    <tableColumn id="8" name="NO.SJ" dataDxfId="105">
      <calculatedColumnFormula>IF(ATALI[[#This Row],[//PAJAK]]="","",INDEX(INDIRECT("PAJAK["&amp;ATALI[#Headers]&amp;"]"),ATALI[[#This Row],[//PAJAK]]-1))</calculatedColumnFormula>
    </tableColumn>
    <tableColumn id="9" name="SUB TOTAL" dataDxfId="104">
      <calculatedColumnFormula>IF(ATALI[[#This Row],[//PAJAK]]="","",INDEX(PAJAK[SUB T-DISC],ATALI[[#This Row],[//PAJAK]]-1))</calculatedColumnFormula>
    </tableColumn>
    <tableColumn id="10" name="DISKON" dataDxfId="103">
      <calculatedColumnFormula>IF(ATALI[[#This Row],[//PAJAK]]="","",INDEX(PAJAK[DISC DLL],ATALI[[#This Row],[//PAJAK]]-1))</calculatedColumnFormula>
    </tableColumn>
    <tableColumn id="11" name="DPP" dataDxfId="102">
      <calculatedColumnFormula>(ATALI[[#This Row],[SUB TOTAL]]-ATALI[[#This Row],[DISKON]])/1.11</calculatedColumnFormula>
    </tableColumn>
    <tableColumn id="12" name="PPN (11%)" dataDxfId="101">
      <calculatedColumnFormula>ATALI[[#This Row],[DPP]]*11%</calculatedColumnFormula>
    </tableColumn>
    <tableColumn id="13" name="TOTAL" dataDxfId="10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Row],[//PAJAK]]="","",((INDEX(INDIRECT("PAJAK["&amp;SDI[#Headers]&amp;"]"),SDI[[#This Row],[//PAJAK]]-1))-SDI[[#This Row],[H_DISKON]])*1.11)</calculatedColumnFormula>
    </tableColumn>
    <tableColumn id="9" name="DISKON" dataDxfId="62">
      <calculatedColumnFormula>IF(SDI[[#This Row],[//PAJAK]]="","",SDI[[#This Row],[H_DISC DLL]]*1.11)</calculatedColumnFormula>
    </tableColumn>
    <tableColumn id="10" name="DPP" dataDxfId="61">
      <calculatedColumnFormula>(SDI[[#This Row],[SUB TOTAL]]-SDI[[#This Row],[DISKON]])/1.11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979"/>
  <sheetViews>
    <sheetView tabSelected="1" topLeftCell="D826" zoomScale="70" zoomScaleNormal="70" zoomScaleSheetLayoutView="55" workbookViewId="0">
      <selection activeCell="D855" sqref="D855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7109375" style="14" customWidth="1"/>
    <col min="4" max="4" width="12.85546875" style="14" customWidth="1" outlineLevel="1"/>
    <col min="5" max="5" width="4.7109375" style="14" customWidth="1" outlineLevel="1"/>
    <col min="6" max="6" width="12.42578125" style="14" customWidth="1"/>
    <col min="7" max="7" width="29.7109375" style="14" customWidth="1"/>
    <col min="8" max="8" width="13.85546875" style="14" customWidth="1"/>
    <col min="9" max="9" width="19.28515625" style="21" customWidth="1"/>
    <col min="10" max="10" width="10.7109375" style="14" customWidth="1"/>
    <col min="11" max="11" width="12.42578125" style="16" customWidth="1"/>
    <col min="12" max="12" width="5.28515625" style="14" customWidth="1"/>
    <col min="13" max="13" width="64" style="14" customWidth="1"/>
    <col min="14" max="14" width="3.85546875" style="24" customWidth="1"/>
    <col min="15" max="15" width="8.7109375" style="14" customWidth="1" outlineLevel="1"/>
    <col min="16" max="16" width="5.85546875" style="14" customWidth="1" outlineLevel="1"/>
    <col min="17" max="17" width="15.5703125" style="17" customWidth="1" outlineLevel="1"/>
    <col min="18" max="18" width="33.85546875" style="47" customWidth="1"/>
    <col min="19" max="19" width="23" style="17" customWidth="1"/>
    <col min="20" max="20" width="13.140625" style="18" customWidth="1"/>
    <col min="21" max="21" width="8.42578125" style="19" customWidth="1"/>
    <col min="22" max="22" width="17.28515625" style="14" customWidth="1"/>
    <col min="23" max="23" width="14.5703125" style="27" customWidth="1"/>
    <col min="24" max="24" width="17.7109375" bestFit="1" customWidth="1"/>
    <col min="25" max="25" width="16.42578125" style="17" customWidth="1"/>
    <col min="26" max="26" width="15.28515625" style="17" customWidth="1" outlineLevel="1"/>
    <col min="27" max="27" width="16.42578125" style="17" customWidth="1" outlineLevel="1"/>
    <col min="28" max="28" width="17.7109375" style="17" customWidth="1"/>
    <col min="29" max="29" width="22.7109375" style="17" customWidth="1"/>
    <col min="30" max="30" width="17.7109375" bestFit="1" customWidth="1"/>
    <col min="31" max="31" width="20" style="19" bestFit="1" customWidth="1"/>
    <col min="32" max="32" width="17.7109375" style="17" customWidth="1"/>
    <col min="33" max="33" width="12.42578125" bestFit="1" customWidth="1"/>
    <col min="34" max="34" width="29.7109375" style="17" bestFit="1" customWidth="1"/>
    <col min="35" max="36" width="29.7109375" style="17" customWidth="1"/>
    <col min="37" max="37" width="29.7109375" style="14" customWidth="1"/>
    <col min="38" max="38" width="50.28515625" style="14" customWidth="1"/>
    <col min="39" max="39" width="39.140625" customWidth="1"/>
    <col min="40" max="40" width="29.7109375" style="16" customWidth="1" outlineLevel="1"/>
    <col min="41" max="41" width="26.85546875" style="14" customWidth="1" outlineLevel="1"/>
    <col min="42" max="42" width="28" style="14" customWidth="1" outlineLevel="1"/>
    <col min="43" max="16384" width="9.140625" style="14"/>
  </cols>
  <sheetData>
    <row r="1" spans="1:40" ht="20.100000000000001" customHeight="1" x14ac:dyDescent="0.25">
      <c r="A1" s="161" t="s">
        <v>85</v>
      </c>
      <c r="B1" s="15">
        <v>44743</v>
      </c>
      <c r="C1" s="15"/>
      <c r="D1" s="15"/>
      <c r="E1" s="15"/>
      <c r="I1" s="20">
        <f>MONTH(K1)</f>
        <v>8</v>
      </c>
      <c r="K1" s="16">
        <v>44774</v>
      </c>
      <c r="R1" s="45"/>
      <c r="S1" s="18"/>
      <c r="T1" s="19"/>
      <c r="V1" s="17"/>
      <c r="X1" s="17"/>
      <c r="AB1" s="14"/>
      <c r="AC1" s="14"/>
      <c r="AD1" s="17"/>
      <c r="AE1" s="14"/>
      <c r="AG1" s="16"/>
      <c r="AH1" s="14"/>
      <c r="AI1" s="14"/>
      <c r="AJ1" s="14"/>
      <c r="AM1" s="14"/>
      <c r="AN1" s="14"/>
    </row>
    <row r="2" spans="1:40" ht="20.100000000000001" customHeight="1" x14ac:dyDescent="0.25">
      <c r="A2" s="14" t="s">
        <v>0</v>
      </c>
      <c r="B2" s="14" t="s">
        <v>37</v>
      </c>
      <c r="C2" s="14" t="s">
        <v>983</v>
      </c>
      <c r="D2" s="14" t="s">
        <v>79</v>
      </c>
      <c r="E2" s="14" t="s">
        <v>38</v>
      </c>
      <c r="F2" s="14" t="s">
        <v>1</v>
      </c>
      <c r="G2" s="14" t="s">
        <v>2</v>
      </c>
      <c r="H2" s="14" t="s">
        <v>3</v>
      </c>
      <c r="I2" s="21" t="s">
        <v>4</v>
      </c>
      <c r="J2" s="14" t="s">
        <v>5</v>
      </c>
      <c r="K2" s="16" t="s">
        <v>6</v>
      </c>
      <c r="L2" s="14" t="s">
        <v>7</v>
      </c>
      <c r="M2" s="14" t="s">
        <v>8</v>
      </c>
      <c r="N2" s="24" t="s">
        <v>9</v>
      </c>
      <c r="O2" s="14" t="s">
        <v>11</v>
      </c>
      <c r="P2" s="14" t="s">
        <v>10</v>
      </c>
      <c r="Q2" s="17" t="s">
        <v>12</v>
      </c>
      <c r="R2" s="45" t="s">
        <v>13</v>
      </c>
      <c r="S2" s="18" t="s">
        <v>14</v>
      </c>
      <c r="T2" s="19" t="s">
        <v>15</v>
      </c>
      <c r="U2" s="19" t="s">
        <v>16</v>
      </c>
      <c r="V2" s="17" t="s">
        <v>20</v>
      </c>
      <c r="W2" s="27" t="s">
        <v>27</v>
      </c>
      <c r="X2" s="17" t="s">
        <v>17</v>
      </c>
      <c r="Y2" s="17" t="s">
        <v>18</v>
      </c>
      <c r="Z2" s="17" t="s">
        <v>19</v>
      </c>
      <c r="AA2" s="17" t="s">
        <v>21</v>
      </c>
      <c r="AB2" s="17" t="s">
        <v>22</v>
      </c>
      <c r="AC2" s="17" t="s">
        <v>29</v>
      </c>
      <c r="AD2" s="17" t="s">
        <v>30</v>
      </c>
      <c r="AE2" s="14" t="s">
        <v>50</v>
      </c>
      <c r="AF2" s="17" t="s">
        <v>81</v>
      </c>
      <c r="AG2" s="16" t="s">
        <v>36</v>
      </c>
      <c r="AH2" s="22" t="s">
        <v>51</v>
      </c>
      <c r="AI2" s="14" t="s">
        <v>260</v>
      </c>
      <c r="AJ2" s="14" t="s">
        <v>80</v>
      </c>
      <c r="AK2" s="14" t="s">
        <v>53</v>
      </c>
      <c r="AL2" s="14" t="s">
        <v>416</v>
      </c>
      <c r="AM2" s="14" t="s">
        <v>415</v>
      </c>
      <c r="AN2" s="185" t="s">
        <v>417</v>
      </c>
    </row>
    <row r="3" spans="1:40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GRA_0301_LAN-1</v>
      </c>
      <c r="C3" s="50" t="str">
        <f>IF(NOTA[[#This Row],[CEK_EXP]]&lt;D2,"err","")</f>
        <v>err</v>
      </c>
      <c r="D3" s="50">
        <f>IF(NOTA[[#This Row],[TANGGAL]]="",D2,NOTA[[#This Row],[TANGGAL]])</f>
        <v>44929</v>
      </c>
      <c r="E3" s="50">
        <f ca="1">IF(NOTA[[#This Row],[NAMA BARANG]]="","",INDEX(NOTA[ID],MATCH(,INDIRECT(ADDRESS(ROW(NOTA[ID]),COLUMN(NOTA[ID]))&amp;":"&amp;ADDRESS(ROW(),COLUMN(NOTA[ID]))),-1)))</f>
        <v>1</v>
      </c>
      <c r="F3" s="23">
        <v>44929</v>
      </c>
      <c r="G3" s="26" t="s">
        <v>86</v>
      </c>
      <c r="H3" s="26" t="s">
        <v>87</v>
      </c>
      <c r="I3" s="31" t="s">
        <v>88</v>
      </c>
      <c r="J3" s="26"/>
      <c r="K3" s="51">
        <v>44922</v>
      </c>
      <c r="L3" s="26"/>
      <c r="M3" s="26" t="s">
        <v>89</v>
      </c>
      <c r="N3" s="39">
        <v>5</v>
      </c>
      <c r="O3" s="26">
        <v>300</v>
      </c>
      <c r="P3" s="26" t="s">
        <v>90</v>
      </c>
      <c r="Q3" s="49"/>
      <c r="R3" s="52"/>
      <c r="S3" s="39" t="s">
        <v>91</v>
      </c>
      <c r="T3" s="53"/>
      <c r="U3" s="53"/>
      <c r="V3" s="54"/>
      <c r="W3" s="37" t="s">
        <v>88</v>
      </c>
      <c r="X3" s="54" t="str">
        <f>IF(NOTA[[#This Row],[HARGA/ CTN]]="",NOTA[[#This Row],[JUMLAH_H]],NOTA[[#This Row],[HARGA/ CTN]]*IF(NOTA[[#This Row],[C]]="",0,NOTA[[#This Row],[C]]))</f>
        <v/>
      </c>
      <c r="Y3" s="54" t="str">
        <f>IF(NOTA[[#This Row],[JUMLAH]]="","",NOTA[[#This Row],[JUMLAH]]*NOTA[[#This Row],[DISC 1]])</f>
        <v/>
      </c>
      <c r="Z3" s="54" t="str">
        <f>IF(NOTA[[#This Row],[JUMLAH]]="","",(NOTA[[#This Row],[JUMLAH]]-NOTA[[#This Row],[DISC 1-]])*NOTA[[#This Row],[DISC 2]])</f>
        <v/>
      </c>
      <c r="AA3" s="54" t="str">
        <f>IF(NOTA[[#This Row],[JUMLAH]]="","",NOTA[[#This Row],[DISC 1-]]+NOTA[[#This Row],[DISC 2-]])</f>
        <v/>
      </c>
      <c r="AB3" s="54" t="str">
        <f>IF(NOTA[[#This Row],[JUMLAH]]="","",NOTA[[#This Row],[JUMLAH]]-NOTA[[#This Row],[DISC]])</f>
        <v/>
      </c>
      <c r="AC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4" t="str">
        <f>IF(OR(NOTA[[#This Row],[QTY]]="",NOTA[[#This Row],[HARGA SATUAN]]="",),"",NOTA[[#This Row],[QTY]]*NOTA[[#This Row],[HARGA SATUAN]])</f>
        <v/>
      </c>
      <c r="AG3" s="51">
        <f ca="1">IF(NOTA[ID_H]="","",INDEX(NOTA[TANGGAL],MATCH(,INDIRECT(ADDRESS(ROW(NOTA[TANGGAL]),COLUMN(NOTA[TANGGAL]))&amp;":"&amp;ADDRESS(ROW(),COLUMN(NOTA[TANGGAL]))),-1)))</f>
        <v>44929</v>
      </c>
      <c r="AH3" s="49" t="str">
        <f ca="1">IF(NOTA[[#This Row],[NAMA BARANG]]="","",INDEX(NOTA[SUPPLIER],MATCH(,INDIRECT(ADDRESS(ROW(NOTA[ID]),COLUMN(NOTA[ID]))&amp;":"&amp;ADDRESS(ROW(),COLUMN(NOTA[ID]))),-1)))</f>
        <v>GRAFINDO</v>
      </c>
      <c r="AI3" s="49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1</v>
      </c>
      <c r="AK3" s="38">
        <f>IF(NOTA[[#This Row],[TGL.NOTA]]="",IF(NOTA[[#This Row],[SUPPLIER_H]]="","",AK2),MONTH(NOTA[[#This Row],[TGL.NOTA]]))</f>
        <v>12</v>
      </c>
      <c r="AL3" s="38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3" s="38" t="str">
        <f>IF(NOTA[C]="",NOTA[[#This Row],[CONCAT1]]&amp;NOTA[[#This Row],[HARGA SATUAN]],NOTA[[#This Row],[CONCAT1]]&amp;NOTA[[#This Row],[HARGA/ CTN_H]]&amp;NOTA[[#This Row],[DISC 1]]&amp;NOTA[[#This Row],[DISC 2]])</f>
        <v>clearholderfoliosikaac105f0</v>
      </c>
      <c r="AN3" s="184">
        <f>IF(NOTA[[#This Row],[CONCAT1]]="","",MATCH(NOTA[[#This Row],[CONCAT1]],[1]!db[NB NOTA_C],0)+1)</f>
        <v>459</v>
      </c>
    </row>
    <row r="4" spans="1:40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Row],[CEK_EXP]]&lt;D3,"err","")</f>
        <v/>
      </c>
      <c r="D4" s="50">
        <f>IF(NOTA[[#This Row],[TANGGAL]]="",D3,NOTA[[#This Row],[TANGGAL]])</f>
        <v>44929</v>
      </c>
      <c r="E4" s="50" t="str">
        <f ca="1">IF(NOTA[[#This Row],[NAMA BARANG]]="","",INDEX(NOTA[ID],MATCH(,INDIRECT(ADDRESS(ROW(NOTA[ID]),COLUMN(NOTA[ID]))&amp;":"&amp;ADDRESS(ROW(),COLUMN(NOTA[ID]))),-1)))</f>
        <v/>
      </c>
      <c r="F4" s="23"/>
      <c r="G4" s="26"/>
      <c r="H4" s="26"/>
      <c r="I4" s="31"/>
      <c r="J4" s="26"/>
      <c r="K4" s="51"/>
      <c r="L4" s="26"/>
      <c r="M4" s="26"/>
      <c r="N4" s="39"/>
      <c r="O4" s="26"/>
      <c r="P4" s="26"/>
      <c r="Q4" s="49"/>
      <c r="R4" s="52"/>
      <c r="S4" s="39"/>
      <c r="T4" s="53"/>
      <c r="U4" s="53"/>
      <c r="V4" s="54"/>
      <c r="W4" s="37"/>
      <c r="X4" s="54" t="str">
        <f>IF(NOTA[[#This Row],[HARGA/ CTN]]="",NOTA[[#This Row],[JUMLAH_H]],NOTA[[#This Row],[HARGA/ CTN]]*IF(NOTA[[#This Row],[C]]="",0,NOTA[[#This Row],[C]]))</f>
        <v/>
      </c>
      <c r="Y4" s="54" t="str">
        <f>IF(NOTA[[#This Row],[JUMLAH]]="","",NOTA[[#This Row],[JUMLAH]]*NOTA[[#This Row],[DISC 1]])</f>
        <v/>
      </c>
      <c r="Z4" s="54" t="str">
        <f>IF(NOTA[[#This Row],[JUMLAH]]="","",(NOTA[[#This Row],[JUMLAH]]-NOTA[[#This Row],[DISC 1-]])*NOTA[[#This Row],[DISC 2]])</f>
        <v/>
      </c>
      <c r="AA4" s="54" t="str">
        <f>IF(NOTA[[#This Row],[JUMLAH]]="","",NOTA[[#This Row],[DISC 1-]]+NOTA[[#This Row],[DISC 2-]])</f>
        <v/>
      </c>
      <c r="AB4" s="54" t="str">
        <f>IF(NOTA[[#This Row],[JUMLAH]]="","",NOTA[[#This Row],[JUMLAH]]-NOTA[[#This Row],[DISC]])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" s="54" t="str">
        <f>IF(OR(NOTA[[#This Row],[QTY]]="",NOTA[[#This Row],[HARGA SATUAN]]="",),"",NOTA[[#This Row],[QTY]]*NOTA[[#This Row],[HARGA SATUAN]])</f>
        <v/>
      </c>
      <c r="AG4" s="51" t="str">
        <f ca="1">IF(NOTA[ID_H]="","",INDEX(NOTA[TANGGAL],MATCH(,INDIRECT(ADDRESS(ROW(NOTA[TANGGAL]),COLUMN(NOTA[TANGGAL]))&amp;":"&amp;ADDRESS(ROW(),COLUMN(NOTA[TANGGAL]))),-1)))</f>
        <v/>
      </c>
      <c r="AH4" s="49" t="str">
        <f ca="1">IF(NOTA[[#This Row],[NAMA BARANG]]="","",INDEX(NOTA[SUPPLIER],MATCH(,INDIRECT(ADDRESS(ROW(NOTA[ID]),COLUMN(NOTA[ID]))&amp;":"&amp;ADDRESS(ROW(),COLUMN(NOTA[ID]))),-1)))</f>
        <v/>
      </c>
      <c r="AI4" s="49" t="str">
        <f ca="1">IF(NOTA[[#This Row],[ID_H]]="","",IF(NOTA[[#This Row],[FAKTUR]]="",INDIRECT(ADDRESS(ROW()-1,COLUMN())),NOTA[[#This Row],[FAKTUR]]))</f>
        <v/>
      </c>
      <c r="AJ4" s="38" t="str">
        <f ca="1">IF(NOTA[[#This Row],[ID]]="","",COUNTIF(NOTA[ID_H],NOTA[[#This Row],[ID_H]]))</f>
        <v/>
      </c>
      <c r="AK4" s="38" t="str">
        <f ca="1">IF(NOTA[[#This Row],[TGL.NOTA]]="",IF(NOTA[[#This Row],[SUPPLIER_H]]="","",AK3),MONTH(NOTA[[#This Row],[TGL.NOTA]]))</f>
        <v/>
      </c>
      <c r="AL4" s="38" t="str">
        <f>LOWER(SUBSTITUTE(SUBSTITUTE(SUBSTITUTE(SUBSTITUTE(SUBSTITUTE(SUBSTITUTE(SUBSTITUTE(SUBSTITUTE(SUBSTITUTE(NOTA[NAMA BARANG]," ",),".",""),"-",""),"(",""),")",""),",",""),"/",""),"""",""),"+",""))</f>
        <v/>
      </c>
      <c r="AM4" s="38" t="str">
        <f>IF(NOTA[C]="",NOTA[[#This Row],[CONCAT1]]&amp;NOTA[[#This Row],[HARGA SATUAN]],NOTA[[#This Row],[CONCAT1]]&amp;NOTA[[#This Row],[HARGA/ CTN_H]]&amp;NOTA[[#This Row],[DISC 1]]&amp;NOTA[[#This Row],[DISC 2]])</f>
        <v/>
      </c>
      <c r="AN4" s="184" t="str">
        <f>IF(NOTA[[#This Row],[CONCAT1]]="","",MATCH(NOTA[[#This Row],[CONCAT1]],[1]!db[NB NOTA_C],0)+1)</f>
        <v/>
      </c>
    </row>
    <row r="5" spans="1:40" ht="20.100000000000001" customHeight="1" x14ac:dyDescent="0.25">
      <c r="A5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BIN_0301_645-1</v>
      </c>
      <c r="C5" s="50" t="str">
        <f>IF(NOTA[[#This Row],[CEK_EXP]]&lt;D4,"err","")</f>
        <v/>
      </c>
      <c r="D5" s="50">
        <f>IF(NOTA[[#This Row],[TANGGAL]]="",D4,NOTA[[#This Row],[TANGGAL]])</f>
        <v>44929</v>
      </c>
      <c r="E5" s="50">
        <f ca="1">IF(NOTA[[#This Row],[NAMA BARANG]]="","",INDEX(NOTA[ID],MATCH(,INDIRECT(ADDRESS(ROW(NOTA[ID]),COLUMN(NOTA[ID]))&amp;":"&amp;ADDRESS(ROW(),COLUMN(NOTA[ID]))),-1)))</f>
        <v>2</v>
      </c>
      <c r="F5" s="23"/>
      <c r="G5" s="26" t="s">
        <v>92</v>
      </c>
      <c r="H5" s="26" t="s">
        <v>87</v>
      </c>
      <c r="I5" s="31" t="s">
        <v>93</v>
      </c>
      <c r="J5" s="26"/>
      <c r="K5" s="51">
        <v>44921</v>
      </c>
      <c r="L5" s="26"/>
      <c r="M5" s="26" t="s">
        <v>94</v>
      </c>
      <c r="N5" s="39">
        <v>3</v>
      </c>
      <c r="O5" s="26">
        <v>810</v>
      </c>
      <c r="P5" s="26" t="s">
        <v>95</v>
      </c>
      <c r="Q5" s="49">
        <v>6500</v>
      </c>
      <c r="R5" s="52"/>
      <c r="S5" s="39" t="s">
        <v>99</v>
      </c>
      <c r="T5" s="53"/>
      <c r="U5" s="53"/>
      <c r="V5" s="54"/>
      <c r="W5" s="37" t="s">
        <v>96</v>
      </c>
      <c r="X5" s="54">
        <f>IF(NOTA[[#This Row],[HARGA/ CTN]]="",NOTA[[#This Row],[JUMLAH_H]],NOTA[[#This Row],[HARGA/ CTN]]*IF(NOTA[[#This Row],[C]]="",0,NOTA[[#This Row],[C]]))</f>
        <v>5265000</v>
      </c>
      <c r="Y5" s="54">
        <f>IF(NOTA[[#This Row],[JUMLAH]]="","",NOTA[[#This Row],[JUMLAH]]*NOTA[[#This Row],[DISC 1]])</f>
        <v>0</v>
      </c>
      <c r="Z5" s="54">
        <f>IF(NOTA[[#This Row],[JUMLAH]]="","",(NOTA[[#This Row],[JUMLAH]]-NOTA[[#This Row],[DISC 1-]])*NOTA[[#This Row],[DISC 2]])</f>
        <v>0</v>
      </c>
      <c r="AA5" s="54">
        <f>IF(NOTA[[#This Row],[JUMLAH]]="","",NOTA[[#This Row],[DISC 1-]]+NOTA[[#This Row],[DISC 2-]])</f>
        <v>0</v>
      </c>
      <c r="AB5" s="54">
        <f>IF(NOTA[[#This Row],[JUMLAH]]="","",NOTA[[#This Row],[JUMLAH]]-NOTA[[#This Row],[DISC]])</f>
        <v>5265000</v>
      </c>
      <c r="AC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E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F5" s="54">
        <f>IF(OR(NOTA[[#This Row],[QTY]]="",NOTA[[#This Row],[HARGA SATUAN]]="",),"",NOTA[[#This Row],[QTY]]*NOTA[[#This Row],[HARGA SATUAN]])</f>
        <v>5265000</v>
      </c>
      <c r="AG5" s="51">
        <f ca="1">IF(NOTA[ID_H]="","",INDEX(NOTA[TANGGAL],MATCH(,INDIRECT(ADDRESS(ROW(NOTA[TANGGAL]),COLUMN(NOTA[TANGGAL]))&amp;":"&amp;ADDRESS(ROW(),COLUMN(NOTA[TANGGAL]))),-1)))</f>
        <v>44929</v>
      </c>
      <c r="AH5" s="49" t="str">
        <f ca="1">IF(NOTA[[#This Row],[NAMA BARANG]]="","",INDEX(NOTA[SUPPLIER],MATCH(,INDIRECT(ADDRESS(ROW(NOTA[ID]),COLUMN(NOTA[ID]))&amp;":"&amp;ADDRESS(ROW(),COLUMN(NOTA[ID]))),-1)))</f>
        <v>BINTANG SAUDARA</v>
      </c>
      <c r="AI5" s="49" t="str">
        <f ca="1">IF(NOTA[[#This Row],[ID_H]]="","",IF(NOTA[[#This Row],[FAKTUR]]="",INDIRECT(ADDRESS(ROW()-1,COLUMN())),NOTA[[#This Row],[FAKTUR]]))</f>
        <v>UNTANA</v>
      </c>
      <c r="AJ5" s="38">
        <f ca="1">IF(NOTA[[#This Row],[ID]]="","",COUNTIF(NOTA[ID_H],NOTA[[#This Row],[ID_H]]))</f>
        <v>1</v>
      </c>
      <c r="AK5" s="38">
        <f>IF(NOTA[[#This Row],[TGL.NOTA]]="",IF(NOTA[[#This Row],[SUPPLIER_H]]="","",AK4),MONTH(NOTA[[#This Row],[TGL.NOTA]]))</f>
        <v>12</v>
      </c>
      <c r="AL5" s="38" t="str">
        <f>LOWER(SUBSTITUTE(SUBSTITUTE(SUBSTITUTE(SUBSTITUTE(SUBSTITUTE(SUBSTITUTE(SUBSTITUTE(SUBSTITUTE(SUBSTITUTE(NOTA[NAMA BARANG]," ",),".",""),"-",""),"(",""),")",""),",",""),"/",""),"""",""),"+",""))</f>
        <v>kertascrepepotkreasikoala</v>
      </c>
      <c r="AM5" s="38" t="str">
        <f>IF(NOTA[C]="",NOTA[[#This Row],[CONCAT1]]&amp;NOTA[[#This Row],[HARGA SATUAN]],NOTA[[#This Row],[CONCAT1]]&amp;NOTA[[#This Row],[HARGA/ CTN_H]]&amp;NOTA[[#This Row],[DISC 1]]&amp;NOTA[[#This Row],[DISC 2]])</f>
        <v>kertascrepepotkreasikoala1755000</v>
      </c>
      <c r="AN5" s="184">
        <f>IF(NOTA[[#This Row],[CONCAT1]]="","",MATCH(NOTA[[#This Row],[CONCAT1]],[1]!db[NB NOTA_C],0)+1)</f>
        <v>1319</v>
      </c>
    </row>
    <row r="6" spans="1:40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Row],[CEK_EXP]]&lt;D5,"err","")</f>
        <v/>
      </c>
      <c r="D6" s="50">
        <f>IF(NOTA[[#This Row],[TANGGAL]]="",D5,NOTA[[#This Row],[TANGGAL]])</f>
        <v>44929</v>
      </c>
      <c r="E6" s="50" t="str">
        <f ca="1">IF(NOTA[[#This Row],[NAMA BARANG]]="","",INDEX(NOTA[ID],MATCH(,INDIRECT(ADDRESS(ROW(NOTA[ID]),COLUMN(NOTA[ID]))&amp;":"&amp;ADDRESS(ROW(),COLUMN(NOTA[ID]))),-1)))</f>
        <v/>
      </c>
      <c r="F6" s="23"/>
      <c r="G6" s="26"/>
      <c r="H6" s="26"/>
      <c r="I6" s="31"/>
      <c r="J6" s="26"/>
      <c r="K6" s="51"/>
      <c r="L6" s="26"/>
      <c r="M6" s="26"/>
      <c r="N6" s="39"/>
      <c r="O6" s="26"/>
      <c r="P6" s="26"/>
      <c r="Q6" s="52"/>
      <c r="R6" s="52"/>
      <c r="S6" s="39"/>
      <c r="T6" s="53"/>
      <c r="U6" s="53"/>
      <c r="V6" s="54"/>
      <c r="W6" s="37"/>
      <c r="X6" s="54" t="str">
        <f>IF(NOTA[[#This Row],[HARGA/ CTN]]="",NOTA[[#This Row],[JUMLAH_H]],NOTA[[#This Row],[HARGA/ CTN]]*IF(NOTA[[#This Row],[C]]="",0,NOTA[[#This Row],[C]]))</f>
        <v/>
      </c>
      <c r="Y6" s="54" t="str">
        <f>IF(NOTA[[#This Row],[JUMLAH]]="","",NOTA[[#This Row],[JUMLAH]]*NOTA[[#This Row],[DISC 1]])</f>
        <v/>
      </c>
      <c r="Z6" s="54" t="str">
        <f>IF(NOTA[[#This Row],[JUMLAH]]="","",(NOTA[[#This Row],[JUMLAH]]-NOTA[[#This Row],[DISC 1-]])*NOTA[[#This Row],[DISC 2]])</f>
        <v/>
      </c>
      <c r="AA6" s="54" t="str">
        <f>IF(NOTA[[#This Row],[JUMLAH]]="","",NOTA[[#This Row],[DISC 1-]]+NOTA[[#This Row],[DISC 2-]])</f>
        <v/>
      </c>
      <c r="AB6" s="54" t="str">
        <f>IF(NOTA[[#This Row],[JUMLAH]]="","",NOTA[[#This Row],[JUMLAH]]-NOTA[[#This Row],[DISC]])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" s="54" t="str">
        <f>IF(OR(NOTA[[#This Row],[QTY]]="",NOTA[[#This Row],[HARGA SATUAN]]="",),"",NOTA[[#This Row],[QTY]]*NOTA[[#This Row],[HARGA SATUAN]])</f>
        <v/>
      </c>
      <c r="AG6" s="51" t="str">
        <f ca="1">IF(NOTA[ID_H]="","",INDEX(NOTA[TANGGAL],MATCH(,INDIRECT(ADDRESS(ROW(NOTA[TANGGAL]),COLUMN(NOTA[TANGGAL]))&amp;":"&amp;ADDRESS(ROW(),COLUMN(NOTA[TANGGAL]))),-1)))</f>
        <v/>
      </c>
      <c r="AH6" s="49" t="str">
        <f ca="1">IF(NOTA[[#This Row],[NAMA BARANG]]="","",INDEX(NOTA[SUPPLIER],MATCH(,INDIRECT(ADDRESS(ROW(NOTA[ID]),COLUMN(NOTA[ID]))&amp;":"&amp;ADDRESS(ROW(),COLUMN(NOTA[ID]))),-1)))</f>
        <v/>
      </c>
      <c r="AI6" s="49" t="str">
        <f ca="1">IF(NOTA[[#This Row],[ID_H]]="","",IF(NOTA[[#This Row],[FAKTUR]]="",INDIRECT(ADDRESS(ROW()-1,COLUMN())),NOTA[[#This Row],[FAKTUR]]))</f>
        <v/>
      </c>
      <c r="AJ6" s="38" t="str">
        <f ca="1">IF(NOTA[[#This Row],[ID]]="","",COUNTIF(NOTA[ID_H],NOTA[[#This Row],[ID_H]]))</f>
        <v/>
      </c>
      <c r="AK6" s="38" t="str">
        <f ca="1">IF(NOTA[[#This Row],[TGL.NOTA]]="",IF(NOTA[[#This Row],[SUPPLIER_H]]="","",AK5),MONTH(NOTA[[#This Row],[TGL.NOTA]]))</f>
        <v/>
      </c>
      <c r="AL6" s="38" t="str">
        <f>LOWER(SUBSTITUTE(SUBSTITUTE(SUBSTITUTE(SUBSTITUTE(SUBSTITUTE(SUBSTITUTE(SUBSTITUTE(SUBSTITUTE(SUBSTITUTE(NOTA[NAMA BARANG]," ",),".",""),"-",""),"(",""),")",""),",",""),"/",""),"""",""),"+",""))</f>
        <v/>
      </c>
      <c r="AM6" s="38" t="str">
        <f>IF(NOTA[C]="",NOTA[[#This Row],[CONCAT1]]&amp;NOTA[[#This Row],[HARGA SATUAN]],NOTA[[#This Row],[CONCAT1]]&amp;NOTA[[#This Row],[HARGA/ CTN_H]]&amp;NOTA[[#This Row],[DISC 1]]&amp;NOTA[[#This Row],[DISC 2]])</f>
        <v/>
      </c>
      <c r="AN6" s="184" t="str">
        <f>IF(NOTA[[#This Row],[CONCAT1]]="","",MATCH(NOTA[[#This Row],[CONCAT1]],[1]!db[NB NOTA_C],0)+1)</f>
        <v/>
      </c>
    </row>
    <row r="7" spans="1:40" ht="20.100000000000001" customHeight="1" x14ac:dyDescent="0.25">
      <c r="A7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BIN_0301_664-1</v>
      </c>
      <c r="C7" s="50" t="str">
        <f>IF(NOTA[[#This Row],[CEK_EXP]]&lt;D6,"err","")</f>
        <v/>
      </c>
      <c r="D7" s="50">
        <f>IF(NOTA[[#This Row],[TANGGAL]]="",D6,NOTA[[#This Row],[TANGGAL]])</f>
        <v>44929</v>
      </c>
      <c r="E7" s="50">
        <f ca="1">IF(NOTA[[#This Row],[NAMA BARANG]]="","",INDEX(NOTA[ID],MATCH(,INDIRECT(ADDRESS(ROW(NOTA[ID]),COLUMN(NOTA[ID]))&amp;":"&amp;ADDRESS(ROW(),COLUMN(NOTA[ID]))),-1)))</f>
        <v>3</v>
      </c>
      <c r="F7" s="23"/>
      <c r="G7" s="26" t="s">
        <v>92</v>
      </c>
      <c r="H7" s="26" t="s">
        <v>87</v>
      </c>
      <c r="I7" s="31" t="s">
        <v>97</v>
      </c>
      <c r="J7" s="26"/>
      <c r="K7" s="51">
        <v>44923</v>
      </c>
      <c r="L7" s="26"/>
      <c r="M7" s="26" t="s">
        <v>98</v>
      </c>
      <c r="N7" s="39">
        <v>10</v>
      </c>
      <c r="O7" s="26">
        <v>120</v>
      </c>
      <c r="P7" s="26" t="s">
        <v>90</v>
      </c>
      <c r="Q7" s="52">
        <v>82000</v>
      </c>
      <c r="R7" s="52"/>
      <c r="S7" s="39" t="s">
        <v>100</v>
      </c>
      <c r="T7" s="53"/>
      <c r="U7" s="53"/>
      <c r="V7" s="54"/>
      <c r="W7" s="37"/>
      <c r="X7" s="54">
        <f>IF(NOTA[[#This Row],[HARGA/ CTN]]="",NOTA[[#This Row],[JUMLAH_H]],NOTA[[#This Row],[HARGA/ CTN]]*IF(NOTA[[#This Row],[C]]="",0,NOTA[[#This Row],[C]]))</f>
        <v>9840000</v>
      </c>
      <c r="Y7" s="54">
        <f>IF(NOTA[[#This Row],[JUMLAH]]="","",NOTA[[#This Row],[JUMLAH]]*NOTA[[#This Row],[DISC 1]])</f>
        <v>0</v>
      </c>
      <c r="Z7" s="54">
        <f>IF(NOTA[[#This Row],[JUMLAH]]="","",(NOTA[[#This Row],[JUMLAH]]-NOTA[[#This Row],[DISC 1-]])*NOTA[[#This Row],[DISC 2]])</f>
        <v>0</v>
      </c>
      <c r="AA7" s="54">
        <f>IF(NOTA[[#This Row],[JUMLAH]]="","",NOTA[[#This Row],[DISC 1-]]+NOTA[[#This Row],[DISC 2-]])</f>
        <v>0</v>
      </c>
      <c r="AB7" s="54">
        <f>IF(NOTA[[#This Row],[JUMLAH]]="","",NOTA[[#This Row],[JUMLAH]]-NOTA[[#This Row],[DISC]])</f>
        <v>9840000</v>
      </c>
      <c r="AC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E7" s="5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7" s="54">
        <f>IF(OR(NOTA[[#This Row],[QTY]]="",NOTA[[#This Row],[HARGA SATUAN]]="",),"",NOTA[[#This Row],[QTY]]*NOTA[[#This Row],[HARGA SATUAN]])</f>
        <v>9840000</v>
      </c>
      <c r="AG7" s="51">
        <f ca="1">IF(NOTA[ID_H]="","",INDEX(NOTA[TANGGAL],MATCH(,INDIRECT(ADDRESS(ROW(NOTA[TANGGAL]),COLUMN(NOTA[TANGGAL]))&amp;":"&amp;ADDRESS(ROW(),COLUMN(NOTA[TANGGAL]))),-1)))</f>
        <v>44929</v>
      </c>
      <c r="AH7" s="49" t="str">
        <f ca="1">IF(NOTA[[#This Row],[NAMA BARANG]]="","",INDEX(NOTA[SUPPLIER],MATCH(,INDIRECT(ADDRESS(ROW(NOTA[ID]),COLUMN(NOTA[ID]))&amp;":"&amp;ADDRESS(ROW(),COLUMN(NOTA[ID]))),-1)))</f>
        <v>BINTANG SAUDARA</v>
      </c>
      <c r="AI7" s="49" t="str">
        <f ca="1">IF(NOTA[[#This Row],[ID_H]]="","",IF(NOTA[[#This Row],[FAKTUR]]="",INDIRECT(ADDRESS(ROW()-1,COLUMN())),NOTA[[#This Row],[FAKTUR]]))</f>
        <v>UNTANA</v>
      </c>
      <c r="AJ7" s="38">
        <f ca="1">IF(NOTA[[#This Row],[ID]]="","",COUNTIF(NOTA[ID_H],NOTA[[#This Row],[ID_H]]))</f>
        <v>1</v>
      </c>
      <c r="AK7" s="38">
        <f>IF(NOTA[[#This Row],[TGL.NOTA]]="",IF(NOTA[[#This Row],[SUPPLIER_H]]="","",AK6),MONTH(NOTA[[#This Row],[TGL.NOTA]]))</f>
        <v>12</v>
      </c>
      <c r="AL7" s="38" t="str">
        <f>LOWER(SUBSTITUTE(SUBSTITUTE(SUBSTITUTE(SUBSTITUTE(SUBSTITUTE(SUBSTITUTE(SUBSTITUTE(SUBSTITUTE(SUBSTITUTE(NOTA[NAMA BARANG]," ",),".",""),"-",""),"(",""),")",""),",",""),"/",""),"""",""),"+",""))</f>
        <v>clipboard6688trkoala</v>
      </c>
      <c r="AM7" s="38" t="str">
        <f>IF(NOTA[C]="",NOTA[[#This Row],[CONCAT1]]&amp;NOTA[[#This Row],[HARGA SATUAN]],NOTA[[#This Row],[CONCAT1]]&amp;NOTA[[#This Row],[HARGA/ CTN_H]]&amp;NOTA[[#This Row],[DISC 1]]&amp;NOTA[[#This Row],[DISC 2]])</f>
        <v>clipboard6688trkoala984000</v>
      </c>
      <c r="AN7" s="184">
        <f>IF(NOTA[[#This Row],[CONCAT1]]="","",MATCH(NOTA[[#This Row],[CONCAT1]],[1]!db[NB NOTA_C],0)+1)</f>
        <v>460</v>
      </c>
    </row>
    <row r="8" spans="1:40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Row],[CEK_EXP]]&lt;D7,"err","")</f>
        <v/>
      </c>
      <c r="D8" s="50">
        <f>IF(NOTA[[#This Row],[TANGGAL]]="",D7,NOTA[[#This Row],[TANGGAL]])</f>
        <v>44929</v>
      </c>
      <c r="E8" s="50" t="str">
        <f ca="1">IF(NOTA[[#This Row],[NAMA BARANG]]="","",INDEX(NOTA[ID],MATCH(,INDIRECT(ADDRESS(ROW(NOTA[ID]),COLUMN(NOTA[ID]))&amp;":"&amp;ADDRESS(ROW(),COLUMN(NOTA[ID]))),-1)))</f>
        <v/>
      </c>
      <c r="F8" s="23"/>
      <c r="G8" s="26"/>
      <c r="H8" s="26"/>
      <c r="I8" s="31"/>
      <c r="J8" s="26"/>
      <c r="K8" s="51"/>
      <c r="L8" s="26"/>
      <c r="M8" s="26"/>
      <c r="N8" s="39"/>
      <c r="O8" s="26"/>
      <c r="P8" s="26"/>
      <c r="Q8" s="52"/>
      <c r="R8" s="52"/>
      <c r="S8" s="39"/>
      <c r="T8" s="53"/>
      <c r="U8" s="53"/>
      <c r="V8" s="54"/>
      <c r="W8" s="37"/>
      <c r="X8" s="54" t="str">
        <f>IF(NOTA[[#This Row],[HARGA/ CTN]]="",NOTA[[#This Row],[JUMLAH_H]],NOTA[[#This Row],[HARGA/ CTN]]*IF(NOTA[[#This Row],[C]]="",0,NOTA[[#This Row],[C]]))</f>
        <v/>
      </c>
      <c r="Y8" s="54" t="str">
        <f>IF(NOTA[[#This Row],[JUMLAH]]="","",NOTA[[#This Row],[JUMLAH]]*NOTA[[#This Row],[DISC 1]])</f>
        <v/>
      </c>
      <c r="Z8" s="54" t="str">
        <f>IF(NOTA[[#This Row],[JUMLAH]]="","",(NOTA[[#This Row],[JUMLAH]]-NOTA[[#This Row],[DISC 1-]])*NOTA[[#This Row],[DISC 2]])</f>
        <v/>
      </c>
      <c r="AA8" s="54" t="str">
        <f>IF(NOTA[[#This Row],[JUMLAH]]="","",NOTA[[#This Row],[DISC 1-]]+NOTA[[#This Row],[DISC 2-]])</f>
        <v/>
      </c>
      <c r="AB8" s="54" t="str">
        <f>IF(NOTA[[#This Row],[JUMLAH]]="","",NOTA[[#This Row],[JUMLAH]]-NOTA[[#This Row],[DISC]])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4" t="str">
        <f>IF(OR(NOTA[[#This Row],[QTY]]="",NOTA[[#This Row],[HARGA SATUAN]]="",),"",NOTA[[#This Row],[QTY]]*NOTA[[#This Row],[HARGA SATUAN]])</f>
        <v/>
      </c>
      <c r="AG8" s="51" t="str">
        <f ca="1">IF(NOTA[ID_H]="","",INDEX(NOTA[TANGGAL],MATCH(,INDIRECT(ADDRESS(ROW(NOTA[TANGGAL]),COLUMN(NOTA[TANGGAL]))&amp;":"&amp;ADDRESS(ROW(),COLUMN(NOTA[TANGGAL]))),-1)))</f>
        <v/>
      </c>
      <c r="AH8" s="49" t="str">
        <f ca="1">IF(NOTA[[#This Row],[NAMA BARANG]]="","",INDEX(NOTA[SUPPLIER],MATCH(,INDIRECT(ADDRESS(ROW(NOTA[ID]),COLUMN(NOTA[ID]))&amp;":"&amp;ADDRESS(ROW(),COLUMN(NOTA[ID]))),-1)))</f>
        <v/>
      </c>
      <c r="AI8" s="49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IF(NOTA[C]="",NOTA[[#This Row],[CONCAT1]]&amp;NOTA[[#This Row],[HARGA SATUAN]],NOTA[[#This Row],[CONCAT1]]&amp;NOTA[[#This Row],[HARGA/ CTN_H]]&amp;NOTA[[#This Row],[DISC 1]]&amp;NOTA[[#This Row],[DISC 2]])</f>
        <v/>
      </c>
      <c r="AN8" s="184" t="str">
        <f>IF(NOTA[[#This Row],[CONCAT1]]="","",MATCH(NOTA[[#This Row],[CONCAT1]],[1]!db[NB NOTA_C],0)+1)</f>
        <v/>
      </c>
    </row>
    <row r="9" spans="1:40" ht="20.100000000000001" customHeight="1" x14ac:dyDescent="0.25">
      <c r="A9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SBS_0301_LAN-9</v>
      </c>
      <c r="C9" s="50" t="str">
        <f>IF(NOTA[[#This Row],[CEK_EXP]]&lt;D8,"err","")</f>
        <v/>
      </c>
      <c r="D9" s="50">
        <f>IF(NOTA[[#This Row],[TANGGAL]]="",D8,NOTA[[#This Row],[TANGGAL]])</f>
        <v>44929</v>
      </c>
      <c r="E9" s="50">
        <f ca="1">IF(NOTA[[#This Row],[NAMA BARANG]]="","",INDEX(NOTA[ID],MATCH(,INDIRECT(ADDRESS(ROW(NOTA[ID]),COLUMN(NOTA[ID]))&amp;":"&amp;ADDRESS(ROW(),COLUMN(NOTA[ID]))),-1)))</f>
        <v>4</v>
      </c>
      <c r="F9" s="23"/>
      <c r="G9" s="26" t="s">
        <v>101</v>
      </c>
      <c r="H9" s="26" t="s">
        <v>87</v>
      </c>
      <c r="I9" s="31" t="s">
        <v>88</v>
      </c>
      <c r="J9" s="26" t="s">
        <v>102</v>
      </c>
      <c r="K9" s="51">
        <v>44919</v>
      </c>
      <c r="L9" s="26"/>
      <c r="M9" s="26" t="s">
        <v>103</v>
      </c>
      <c r="N9" s="39">
        <v>4</v>
      </c>
      <c r="O9" s="26">
        <v>192</v>
      </c>
      <c r="P9" s="26" t="s">
        <v>90</v>
      </c>
      <c r="Q9" s="52"/>
      <c r="R9" s="52"/>
      <c r="S9" s="39" t="s">
        <v>105</v>
      </c>
      <c r="T9" s="53"/>
      <c r="U9" s="53"/>
      <c r="V9" s="54"/>
      <c r="W9" s="37"/>
      <c r="X9" s="54" t="str">
        <f>IF(NOTA[[#This Row],[HARGA/ CTN]]="",NOTA[[#This Row],[JUMLAH_H]],NOTA[[#This Row],[HARGA/ CTN]]*IF(NOTA[[#This Row],[C]]="",0,NOTA[[#This Row],[C]]))</f>
        <v/>
      </c>
      <c r="Y9" s="54" t="str">
        <f>IF(NOTA[[#This Row],[JUMLAH]]="","",NOTA[[#This Row],[JUMLAH]]*NOTA[[#This Row],[DISC 1]])</f>
        <v/>
      </c>
      <c r="Z9" s="54" t="str">
        <f>IF(NOTA[[#This Row],[JUMLAH]]="","",(NOTA[[#This Row],[JUMLAH]]-NOTA[[#This Row],[DISC 1-]])*NOTA[[#This Row],[DISC 2]])</f>
        <v/>
      </c>
      <c r="AA9" s="54" t="str">
        <f>IF(NOTA[[#This Row],[JUMLAH]]="","",NOTA[[#This Row],[DISC 1-]]+NOTA[[#This Row],[DISC 2-]])</f>
        <v/>
      </c>
      <c r="AB9" s="54" t="str">
        <f>IF(NOTA[[#This Row],[JUMLAH]]="","",NOTA[[#This Row],[JUMLAH]]-NOTA[[#This Row],[DISC]])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" s="54" t="str">
        <f>IF(OR(NOTA[[#This Row],[QTY]]="",NOTA[[#This Row],[HARGA SATUAN]]="",),"",NOTA[[#This Row],[QTY]]*NOTA[[#This Row],[HARGA SATUAN]])</f>
        <v/>
      </c>
      <c r="AG9" s="51">
        <f ca="1">IF(NOTA[ID_H]="","",INDEX(NOTA[TANGGAL],MATCH(,INDIRECT(ADDRESS(ROW(NOTA[TANGGAL]),COLUMN(NOTA[TANGGAL]))&amp;":"&amp;ADDRESS(ROW(),COLUMN(NOTA[TANGGAL]))),-1)))</f>
        <v>44929</v>
      </c>
      <c r="AH9" s="49" t="str">
        <f ca="1">IF(NOTA[[#This Row],[NAMA BARANG]]="","",INDEX(NOTA[SUPPLIER],MATCH(,INDIRECT(ADDRESS(ROW(NOTA[ID]),COLUMN(NOTA[ID]))&amp;":"&amp;ADDRESS(ROW(),COLUMN(NOTA[ID]))),-1)))</f>
        <v>SBS</v>
      </c>
      <c r="AI9" s="49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9</v>
      </c>
      <c r="AK9" s="38">
        <f>IF(NOTA[[#This Row],[TGL.NOTA]]="",IF(NOTA[[#This Row],[SUPPLIER_H]]="","",AK8),MONTH(NOTA[[#This Row],[TGL.NOTA]]))</f>
        <v>12</v>
      </c>
      <c r="AL9" s="38" t="str">
        <f>LOWER(SUBSTITUTE(SUBSTITUTE(SUBSTITUTE(SUBSTITUTE(SUBSTITUTE(SUBSTITUTE(SUBSTITUTE(SUBSTITUTE(SUBSTITUTE(NOTA[NAMA BARANG]," ",),".",""),"-",""),"(",""),")",""),",",""),"/",""),"""",""),"+",""))</f>
        <v>paletgambar1011</v>
      </c>
      <c r="AM9" s="38" t="str">
        <f>IF(NOTA[C]="",NOTA[[#This Row],[CONCAT1]]&amp;NOTA[[#This Row],[HARGA SATUAN]],NOTA[[#This Row],[CONCAT1]]&amp;NOTA[[#This Row],[HARGA/ CTN_H]]&amp;NOTA[[#This Row],[DISC 1]]&amp;NOTA[[#This Row],[DISC 2]])</f>
        <v>paletgambar10110</v>
      </c>
      <c r="AN9" s="184">
        <f>IF(NOTA[[#This Row],[CONCAT1]]="","",MATCH(NOTA[[#This Row],[CONCAT1]],[1]!db[NB NOTA_C],0)+1)</f>
        <v>1615</v>
      </c>
    </row>
    <row r="10" spans="1:40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Row],[CEK_EXP]]&lt;D9,"err","")</f>
        <v/>
      </c>
      <c r="D10" s="50">
        <f>IF(NOTA[[#This Row],[TANGGAL]]="",D9,NOTA[[#This Row],[TANGGAL]])</f>
        <v>44929</v>
      </c>
      <c r="E10" s="50">
        <f ca="1">IF(NOTA[[#This Row],[NAMA BARANG]]="","",INDEX(NOTA[ID],MATCH(,INDIRECT(ADDRESS(ROW(NOTA[ID]),COLUMN(NOTA[ID]))&amp;":"&amp;ADDRESS(ROW(),COLUMN(NOTA[ID]))),-1)))</f>
        <v>4</v>
      </c>
      <c r="F10" s="23"/>
      <c r="G10" s="26"/>
      <c r="H10" s="26"/>
      <c r="I10" s="31"/>
      <c r="J10" s="26"/>
      <c r="K10" s="51"/>
      <c r="L10" s="26"/>
      <c r="M10" s="26" t="s">
        <v>108</v>
      </c>
      <c r="N10" s="39">
        <v>2</v>
      </c>
      <c r="O10" s="26">
        <v>384</v>
      </c>
      <c r="P10" s="26" t="s">
        <v>104</v>
      </c>
      <c r="Q10" s="52"/>
      <c r="R10" s="52"/>
      <c r="S10" s="39" t="s">
        <v>106</v>
      </c>
      <c r="T10" s="53"/>
      <c r="U10" s="53"/>
      <c r="V10" s="54"/>
      <c r="W10" s="37"/>
      <c r="X10" s="54" t="str">
        <f>IF(NOTA[[#This Row],[HARGA/ CTN]]="",NOTA[[#This Row],[JUMLAH_H]],NOTA[[#This Row],[HARGA/ CTN]]*IF(NOTA[[#This Row],[C]]="",0,NOTA[[#This Row],[C]]))</f>
        <v/>
      </c>
      <c r="Y10" s="54" t="str">
        <f>IF(NOTA[[#This Row],[JUMLAH]]="","",NOTA[[#This Row],[JUMLAH]]*NOTA[[#This Row],[DISC 1]])</f>
        <v/>
      </c>
      <c r="Z10" s="54" t="str">
        <f>IF(NOTA[[#This Row],[JUMLAH]]="","",(NOTA[[#This Row],[JUMLAH]]-NOTA[[#This Row],[DISC 1-]])*NOTA[[#This Row],[DISC 2]])</f>
        <v/>
      </c>
      <c r="AA10" s="54" t="str">
        <f>IF(NOTA[[#This Row],[JUMLAH]]="","",NOTA[[#This Row],[DISC 1-]]+NOTA[[#This Row],[DISC 2-]])</f>
        <v/>
      </c>
      <c r="AB10" s="54" t="str">
        <f>IF(NOTA[[#This Row],[JUMLAH]]="","",NOTA[[#This Row],[JUMLAH]]-NOTA[[#This Row],[DISC]])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" s="54" t="str">
        <f>IF(OR(NOTA[[#This Row],[QTY]]="",NOTA[[#This Row],[HARGA SATUAN]]="",),"",NOTA[[#This Row],[QTY]]*NOTA[[#This Row],[HARGA SATUAN]])</f>
        <v/>
      </c>
      <c r="AG10" s="51">
        <f ca="1">IF(NOTA[ID_H]="","",INDEX(NOTA[TANGGAL],MATCH(,INDIRECT(ADDRESS(ROW(NOTA[TANGGAL]),COLUMN(NOTA[TANGGAL]))&amp;":"&amp;ADDRESS(ROW(),COLUMN(NOTA[TANGGAL]))),-1)))</f>
        <v>44929</v>
      </c>
      <c r="AH10" s="49" t="str">
        <f ca="1">IF(NOTA[[#This Row],[NAMA BARANG]]="","",INDEX(NOTA[SUPPLIER],MATCH(,INDIRECT(ADDRESS(ROW(NOTA[ID]),COLUMN(NOTA[ID]))&amp;":"&amp;ADDRESS(ROW(),COLUMN(NOTA[ID]))),-1)))</f>
        <v>SBS</v>
      </c>
      <c r="AI10" s="49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12</v>
      </c>
      <c r="AL10" s="38" t="str">
        <f>LOWER(SUBSTITUTE(SUBSTITUTE(SUBSTITUTE(SUBSTITUTE(SUBSTITUTE(SUBSTITUTE(SUBSTITUTE(SUBSTITUTE(SUBSTITUTE(NOTA[NAMA BARANG]," ",),".",""),"-",""),"(",""),")",""),",",""),"/",""),"""",""),"+",""))</f>
        <v>pckxda3348d8x20bentuksetlucuhijau</v>
      </c>
      <c r="AM10" s="38" t="str">
        <f>IF(NOTA[C]="",NOTA[[#This Row],[CONCAT1]]&amp;NOTA[[#This Row],[HARGA SATUAN]],NOTA[[#This Row],[CONCAT1]]&amp;NOTA[[#This Row],[HARGA/ CTN_H]]&amp;NOTA[[#This Row],[DISC 1]]&amp;NOTA[[#This Row],[DISC 2]])</f>
        <v>pckxda3348d8x20bentuksetlucuhijau0</v>
      </c>
      <c r="AN10" s="184">
        <f>IF(NOTA[[#This Row],[CONCAT1]]="","",MATCH(NOTA[[#This Row],[CONCAT1]],[1]!db[NB NOTA_C],0)+1)</f>
        <v>1685</v>
      </c>
    </row>
    <row r="11" spans="1:40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Row],[CEK_EXP]]&lt;D10,"err","")</f>
        <v/>
      </c>
      <c r="D11" s="50">
        <f>IF(NOTA[[#This Row],[TANGGAL]]="",D10,NOTA[[#This Row],[TANGGAL]])</f>
        <v>44929</v>
      </c>
      <c r="E11" s="50">
        <f ca="1">IF(NOTA[[#This Row],[NAMA BARANG]]="","",INDEX(NOTA[ID],MATCH(,INDIRECT(ADDRESS(ROW(NOTA[ID]),COLUMN(NOTA[ID]))&amp;":"&amp;ADDRESS(ROW(),COLUMN(NOTA[ID]))),-1)))</f>
        <v>4</v>
      </c>
      <c r="F11" s="23"/>
      <c r="G11" s="26"/>
      <c r="H11" s="26"/>
      <c r="I11" s="31"/>
      <c r="J11" s="26"/>
      <c r="K11" s="51"/>
      <c r="L11" s="26"/>
      <c r="M11" s="26" t="s">
        <v>109</v>
      </c>
      <c r="N11" s="39">
        <v>2</v>
      </c>
      <c r="O11" s="26">
        <v>384</v>
      </c>
      <c r="P11" s="26" t="s">
        <v>104</v>
      </c>
      <c r="Q11" s="52"/>
      <c r="R11" s="52"/>
      <c r="S11" s="39" t="s">
        <v>106</v>
      </c>
      <c r="T11" s="53"/>
      <c r="U11" s="53"/>
      <c r="V11" s="54"/>
      <c r="W11" s="37"/>
      <c r="X11" s="54" t="str">
        <f>IF(NOTA[[#This Row],[HARGA/ CTN]]="",NOTA[[#This Row],[JUMLAH_H]],NOTA[[#This Row],[HARGA/ CTN]]*IF(NOTA[[#This Row],[C]]="",0,NOTA[[#This Row],[C]]))</f>
        <v/>
      </c>
      <c r="Y11" s="54" t="str">
        <f>IF(NOTA[[#This Row],[JUMLAH]]="","",NOTA[[#This Row],[JUMLAH]]*NOTA[[#This Row],[DISC 1]])</f>
        <v/>
      </c>
      <c r="Z11" s="54" t="str">
        <f>IF(NOTA[[#This Row],[JUMLAH]]="","",(NOTA[[#This Row],[JUMLAH]]-NOTA[[#This Row],[DISC 1-]])*NOTA[[#This Row],[DISC 2]])</f>
        <v/>
      </c>
      <c r="AA11" s="54" t="str">
        <f>IF(NOTA[[#This Row],[JUMLAH]]="","",NOTA[[#This Row],[DISC 1-]]+NOTA[[#This Row],[DISC 2-]])</f>
        <v/>
      </c>
      <c r="AB11" s="54" t="str">
        <f>IF(NOTA[[#This Row],[JUMLAH]]="","",NOTA[[#This Row],[JUMLAH]]-NOTA[[#This Row],[DISC]])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" s="54" t="str">
        <f>IF(OR(NOTA[[#This Row],[QTY]]="",NOTA[[#This Row],[HARGA SATUAN]]="",),"",NOTA[[#This Row],[QTY]]*NOTA[[#This Row],[HARGA SATUAN]])</f>
        <v/>
      </c>
      <c r="AG11" s="51">
        <f ca="1">IF(NOTA[ID_H]="","",INDEX(NOTA[TANGGAL],MATCH(,INDIRECT(ADDRESS(ROW(NOTA[TANGGAL]),COLUMN(NOTA[TANGGAL]))&amp;":"&amp;ADDRESS(ROW(),COLUMN(NOTA[TANGGAL]))),-1)))</f>
        <v>44929</v>
      </c>
      <c r="AH11" s="49" t="str">
        <f ca="1">IF(NOTA[[#This Row],[NAMA BARANG]]="","",INDEX(NOTA[SUPPLIER],MATCH(,INDIRECT(ADDRESS(ROW(NOTA[ID]),COLUMN(NOTA[ID]))&amp;":"&amp;ADDRESS(ROW(),COLUMN(NOTA[ID]))),-1)))</f>
        <v>SBS</v>
      </c>
      <c r="AI11" s="49" t="str">
        <f ca="1">IF(NOTA[[#This Row],[ID_H]]="","",IF(NOTA[[#This Row],[FAKTUR]]="",INDIRECT(ADDRESS(ROW()-1,COLUMN())),NOTA[[#This Row],[FAKTUR]]))</f>
        <v>UNTANA</v>
      </c>
      <c r="AJ11" s="38" t="str">
        <f ca="1">IF(NOTA[[#This Row],[ID]]="","",COUNTIF(NOTA[ID_H],NOTA[[#This Row],[ID_H]]))</f>
        <v/>
      </c>
      <c r="AK11" s="38">
        <f ca="1">IF(NOTA[[#This Row],[TGL.NOTA]]="",IF(NOTA[[#This Row],[SUPPLIER_H]]="","",AK10),MONTH(NOTA[[#This Row],[TGL.NOTA]]))</f>
        <v>12</v>
      </c>
      <c r="AL11" s="38" t="str">
        <f>LOWER(SUBSTITUTE(SUBSTITUTE(SUBSTITUTE(SUBSTITUTE(SUBSTITUTE(SUBSTITUTE(SUBSTITUTE(SUBSTITUTE(SUBSTITUTE(NOTA[NAMA BARANG]," ",),".",""),"-",""),"(",""),")",""),",",""),"/",""),"""",""),"+",""))</f>
        <v>pckxda3348d8x20bentuksetlucubiru</v>
      </c>
      <c r="AM11" s="38" t="str">
        <f>IF(NOTA[C]="",NOTA[[#This Row],[CONCAT1]]&amp;NOTA[[#This Row],[HARGA SATUAN]],NOTA[[#This Row],[CONCAT1]]&amp;NOTA[[#This Row],[HARGA/ CTN_H]]&amp;NOTA[[#This Row],[DISC 1]]&amp;NOTA[[#This Row],[DISC 2]])</f>
        <v>pckxda3348d8x20bentuksetlucubiru0</v>
      </c>
      <c r="AN11" s="184">
        <f>IF(NOTA[[#This Row],[CONCAT1]]="","",MATCH(NOTA[[#This Row],[CONCAT1]],[1]!db[NB NOTA_C],0)+1)</f>
        <v>1684</v>
      </c>
    </row>
    <row r="12" spans="1:40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Row],[CEK_EXP]]&lt;D11,"err","")</f>
        <v/>
      </c>
      <c r="D12" s="50">
        <f>IF(NOTA[[#This Row],[TANGGAL]]="",D11,NOTA[[#This Row],[TANGGAL]])</f>
        <v>44929</v>
      </c>
      <c r="E12" s="50">
        <f ca="1">IF(NOTA[[#This Row],[NAMA BARANG]]="","",INDEX(NOTA[ID],MATCH(,INDIRECT(ADDRESS(ROW(NOTA[ID]),COLUMN(NOTA[ID]))&amp;":"&amp;ADDRESS(ROW(),COLUMN(NOTA[ID]))),-1)))</f>
        <v>4</v>
      </c>
      <c r="F12" s="23"/>
      <c r="G12" s="26"/>
      <c r="H12" s="26"/>
      <c r="I12" s="31"/>
      <c r="J12" s="26"/>
      <c r="K12" s="51"/>
      <c r="L12" s="26"/>
      <c r="M12" s="26" t="s">
        <v>110</v>
      </c>
      <c r="N12" s="39">
        <v>2</v>
      </c>
      <c r="O12" s="26">
        <v>384</v>
      </c>
      <c r="P12" s="26" t="s">
        <v>104</v>
      </c>
      <c r="Q12" s="52"/>
      <c r="R12" s="52"/>
      <c r="S12" s="39" t="s">
        <v>106</v>
      </c>
      <c r="T12" s="53"/>
      <c r="U12" s="53"/>
      <c r="V12" s="54"/>
      <c r="W12" s="37"/>
      <c r="X12" s="54" t="str">
        <f>IF(NOTA[[#This Row],[HARGA/ CTN]]="",NOTA[[#This Row],[JUMLAH_H]],NOTA[[#This Row],[HARGA/ CTN]]*IF(NOTA[[#This Row],[C]]="",0,NOTA[[#This Row],[C]]))</f>
        <v/>
      </c>
      <c r="Y12" s="54" t="str">
        <f>IF(NOTA[[#This Row],[JUMLAH]]="","",NOTA[[#This Row],[JUMLAH]]*NOTA[[#This Row],[DISC 1]])</f>
        <v/>
      </c>
      <c r="Z12" s="54" t="str">
        <f>IF(NOTA[[#This Row],[JUMLAH]]="","",(NOTA[[#This Row],[JUMLAH]]-NOTA[[#This Row],[DISC 1-]])*NOTA[[#This Row],[DISC 2]])</f>
        <v/>
      </c>
      <c r="AA12" s="54" t="str">
        <f>IF(NOTA[[#This Row],[JUMLAH]]="","",NOTA[[#This Row],[DISC 1-]]+NOTA[[#This Row],[DISC 2-]])</f>
        <v/>
      </c>
      <c r="AB12" s="54" t="str">
        <f>IF(NOTA[[#This Row],[JUMLAH]]="","",NOTA[[#This Row],[JUMLAH]]-NOTA[[#This Row],[DISC]])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" s="54" t="str">
        <f>IF(OR(NOTA[[#This Row],[QTY]]="",NOTA[[#This Row],[HARGA SATUAN]]="",),"",NOTA[[#This Row],[QTY]]*NOTA[[#This Row],[HARGA SATUAN]])</f>
        <v/>
      </c>
      <c r="AG12" s="51">
        <f ca="1">IF(NOTA[ID_H]="","",INDEX(NOTA[TANGGAL],MATCH(,INDIRECT(ADDRESS(ROW(NOTA[TANGGAL]),COLUMN(NOTA[TANGGAL]))&amp;":"&amp;ADDRESS(ROW(),COLUMN(NOTA[TANGGAL]))),-1)))</f>
        <v>44929</v>
      </c>
      <c r="AH12" s="49" t="str">
        <f ca="1">IF(NOTA[[#This Row],[NAMA BARANG]]="","",INDEX(NOTA[SUPPLIER],MATCH(,INDIRECT(ADDRESS(ROW(NOTA[ID]),COLUMN(NOTA[ID]))&amp;":"&amp;ADDRESS(ROW(),COLUMN(NOTA[ID]))),-1)))</f>
        <v>SBS</v>
      </c>
      <c r="AI12" s="49" t="str">
        <f ca="1">IF(NOTA[[#This Row],[ID_H]]="","",IF(NOTA[[#This Row],[FAKTUR]]="",INDIRECT(ADDRESS(ROW()-1,COLUMN())),NOTA[[#This Row],[FAKTUR]]))</f>
        <v>UNTANA</v>
      </c>
      <c r="AJ12" s="38" t="str">
        <f ca="1">IF(NOTA[[#This Row],[ID]]="","",COUNTIF(NOTA[ID_H],NOTA[[#This Row],[ID_H]]))</f>
        <v/>
      </c>
      <c r="AK12" s="38">
        <f ca="1">IF(NOTA[[#This Row],[TGL.NOTA]]="",IF(NOTA[[#This Row],[SUPPLIER_H]]="","",AK11),MONTH(NOTA[[#This Row],[TGL.NOTA]]))</f>
        <v>12</v>
      </c>
      <c r="AL12" s="38" t="str">
        <f>LOWER(SUBSTITUTE(SUBSTITUTE(SUBSTITUTE(SUBSTITUTE(SUBSTITUTE(SUBSTITUTE(SUBSTITUTE(SUBSTITUTE(SUBSTITUTE(NOTA[NAMA BARANG]," ",),".",""),"-",""),"(",""),")",""),",",""),"/",""),"""",""),"+",""))</f>
        <v>pckxda3348d8x20bentuksetlucupink</v>
      </c>
      <c r="AM12" s="38" t="str">
        <f>IF(NOTA[C]="",NOTA[[#This Row],[CONCAT1]]&amp;NOTA[[#This Row],[HARGA SATUAN]],NOTA[[#This Row],[CONCAT1]]&amp;NOTA[[#This Row],[HARGA/ CTN_H]]&amp;NOTA[[#This Row],[DISC 1]]&amp;NOTA[[#This Row],[DISC 2]])</f>
        <v>pckxda3348d8x20bentuksetlucupink0</v>
      </c>
      <c r="AN12" s="184">
        <f>IF(NOTA[[#This Row],[CONCAT1]]="","",MATCH(NOTA[[#This Row],[CONCAT1]],[1]!db[NB NOTA_C],0)+1)</f>
        <v>1681</v>
      </c>
    </row>
    <row r="13" spans="1:40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Row],[CEK_EXP]]&lt;D12,"err","")</f>
        <v/>
      </c>
      <c r="D13" s="50">
        <f>IF(NOTA[[#This Row],[TANGGAL]]="",D12,NOTA[[#This Row],[TANGGAL]])</f>
        <v>44929</v>
      </c>
      <c r="E13" s="50">
        <f ca="1">IF(NOTA[[#This Row],[NAMA BARANG]]="","",INDEX(NOTA[ID],MATCH(,INDIRECT(ADDRESS(ROW(NOTA[ID]),COLUMN(NOTA[ID]))&amp;":"&amp;ADDRESS(ROW(),COLUMN(NOTA[ID]))),-1)))</f>
        <v>4</v>
      </c>
      <c r="F13" s="23"/>
      <c r="G13" s="26"/>
      <c r="H13" s="26"/>
      <c r="I13" s="31"/>
      <c r="J13" s="26"/>
      <c r="K13" s="51"/>
      <c r="L13" s="26"/>
      <c r="M13" s="26" t="s">
        <v>111</v>
      </c>
      <c r="N13" s="39">
        <v>2</v>
      </c>
      <c r="O13" s="26">
        <v>384</v>
      </c>
      <c r="P13" s="26" t="s">
        <v>104</v>
      </c>
      <c r="Q13" s="52"/>
      <c r="R13" s="52"/>
      <c r="S13" s="39" t="s">
        <v>106</v>
      </c>
      <c r="T13" s="53"/>
      <c r="U13" s="53"/>
      <c r="V13" s="54"/>
      <c r="W13" s="37"/>
      <c r="X13" s="54" t="str">
        <f>IF(NOTA[[#This Row],[HARGA/ CTN]]="",NOTA[[#This Row],[JUMLAH_H]],NOTA[[#This Row],[HARGA/ CTN]]*IF(NOTA[[#This Row],[C]]="",0,NOTA[[#This Row],[C]]))</f>
        <v/>
      </c>
      <c r="Y13" s="54" t="str">
        <f>IF(NOTA[[#This Row],[JUMLAH]]="","",NOTA[[#This Row],[JUMLAH]]*NOTA[[#This Row],[DISC 1]])</f>
        <v/>
      </c>
      <c r="Z13" s="54" t="str">
        <f>IF(NOTA[[#This Row],[JUMLAH]]="","",(NOTA[[#This Row],[JUMLAH]]-NOTA[[#This Row],[DISC 1-]])*NOTA[[#This Row],[DISC 2]])</f>
        <v/>
      </c>
      <c r="AA13" s="54" t="str">
        <f>IF(NOTA[[#This Row],[JUMLAH]]="","",NOTA[[#This Row],[DISC 1-]]+NOTA[[#This Row],[DISC 2-]])</f>
        <v/>
      </c>
      <c r="AB13" s="54" t="str">
        <f>IF(NOTA[[#This Row],[JUMLAH]]="","",NOTA[[#This Row],[JUMLAH]]-NOTA[[#This Row],[DISC]])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" s="54" t="str">
        <f>IF(OR(NOTA[[#This Row],[QTY]]="",NOTA[[#This Row],[HARGA SATUAN]]="",),"",NOTA[[#This Row],[QTY]]*NOTA[[#This Row],[HARGA SATUAN]])</f>
        <v/>
      </c>
      <c r="AG13" s="51">
        <f ca="1">IF(NOTA[ID_H]="","",INDEX(NOTA[TANGGAL],MATCH(,INDIRECT(ADDRESS(ROW(NOTA[TANGGAL]),COLUMN(NOTA[TANGGAL]))&amp;":"&amp;ADDRESS(ROW(),COLUMN(NOTA[TANGGAL]))),-1)))</f>
        <v>44929</v>
      </c>
      <c r="AH13" s="49" t="str">
        <f ca="1">IF(NOTA[[#This Row],[NAMA BARANG]]="","",INDEX(NOTA[SUPPLIER],MATCH(,INDIRECT(ADDRESS(ROW(NOTA[ID]),COLUMN(NOTA[ID]))&amp;":"&amp;ADDRESS(ROW(),COLUMN(NOTA[ID]))),-1)))</f>
        <v>SBS</v>
      </c>
      <c r="AI13" s="49" t="str">
        <f ca="1">IF(NOTA[[#This Row],[ID_H]]="","",IF(NOTA[[#This Row],[FAKTUR]]="",INDIRECT(ADDRESS(ROW()-1,COLUMN())),NOTA[[#This Row],[FAKTUR]]))</f>
        <v>UNTANA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12</v>
      </c>
      <c r="AL13" s="38" t="str">
        <f>LOWER(SUBSTITUTE(SUBSTITUTE(SUBSTITUTE(SUBSTITUTE(SUBSTITUTE(SUBSTITUTE(SUBSTITUTE(SUBSTITUTE(SUBSTITUTE(NOTA[NAMA BARANG]," ",),".",""),"-",""),"(",""),")",""),",",""),"/",""),"""",""),"+",""))</f>
        <v>pckxda3348d8x20bentuksetminion</v>
      </c>
      <c r="AM13" s="38" t="str">
        <f>IF(NOTA[C]="",NOTA[[#This Row],[CONCAT1]]&amp;NOTA[[#This Row],[HARGA SATUAN]],NOTA[[#This Row],[CONCAT1]]&amp;NOTA[[#This Row],[HARGA/ CTN_H]]&amp;NOTA[[#This Row],[DISC 1]]&amp;NOTA[[#This Row],[DISC 2]])</f>
        <v>pckxda3348d8x20bentuksetminion0</v>
      </c>
      <c r="AN13" s="184">
        <f>IF(NOTA[[#This Row],[CONCAT1]]="","",MATCH(NOTA[[#This Row],[CONCAT1]],[1]!db[NB NOTA_C],0)+1)</f>
        <v>1686</v>
      </c>
    </row>
    <row r="14" spans="1:40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Row],[CEK_EXP]]&lt;D13,"err","")</f>
        <v/>
      </c>
      <c r="D14" s="50">
        <f>IF(NOTA[[#This Row],[TANGGAL]]="",D13,NOTA[[#This Row],[TANGGAL]])</f>
        <v>44929</v>
      </c>
      <c r="E14" s="50">
        <f ca="1">IF(NOTA[[#This Row],[NAMA BARANG]]="","",INDEX(NOTA[ID],MATCH(,INDIRECT(ADDRESS(ROW(NOTA[ID]),COLUMN(NOTA[ID]))&amp;":"&amp;ADDRESS(ROW(),COLUMN(NOTA[ID]))),-1)))</f>
        <v>4</v>
      </c>
      <c r="F14" s="23"/>
      <c r="G14" s="26"/>
      <c r="H14" s="26"/>
      <c r="I14" s="31"/>
      <c r="J14" s="26"/>
      <c r="K14" s="51"/>
      <c r="L14" s="26"/>
      <c r="M14" s="26" t="s">
        <v>112</v>
      </c>
      <c r="N14" s="39">
        <v>2</v>
      </c>
      <c r="O14" s="26">
        <v>384</v>
      </c>
      <c r="P14" s="26" t="s">
        <v>104</v>
      </c>
      <c r="Q14" s="52"/>
      <c r="R14" s="52"/>
      <c r="S14" s="39" t="s">
        <v>106</v>
      </c>
      <c r="T14" s="53"/>
      <c r="U14" s="53"/>
      <c r="V14" s="54"/>
      <c r="W14" s="37"/>
      <c r="X14" s="54" t="str">
        <f>IF(NOTA[[#This Row],[HARGA/ CTN]]="",NOTA[[#This Row],[JUMLAH_H]],NOTA[[#This Row],[HARGA/ CTN]]*IF(NOTA[[#This Row],[C]]="",0,NOTA[[#This Row],[C]]))</f>
        <v/>
      </c>
      <c r="Y14" s="54" t="str">
        <f>IF(NOTA[[#This Row],[JUMLAH]]="","",NOTA[[#This Row],[JUMLAH]]*NOTA[[#This Row],[DISC 1]])</f>
        <v/>
      </c>
      <c r="Z14" s="54" t="str">
        <f>IF(NOTA[[#This Row],[JUMLAH]]="","",(NOTA[[#This Row],[JUMLAH]]-NOTA[[#This Row],[DISC 1-]])*NOTA[[#This Row],[DISC 2]])</f>
        <v/>
      </c>
      <c r="AA14" s="54" t="str">
        <f>IF(NOTA[[#This Row],[JUMLAH]]="","",NOTA[[#This Row],[DISC 1-]]+NOTA[[#This Row],[DISC 2-]])</f>
        <v/>
      </c>
      <c r="AB14" s="54" t="str">
        <f>IF(NOTA[[#This Row],[JUMLAH]]="","",NOTA[[#This Row],[JUMLAH]]-NOTA[[#This Row],[DISC]])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54" t="str">
        <f>IF(OR(NOTA[[#This Row],[QTY]]="",NOTA[[#This Row],[HARGA SATUAN]]="",),"",NOTA[[#This Row],[QTY]]*NOTA[[#This Row],[HARGA SATUAN]])</f>
        <v/>
      </c>
      <c r="AG14" s="51">
        <f ca="1">IF(NOTA[ID_H]="","",INDEX(NOTA[TANGGAL],MATCH(,INDIRECT(ADDRESS(ROW(NOTA[TANGGAL]),COLUMN(NOTA[TANGGAL]))&amp;":"&amp;ADDRESS(ROW(),COLUMN(NOTA[TANGGAL]))),-1)))</f>
        <v>44929</v>
      </c>
      <c r="AH14" s="49" t="str">
        <f ca="1">IF(NOTA[[#This Row],[NAMA BARANG]]="","",INDEX(NOTA[SUPPLIER],MATCH(,INDIRECT(ADDRESS(ROW(NOTA[ID]),COLUMN(NOTA[ID]))&amp;":"&amp;ADDRESS(ROW(),COLUMN(NOTA[ID]))),-1)))</f>
        <v>SBS</v>
      </c>
      <c r="AI14" s="49" t="str">
        <f ca="1">IF(NOTA[[#This Row],[ID_H]]="","",IF(NOTA[[#This Row],[FAKTUR]]="",INDIRECT(ADDRESS(ROW()-1,COLUMN())),NOTA[[#This Row],[FAKTUR]]))</f>
        <v>UNTANA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12</v>
      </c>
      <c r="AL14" s="38" t="str">
        <f>LOWER(SUBSTITUTE(SUBSTITUTE(SUBSTITUTE(SUBSTITUTE(SUBSTITUTE(SUBSTITUTE(SUBSTITUTE(SUBSTITUTE(SUBSTITUTE(NOTA[NAMA BARANG]," ",),".",""),"-",""),"(",""),")",""),",",""),"/",""),"""",""),"+",""))</f>
        <v>pckxda3348d8x20bentuksetmm</v>
      </c>
      <c r="AM14" s="38" t="str">
        <f>IF(NOTA[C]="",NOTA[[#This Row],[CONCAT1]]&amp;NOTA[[#This Row],[HARGA SATUAN]],NOTA[[#This Row],[CONCAT1]]&amp;NOTA[[#This Row],[HARGA/ CTN_H]]&amp;NOTA[[#This Row],[DISC 1]]&amp;NOTA[[#This Row],[DISC 2]])</f>
        <v>pckxda3348d8x20bentuksetmm0</v>
      </c>
      <c r="AN14" s="184">
        <f>IF(NOTA[[#This Row],[CONCAT1]]="","",MATCH(NOTA[[#This Row],[CONCAT1]],[1]!db[NB NOTA_C],0)+1)</f>
        <v>1682</v>
      </c>
    </row>
    <row r="15" spans="1:40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Row],[CEK_EXP]]&lt;D14,"err","")</f>
        <v/>
      </c>
      <c r="D15" s="50">
        <f>IF(NOTA[[#This Row],[TANGGAL]]="",D14,NOTA[[#This Row],[TANGGAL]])</f>
        <v>44929</v>
      </c>
      <c r="E15" s="50">
        <f ca="1">IF(NOTA[[#This Row],[NAMA BARANG]]="","",INDEX(NOTA[ID],MATCH(,INDIRECT(ADDRESS(ROW(NOTA[ID]),COLUMN(NOTA[ID]))&amp;":"&amp;ADDRESS(ROW(),COLUMN(NOTA[ID]))),-1)))</f>
        <v>4</v>
      </c>
      <c r="F15" s="23"/>
      <c r="G15" s="26"/>
      <c r="H15" s="26"/>
      <c r="I15" s="31"/>
      <c r="J15" s="26"/>
      <c r="K15" s="51"/>
      <c r="L15" s="26"/>
      <c r="M15" s="26" t="s">
        <v>113</v>
      </c>
      <c r="N15" s="39">
        <v>2</v>
      </c>
      <c r="O15" s="26">
        <v>384</v>
      </c>
      <c r="P15" s="26" t="s">
        <v>104</v>
      </c>
      <c r="Q15" s="52"/>
      <c r="R15" s="52"/>
      <c r="S15" s="39" t="s">
        <v>106</v>
      </c>
      <c r="T15" s="53"/>
      <c r="U15" s="53"/>
      <c r="V15" s="54"/>
      <c r="W15" s="37"/>
      <c r="X15" s="54" t="str">
        <f>IF(NOTA[[#This Row],[HARGA/ CTN]]="",NOTA[[#This Row],[JUMLAH_H]],NOTA[[#This Row],[HARGA/ CTN]]*IF(NOTA[[#This Row],[C]]="",0,NOTA[[#This Row],[C]]))</f>
        <v/>
      </c>
      <c r="Y15" s="54" t="str">
        <f>IF(NOTA[[#This Row],[JUMLAH]]="","",NOTA[[#This Row],[JUMLAH]]*NOTA[[#This Row],[DISC 1]])</f>
        <v/>
      </c>
      <c r="Z15" s="54" t="str">
        <f>IF(NOTA[[#This Row],[JUMLAH]]="","",(NOTA[[#This Row],[JUMLAH]]-NOTA[[#This Row],[DISC 1-]])*NOTA[[#This Row],[DISC 2]])</f>
        <v/>
      </c>
      <c r="AA15" s="54" t="str">
        <f>IF(NOTA[[#This Row],[JUMLAH]]="","",NOTA[[#This Row],[DISC 1-]]+NOTA[[#This Row],[DISC 2-]])</f>
        <v/>
      </c>
      <c r="AB15" s="54" t="str">
        <f>IF(NOTA[[#This Row],[JUMLAH]]="","",NOTA[[#This Row],[JUMLAH]]-NOTA[[#This Row],[DISC]])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54" t="str">
        <f>IF(OR(NOTA[[#This Row],[QTY]]="",NOTA[[#This Row],[HARGA SATUAN]]="",),"",NOTA[[#This Row],[QTY]]*NOTA[[#This Row],[HARGA SATUAN]])</f>
        <v/>
      </c>
      <c r="AG15" s="51">
        <f ca="1">IF(NOTA[ID_H]="","",INDEX(NOTA[TANGGAL],MATCH(,INDIRECT(ADDRESS(ROW(NOTA[TANGGAL]),COLUMN(NOTA[TANGGAL]))&amp;":"&amp;ADDRESS(ROW(),COLUMN(NOTA[TANGGAL]))),-1)))</f>
        <v>44929</v>
      </c>
      <c r="AH15" s="49" t="str">
        <f ca="1">IF(NOTA[[#This Row],[NAMA BARANG]]="","",INDEX(NOTA[SUPPLIER],MATCH(,INDIRECT(ADDRESS(ROW(NOTA[ID]),COLUMN(NOTA[ID]))&amp;":"&amp;ADDRESS(ROW(),COLUMN(NOTA[ID]))),-1)))</f>
        <v>SBS</v>
      </c>
      <c r="AI15" s="49" t="str">
        <f ca="1">IF(NOTA[[#This Row],[ID_H]]="","",IF(NOTA[[#This Row],[FAKTUR]]="",INDIRECT(ADDRESS(ROW()-1,COLUMN())),NOTA[[#This Row],[FAKTUR]]))</f>
        <v>UNTANA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12</v>
      </c>
      <c r="AL15" s="38" t="str">
        <f>LOWER(SUBSTITUTE(SUBSTITUTE(SUBSTITUTE(SUBSTITUTE(SUBSTITUTE(SUBSTITUTE(SUBSTITUTE(SUBSTITUTE(SUBSTITUTE(NOTA[NAMA BARANG]," ",),".",""),"-",""),"(",""),")",""),",",""),"/",""),"""",""),"+",""))</f>
        <v>pckxda3348d8x20bentuksetkitty</v>
      </c>
      <c r="AM15" s="38" t="str">
        <f>IF(NOTA[C]="",NOTA[[#This Row],[CONCAT1]]&amp;NOTA[[#This Row],[HARGA SATUAN]],NOTA[[#This Row],[CONCAT1]]&amp;NOTA[[#This Row],[HARGA/ CTN_H]]&amp;NOTA[[#This Row],[DISC 1]]&amp;NOTA[[#This Row],[DISC 2]])</f>
        <v>pckxda3348d8x20bentuksetkitty0</v>
      </c>
      <c r="AN15" s="184">
        <f>IF(NOTA[[#This Row],[CONCAT1]]="","",MATCH(NOTA[[#This Row],[CONCAT1]],[1]!db[NB NOTA_C],0)+1)</f>
        <v>1683</v>
      </c>
    </row>
    <row r="16" spans="1:40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Row],[CEK_EXP]]&lt;D15,"err","")</f>
        <v/>
      </c>
      <c r="D16" s="50">
        <f>IF(NOTA[[#This Row],[TANGGAL]]="",D15,NOTA[[#This Row],[TANGGAL]])</f>
        <v>44929</v>
      </c>
      <c r="E16" s="50">
        <f ca="1">IF(NOTA[[#This Row],[NAMA BARANG]]="","",INDEX(NOTA[ID],MATCH(,INDIRECT(ADDRESS(ROW(NOTA[ID]),COLUMN(NOTA[ID]))&amp;":"&amp;ADDRESS(ROW(),COLUMN(NOTA[ID]))),-1)))</f>
        <v>4</v>
      </c>
      <c r="F16" s="23"/>
      <c r="G16" s="26"/>
      <c r="H16" s="26"/>
      <c r="I16" s="31"/>
      <c r="J16" s="26"/>
      <c r="K16" s="51"/>
      <c r="L16" s="26"/>
      <c r="M16" s="26" t="s">
        <v>114</v>
      </c>
      <c r="N16" s="39">
        <v>2</v>
      </c>
      <c r="O16" s="26">
        <v>384</v>
      </c>
      <c r="P16" s="26" t="s">
        <v>104</v>
      </c>
      <c r="Q16" s="52"/>
      <c r="R16" s="52"/>
      <c r="S16" s="39" t="s">
        <v>106</v>
      </c>
      <c r="T16" s="53"/>
      <c r="U16" s="53"/>
      <c r="V16" s="54"/>
      <c r="W16" s="37"/>
      <c r="X16" s="54" t="str">
        <f>IF(NOTA[[#This Row],[HARGA/ CTN]]="",NOTA[[#This Row],[JUMLAH_H]],NOTA[[#This Row],[HARGA/ CTN]]*IF(NOTA[[#This Row],[C]]="",0,NOTA[[#This Row],[C]]))</f>
        <v/>
      </c>
      <c r="Y16" s="54" t="str">
        <f>IF(NOTA[[#This Row],[JUMLAH]]="","",NOTA[[#This Row],[JUMLAH]]*NOTA[[#This Row],[DISC 1]])</f>
        <v/>
      </c>
      <c r="Z16" s="54" t="str">
        <f>IF(NOTA[[#This Row],[JUMLAH]]="","",(NOTA[[#This Row],[JUMLAH]]-NOTA[[#This Row],[DISC 1-]])*NOTA[[#This Row],[DISC 2]])</f>
        <v/>
      </c>
      <c r="AA16" s="54" t="str">
        <f>IF(NOTA[[#This Row],[JUMLAH]]="","",NOTA[[#This Row],[DISC 1-]]+NOTA[[#This Row],[DISC 2-]])</f>
        <v/>
      </c>
      <c r="AB16" s="54" t="str">
        <f>IF(NOTA[[#This Row],[JUMLAH]]="","",NOTA[[#This Row],[JUMLAH]]-NOTA[[#This Row],[DISC]])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54" t="str">
        <f>IF(OR(NOTA[[#This Row],[QTY]]="",NOTA[[#This Row],[HARGA SATUAN]]="",),"",NOTA[[#This Row],[QTY]]*NOTA[[#This Row],[HARGA SATUAN]])</f>
        <v/>
      </c>
      <c r="AG16" s="51">
        <f ca="1">IF(NOTA[ID_H]="","",INDEX(NOTA[TANGGAL],MATCH(,INDIRECT(ADDRESS(ROW(NOTA[TANGGAL]),COLUMN(NOTA[TANGGAL]))&amp;":"&amp;ADDRESS(ROW(),COLUMN(NOTA[TANGGAL]))),-1)))</f>
        <v>44929</v>
      </c>
      <c r="AH16" s="49" t="str">
        <f ca="1">IF(NOTA[[#This Row],[NAMA BARANG]]="","",INDEX(NOTA[SUPPLIER],MATCH(,INDIRECT(ADDRESS(ROW(NOTA[ID]),COLUMN(NOTA[ID]))&amp;":"&amp;ADDRESS(ROW(),COLUMN(NOTA[ID]))),-1)))</f>
        <v>SBS</v>
      </c>
      <c r="AI16" s="49" t="str">
        <f ca="1">IF(NOTA[[#This Row],[ID_H]]="","",IF(NOTA[[#This Row],[FAKTUR]]="",INDIRECT(ADDRESS(ROW()-1,COLUMN())),NOTA[[#This Row],[FAKTUR]]))</f>
        <v>UNTANA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12</v>
      </c>
      <c r="AL16" s="38" t="str">
        <f>LOWER(SUBSTITUTE(SUBSTITUTE(SUBSTITUTE(SUBSTITUTE(SUBSTITUTE(SUBSTITUTE(SUBSTITUTE(SUBSTITUTE(SUBSTITUTE(NOTA[NAMA BARANG]," ",),".",""),"-",""),"(",""),")",""),",",""),"/",""),"""",""),"+",""))</f>
        <v>pckxda3348d8x20bentuksettsum</v>
      </c>
      <c r="AM16" s="38" t="str">
        <f>IF(NOTA[C]="",NOTA[[#This Row],[CONCAT1]]&amp;NOTA[[#This Row],[HARGA SATUAN]],NOTA[[#This Row],[CONCAT1]]&amp;NOTA[[#This Row],[HARGA/ CTN_H]]&amp;NOTA[[#This Row],[DISC 1]]&amp;NOTA[[#This Row],[DISC 2]])</f>
        <v>pckxda3348d8x20bentuksettsum0</v>
      </c>
      <c r="AN16" s="184">
        <f>IF(NOTA[[#This Row],[CONCAT1]]="","",MATCH(NOTA[[#This Row],[CONCAT1]],[1]!db[NB NOTA_C],0)+1)</f>
        <v>1687</v>
      </c>
    </row>
    <row r="17" spans="1:40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Row],[CEK_EXP]]&lt;D16,"err","")</f>
        <v/>
      </c>
      <c r="D17" s="50">
        <f>IF(NOTA[[#This Row],[TANGGAL]]="",D16,NOTA[[#This Row],[TANGGAL]])</f>
        <v>44929</v>
      </c>
      <c r="E17" s="50">
        <f ca="1">IF(NOTA[[#This Row],[NAMA BARANG]]="","",INDEX(NOTA[ID],MATCH(,INDIRECT(ADDRESS(ROW(NOTA[ID]),COLUMN(NOTA[ID]))&amp;":"&amp;ADDRESS(ROW(),COLUMN(NOTA[ID]))),-1)))</f>
        <v>4</v>
      </c>
      <c r="F17" s="23"/>
      <c r="G17" s="26"/>
      <c r="H17" s="26"/>
      <c r="I17" s="31"/>
      <c r="J17" s="26"/>
      <c r="K17" s="51"/>
      <c r="L17" s="26"/>
      <c r="M17" s="26" t="s">
        <v>115</v>
      </c>
      <c r="N17" s="39">
        <v>5</v>
      </c>
      <c r="O17" s="26">
        <v>720</v>
      </c>
      <c r="P17" s="26" t="s">
        <v>104</v>
      </c>
      <c r="Q17" s="52"/>
      <c r="R17" s="52"/>
      <c r="S17" s="39" t="s">
        <v>107</v>
      </c>
      <c r="T17" s="53"/>
      <c r="U17" s="53"/>
      <c r="V17" s="54"/>
      <c r="W17" s="37"/>
      <c r="X17" s="54" t="str">
        <f>IF(NOTA[[#This Row],[HARGA/ CTN]]="",NOTA[[#This Row],[JUMLAH_H]],NOTA[[#This Row],[HARGA/ CTN]]*IF(NOTA[[#This Row],[C]]="",0,NOTA[[#This Row],[C]]))</f>
        <v/>
      </c>
      <c r="Y17" s="54" t="str">
        <f>IF(NOTA[[#This Row],[JUMLAH]]="","",NOTA[[#This Row],[JUMLAH]]*NOTA[[#This Row],[DISC 1]])</f>
        <v/>
      </c>
      <c r="Z17" s="54" t="str">
        <f>IF(NOTA[[#This Row],[JUMLAH]]="","",(NOTA[[#This Row],[JUMLAH]]-NOTA[[#This Row],[DISC 1-]])*NOTA[[#This Row],[DISC 2]])</f>
        <v/>
      </c>
      <c r="AA17" s="54" t="str">
        <f>IF(NOTA[[#This Row],[JUMLAH]]="","",NOTA[[#This Row],[DISC 1-]]+NOTA[[#This Row],[DISC 2-]])</f>
        <v/>
      </c>
      <c r="AB17" s="54" t="str">
        <f>IF(NOTA[[#This Row],[JUMLAH]]="","",NOTA[[#This Row],[JUMLAH]]-NOTA[[#This Row],[DISC]])</f>
        <v/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7" s="5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54" t="str">
        <f>IF(OR(NOTA[[#This Row],[QTY]]="",NOTA[[#This Row],[HARGA SATUAN]]="",),"",NOTA[[#This Row],[QTY]]*NOTA[[#This Row],[HARGA SATUAN]])</f>
        <v/>
      </c>
      <c r="AG17" s="51">
        <f ca="1">IF(NOTA[ID_H]="","",INDEX(NOTA[TANGGAL],MATCH(,INDIRECT(ADDRESS(ROW(NOTA[TANGGAL]),COLUMN(NOTA[TANGGAL]))&amp;":"&amp;ADDRESS(ROW(),COLUMN(NOTA[TANGGAL]))),-1)))</f>
        <v>44929</v>
      </c>
      <c r="AH17" s="49" t="str">
        <f ca="1">IF(NOTA[[#This Row],[NAMA BARANG]]="","",INDEX(NOTA[SUPPLIER],MATCH(,INDIRECT(ADDRESS(ROW(NOTA[ID]),COLUMN(NOTA[ID]))&amp;":"&amp;ADDRESS(ROW(),COLUMN(NOTA[ID]))),-1)))</f>
        <v>SBS</v>
      </c>
      <c r="AI17" s="49" t="str">
        <f ca="1">IF(NOTA[[#This Row],[ID_H]]="","",IF(NOTA[[#This Row],[FAKTUR]]="",INDIRECT(ADDRESS(ROW()-1,COLUMN())),NOTA[[#This Row],[FAKTUR]]))</f>
        <v>UNTANA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12</v>
      </c>
      <c r="AL17" s="38" t="str">
        <f>LOWER(SUBSTITUTE(SUBSTITUTE(SUBSTITUTE(SUBSTITUTE(SUBSTITUTE(SUBSTITUTE(SUBSTITUTE(SUBSTITUTE(SUBSTITUTE(NOTA[NAMA BARANG]," ",),".",""),"-",""),"(",""),")",""),",",""),"/",""),"""",""),"+",""))</f>
        <v>pcma1151</v>
      </c>
      <c r="AM17" s="38" t="str">
        <f>IF(NOTA[C]="",NOTA[[#This Row],[CONCAT1]]&amp;NOTA[[#This Row],[HARGA SATUAN]],NOTA[[#This Row],[CONCAT1]]&amp;NOTA[[#This Row],[HARGA/ CTN_H]]&amp;NOTA[[#This Row],[DISC 1]]&amp;NOTA[[#This Row],[DISC 2]])</f>
        <v>pcma11510</v>
      </c>
      <c r="AN17" s="184">
        <f>IF(NOTA[[#This Row],[CONCAT1]]="","",MATCH(NOTA[[#This Row],[CONCAT1]],[1]!db[NB NOTA_C],0)+1)</f>
        <v>1695</v>
      </c>
    </row>
    <row r="18" spans="1:40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Row],[CEK_EXP]]&lt;D17,"err","")</f>
        <v/>
      </c>
      <c r="D18" s="50">
        <f>IF(NOTA[[#This Row],[TANGGAL]]="",D17,NOTA[[#This Row],[TANGGAL]])</f>
        <v>44929</v>
      </c>
      <c r="E18" s="50" t="str">
        <f ca="1">IF(NOTA[[#This Row],[NAMA BARANG]]="","",INDEX(NOTA[ID],MATCH(,INDIRECT(ADDRESS(ROW(NOTA[ID]),COLUMN(NOTA[ID]))&amp;":"&amp;ADDRESS(ROW(),COLUMN(NOTA[ID]))),-1)))</f>
        <v/>
      </c>
      <c r="F18" s="23"/>
      <c r="G18" s="26"/>
      <c r="H18" s="26"/>
      <c r="I18" s="31"/>
      <c r="J18" s="26"/>
      <c r="K18" s="51"/>
      <c r="L18" s="26"/>
      <c r="M18" s="26"/>
      <c r="N18" s="39"/>
      <c r="O18" s="26"/>
      <c r="P18" s="26"/>
      <c r="Q18" s="49"/>
      <c r="R18" s="52"/>
      <c r="S18" s="39"/>
      <c r="T18" s="53"/>
      <c r="U18" s="53"/>
      <c r="V18" s="54"/>
      <c r="W18" s="37"/>
      <c r="X18" s="54" t="str">
        <f>IF(NOTA[[#This Row],[HARGA/ CTN]]="",NOTA[[#This Row],[JUMLAH_H]],NOTA[[#This Row],[HARGA/ CTN]]*IF(NOTA[[#This Row],[C]]="",0,NOTA[[#This Row],[C]]))</f>
        <v/>
      </c>
      <c r="Y18" s="54" t="str">
        <f>IF(NOTA[[#This Row],[JUMLAH]]="","",NOTA[[#This Row],[JUMLAH]]*NOTA[[#This Row],[DISC 1]])</f>
        <v/>
      </c>
      <c r="Z18" s="54" t="str">
        <f>IF(NOTA[[#This Row],[JUMLAH]]="","",(NOTA[[#This Row],[JUMLAH]]-NOTA[[#This Row],[DISC 1-]])*NOTA[[#This Row],[DISC 2]])</f>
        <v/>
      </c>
      <c r="AA18" s="54" t="str">
        <f>IF(NOTA[[#This Row],[JUMLAH]]="","",NOTA[[#This Row],[DISC 1-]]+NOTA[[#This Row],[DISC 2-]])</f>
        <v/>
      </c>
      <c r="AB18" s="54" t="str">
        <f>IF(NOTA[[#This Row],[JUMLAH]]="","",NOTA[[#This Row],[JUMLAH]]-NOTA[[#This Row],[DISC]])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54" t="str">
        <f>IF(OR(NOTA[[#This Row],[QTY]]="",NOTA[[#This Row],[HARGA SATUAN]]="",),"",NOTA[[#This Row],[QTY]]*NOTA[[#This Row],[HARGA SATUAN]])</f>
        <v/>
      </c>
      <c r="AG18" s="51" t="str">
        <f ca="1">IF(NOTA[ID_H]="","",INDEX(NOTA[TANGGAL],MATCH(,INDIRECT(ADDRESS(ROW(NOTA[TANGGAL]),COLUMN(NOTA[TANGGAL]))&amp;":"&amp;ADDRESS(ROW(),COLUMN(NOTA[TANGGAL]))),-1)))</f>
        <v/>
      </c>
      <c r="AH18" s="49" t="str">
        <f ca="1">IF(NOTA[[#This Row],[NAMA BARANG]]="","",INDEX(NOTA[SUPPLIER],MATCH(,INDIRECT(ADDRESS(ROW(NOTA[ID]),COLUMN(NOTA[ID]))&amp;":"&amp;ADDRESS(ROW(),COLUMN(NOTA[ID]))),-1)))</f>
        <v/>
      </c>
      <c r="AI18" s="49" t="str">
        <f ca="1">IF(NOTA[[#This Row],[ID_H]]="","",IF(NOTA[[#This Row],[FAKTUR]]="",INDIRECT(ADDRESS(ROW()-1,COLUMN())),NOTA[[#This Row],[FAKTUR]]))</f>
        <v/>
      </c>
      <c r="AJ18" s="38" t="str">
        <f ca="1">IF(NOTA[[#This Row],[ID]]="","",COUNTIF(NOTA[ID_H],NOTA[[#This Row],[ID_H]]))</f>
        <v/>
      </c>
      <c r="AK18" s="38" t="str">
        <f ca="1">IF(NOTA[[#This Row],[TGL.NOTA]]="",IF(NOTA[[#This Row],[SUPPLIER_H]]="","",AK17),MONTH(NOTA[[#This Row],[TGL.NOTA]]))</f>
        <v/>
      </c>
      <c r="AL18" s="38" t="str">
        <f>LOWER(SUBSTITUTE(SUBSTITUTE(SUBSTITUTE(SUBSTITUTE(SUBSTITUTE(SUBSTITUTE(SUBSTITUTE(SUBSTITUTE(SUBSTITUTE(NOTA[NAMA BARANG]," ",),".",""),"-",""),"(",""),")",""),",",""),"/",""),"""",""),"+",""))</f>
        <v/>
      </c>
      <c r="AM18" s="38" t="str">
        <f>IF(NOTA[C]="",NOTA[[#This Row],[CONCAT1]]&amp;NOTA[[#This Row],[HARGA SATUAN]],NOTA[[#This Row],[CONCAT1]]&amp;NOTA[[#This Row],[HARGA/ CTN_H]]&amp;NOTA[[#This Row],[DISC 1]]&amp;NOTA[[#This Row],[DISC 2]])</f>
        <v/>
      </c>
      <c r="AN18" s="184" t="str">
        <f>IF(NOTA[[#This Row],[CONCAT1]]="","",MATCH(NOTA[[#This Row],[CONCAT1]],[1]!db[NB NOTA_C],0)+1)</f>
        <v/>
      </c>
    </row>
    <row r="19" spans="1:40" ht="20.100000000000001" customHeight="1" x14ac:dyDescent="0.25">
      <c r="A19" s="167">
        <f ca="1">IF(INDIRECT(ADDRESS(ROW()-1,COLUMN(NOTA[[#Headers],[ID]])))="ID",1,IF(NOTA[[#This Row],[FAKTUR]]="","",COUNT(INDIRECT(ADDRESS(ROW(NOTA[ID]),COLUMN(NOTA[ID]))&amp;":"&amp;ADDRESS(ROW()-1,COLUMN(NOTA[ID]))))+1))</f>
        <v>5</v>
      </c>
      <c r="B19" s="16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ETJ_0401_423-1</v>
      </c>
      <c r="C19" s="168" t="str">
        <f>IF(NOTA[[#This Row],[CEK_EXP]]&lt;D18,"err","")</f>
        <v/>
      </c>
      <c r="D19" s="168">
        <f>IF(NOTA[[#This Row],[TANGGAL]]="",D18,NOTA[[#This Row],[TANGGAL]])</f>
        <v>44930</v>
      </c>
      <c r="E19" s="168">
        <f ca="1">IF(NOTA[[#This Row],[NAMA BARANG]]="","",INDEX(NOTA[ID],MATCH(,INDIRECT(ADDRESS(ROW(NOTA[ID]),COLUMN(NOTA[ID]))&amp;":"&amp;ADDRESS(ROW(),COLUMN(NOTA[ID]))),-1)))</f>
        <v>5</v>
      </c>
      <c r="F19" s="23">
        <v>44930</v>
      </c>
      <c r="G19" s="26" t="s">
        <v>144</v>
      </c>
      <c r="H19" s="26" t="s">
        <v>87</v>
      </c>
      <c r="I19" s="31" t="s">
        <v>145</v>
      </c>
      <c r="J19" s="26"/>
      <c r="K19" s="51">
        <v>44928</v>
      </c>
      <c r="L19" s="26"/>
      <c r="M19" s="182" t="s">
        <v>248</v>
      </c>
      <c r="N19" s="39">
        <v>3</v>
      </c>
      <c r="O19" s="26">
        <v>180</v>
      </c>
      <c r="P19" s="26" t="s">
        <v>116</v>
      </c>
      <c r="Q19" s="49">
        <v>17500</v>
      </c>
      <c r="R19" s="52"/>
      <c r="S19" s="39"/>
      <c r="T19" s="53"/>
      <c r="U19" s="53"/>
      <c r="V19" s="54"/>
      <c r="W19" s="37"/>
      <c r="X19" s="176">
        <f>IF(NOTA[[#This Row],[HARGA/ CTN]]="",NOTA[[#This Row],[JUMLAH_H]],NOTA[[#This Row],[HARGA/ CTN]]*IF(NOTA[[#This Row],[C]]="",0,NOTA[[#This Row],[C]]))</f>
        <v>3150000</v>
      </c>
      <c r="Y19" s="176">
        <f>IF(NOTA[[#This Row],[JUMLAH]]="","",NOTA[[#This Row],[JUMLAH]]*NOTA[[#This Row],[DISC 1]])</f>
        <v>0</v>
      </c>
      <c r="Z19" s="176">
        <f>IF(NOTA[[#This Row],[JUMLAH]]="","",(NOTA[[#This Row],[JUMLAH]]-NOTA[[#This Row],[DISC 1-]])*NOTA[[#This Row],[DISC 2]])</f>
        <v>0</v>
      </c>
      <c r="AA19" s="176">
        <f>IF(NOTA[[#This Row],[JUMLAH]]="","",NOTA[[#This Row],[DISC 1-]]+NOTA[[#This Row],[DISC 2-]])</f>
        <v>0</v>
      </c>
      <c r="AB19" s="176">
        <f>IF(NOTA[[#This Row],[JUMLAH]]="","",NOTA[[#This Row],[JUMLAH]]-NOTA[[#This Row],[DISC]])</f>
        <v>3150000</v>
      </c>
      <c r="AC19" s="1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" s="1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9" s="167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" s="178">
        <f>IF(OR(NOTA[[#This Row],[QTY]]="",NOTA[[#This Row],[HARGA SATUAN]]="",),"",NOTA[[#This Row],[QTY]]*NOTA[[#This Row],[HARGA SATUAN]])</f>
        <v>3150000</v>
      </c>
      <c r="AG19" s="172">
        <f ca="1">IF(NOTA[ID_H]="","",INDEX(NOTA[TANGGAL],MATCH(,INDIRECT(ADDRESS(ROW(NOTA[TANGGAL]),COLUMN(NOTA[TANGGAL]))&amp;":"&amp;ADDRESS(ROW(),COLUMN(NOTA[TANGGAL]))),-1)))</f>
        <v>44930</v>
      </c>
      <c r="AH19" s="167" t="str">
        <f ca="1">IF(NOTA[[#This Row],[NAMA BARANG]]="","",INDEX(NOTA[SUPPLIER],MATCH(,INDIRECT(ADDRESS(ROW(NOTA[ID]),COLUMN(NOTA[ID]))&amp;":"&amp;ADDRESS(ROW(),COLUMN(NOTA[ID]))),-1)))</f>
        <v>ETJ</v>
      </c>
      <c r="AI19" s="167" t="str">
        <f ca="1">IF(NOTA[[#This Row],[ID_H]]="","",IF(NOTA[[#This Row],[FAKTUR]]="",INDIRECT(ADDRESS(ROW()-1,COLUMN())),NOTA[[#This Row],[FAKTUR]]))</f>
        <v>UNTANA</v>
      </c>
      <c r="AJ19" s="179">
        <f ca="1">IF(NOTA[[#This Row],[ID]]="","",COUNTIF(NOTA[ID_H],NOTA[[#This Row],[ID_H]]))</f>
        <v>1</v>
      </c>
      <c r="AK19" s="179">
        <f>IF(NOTA[[#This Row],[TGL.NOTA]]="",IF(NOTA[[#This Row],[SUPPLIER_H]]="","",AK18),MONTH(NOTA[[#This Row],[TGL.NOTA]]))</f>
        <v>1</v>
      </c>
      <c r="AL19" s="179" t="str">
        <f>LOWER(SUBSTITUTE(SUBSTITUTE(SUBSTITUTE(SUBSTITUTE(SUBSTITUTE(SUBSTITUTE(SUBSTITUTE(SUBSTITUTE(SUBSTITUTE(NOTA[NAMA BARANG]," ",),".",""),"-",""),"(",""),")",""),",",""),"/",""),"""",""),"+",""))</f>
        <v>enterwhiteboard802k</v>
      </c>
      <c r="AM19" s="38" t="str">
        <f>IF(NOTA[C]="",NOTA[[#This Row],[CONCAT1]]&amp;NOTA[[#This Row],[HARGA SATUAN]],NOTA[[#This Row],[CONCAT1]]&amp;NOTA[[#This Row],[HARGA/ CTN_H]]&amp;NOTA[[#This Row],[DISC 1]]&amp;NOTA[[#This Row],[DISC 2]])</f>
        <v>enterwhiteboard802k1050000</v>
      </c>
      <c r="AN19" s="184">
        <f>IF(NOTA[[#This Row],[CONCAT1]]="","",MATCH(NOTA[[#This Row],[CONCAT1]],[1]!db[NB NOTA_C],0)+1)</f>
        <v>677</v>
      </c>
    </row>
    <row r="20" spans="1:40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Row],[CEK_EXP]]&lt;D19,"err","")</f>
        <v/>
      </c>
      <c r="D20" s="29">
        <f>IF(NOTA[[#This Row],[TANGGAL]]="",D19,NOTA[[#This Row],[TANGGAL]])</f>
        <v>44930</v>
      </c>
      <c r="E20" s="29" t="str">
        <f ca="1">IF(NOTA[[#This Row],[NAMA BARANG]]="","",INDEX(NOTA[ID],MATCH(,INDIRECT(ADDRESS(ROW(NOTA[ID]),COLUMN(NOTA[ID]))&amp;":"&amp;ADDRESS(ROW(),COLUMN(NOTA[ID]))),-1)))</f>
        <v/>
      </c>
      <c r="F20" s="30"/>
      <c r="G20" s="32"/>
      <c r="H20" s="32"/>
      <c r="I20" s="55"/>
      <c r="J20" s="32"/>
      <c r="K20" s="33"/>
      <c r="L20" s="32"/>
      <c r="M20" s="26"/>
      <c r="N20" s="34"/>
      <c r="O20" s="32"/>
      <c r="P20" s="26"/>
      <c r="Q20" s="28"/>
      <c r="R20" s="46"/>
      <c r="S20" s="56"/>
      <c r="T20" s="35"/>
      <c r="U20" s="35"/>
      <c r="V20" s="36"/>
      <c r="W20" s="37"/>
      <c r="X20" s="36" t="str">
        <f>IF(NOTA[[#This Row],[HARGA/ CTN]]="",NOTA[[#This Row],[JUMLAH_H]],NOTA[[#This Row],[HARGA/ CTN]]*IF(NOTA[[#This Row],[C]]="",0,NOTA[[#This Row],[C]]))</f>
        <v/>
      </c>
      <c r="Y20" s="36" t="str">
        <f>IF(NOTA[[#This Row],[JUMLAH]]="","",NOTA[[#This Row],[JUMLAH]]*NOTA[[#This Row],[DISC 1]])</f>
        <v/>
      </c>
      <c r="Z20" s="36" t="str">
        <f>IF(NOTA[[#This Row],[JUMLAH]]="","",(NOTA[[#This Row],[JUMLAH]]-NOTA[[#This Row],[DISC 1-]])*NOTA[[#This Row],[DISC 2]])</f>
        <v/>
      </c>
      <c r="AA20" s="36" t="str">
        <f>IF(NOTA[[#This Row],[JUMLAH]]="","",NOTA[[#This Row],[DISC 1-]]+NOTA[[#This Row],[DISC 2-]])</f>
        <v/>
      </c>
      <c r="AB20" s="36" t="str">
        <f>IF(NOTA[[#This Row],[JUMLAH]]="","",NOTA[[#This Row],[JUMLAH]]-NOTA[[#This Row],[DISC]])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" s="36" t="str">
        <f>IF(OR(NOTA[[#This Row],[QTY]]="",NOTA[[#This Row],[HARGA SATUAN]]="",),"",NOTA[[#This Row],[QTY]]*NOTA[[#This Row],[HARGA SATUAN]])</f>
        <v/>
      </c>
      <c r="AG20" s="33" t="str">
        <f ca="1">IF(NOTA[ID_H]="","",INDEX(NOTA[TANGGAL],MATCH(,INDIRECT(ADDRESS(ROW(NOTA[TANGGAL]),COLUMN(NOTA[TANGGAL]))&amp;":"&amp;ADDRESS(ROW(),COLUMN(NOTA[TANGGAL]))),-1)))</f>
        <v/>
      </c>
      <c r="AH20" s="28" t="str">
        <f ca="1">IF(NOTA[[#This Row],[NAMA BARANG]]="","",INDEX(NOTA[SUPPLIER],MATCH(,INDIRECT(ADDRESS(ROW(NOTA[ID]),COLUMN(NOTA[ID]))&amp;":"&amp;ADDRESS(ROW(),COLUMN(NOTA[ID]))),-1)))</f>
        <v/>
      </c>
      <c r="AI20" s="28" t="str">
        <f ca="1">IF(NOTA[[#This Row],[ID_H]]="","",IF(NOTA[[#This Row],[FAKTUR]]="",INDIRECT(ADDRESS(ROW()-1,COLUMN())),NOTA[[#This Row],[FAKTUR]]))</f>
        <v/>
      </c>
      <c r="AJ20" s="38" t="str">
        <f ca="1">IF(NOTA[[#This Row],[ID]]="","",COUNTIF(NOTA[ID_H],NOTA[[#This Row],[ID_H]]))</f>
        <v/>
      </c>
      <c r="AK20" s="38" t="str">
        <f ca="1">IF(NOTA[[#This Row],[TGL.NOTA]]="",IF(NOTA[[#This Row],[SUPPLIER_H]]="","",#REF!),MONTH(NOTA[[#This Row],[TGL.NOTA]]))</f>
        <v/>
      </c>
      <c r="AL20" s="38" t="str">
        <f>LOWER(SUBSTITUTE(SUBSTITUTE(SUBSTITUTE(SUBSTITUTE(SUBSTITUTE(SUBSTITUTE(SUBSTITUTE(SUBSTITUTE(SUBSTITUTE(NOTA[NAMA BARANG]," ",),".",""),"-",""),"(",""),")",""),",",""),"/",""),"""",""),"+",""))</f>
        <v/>
      </c>
      <c r="AM20" s="38" t="str">
        <f>IF(NOTA[C]="",NOTA[[#This Row],[CONCAT1]]&amp;NOTA[[#This Row],[HARGA SATUAN]],NOTA[[#This Row],[CONCAT1]]&amp;NOTA[[#This Row],[HARGA/ CTN_H]]&amp;NOTA[[#This Row],[DISC 1]]&amp;NOTA[[#This Row],[DISC 2]])</f>
        <v/>
      </c>
      <c r="AN20" s="184" t="str">
        <f>IF(NOTA[[#This Row],[CONCAT1]]="","",MATCH(NOTA[[#This Row],[CONCAT1]],[1]!db[NB NOTA_C],0)+1)</f>
        <v/>
      </c>
    </row>
    <row r="21" spans="1:40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2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ETJ_0401_323-1</v>
      </c>
      <c r="C21" s="26" t="str">
        <f>IF(NOTA[[#This Row],[CEK_EXP]]&lt;D20,"err","")</f>
        <v/>
      </c>
      <c r="D21" s="26">
        <f>IF(NOTA[[#This Row],[TANGGAL]]="",D20,NOTA[[#This Row],[TANGGAL]])</f>
        <v>44930</v>
      </c>
      <c r="E21" s="26">
        <f ca="1">IF(NOTA[[#This Row],[NAMA BARANG]]="","",INDEX(NOTA[ID],MATCH(,INDIRECT(ADDRESS(ROW(NOTA[ID]),COLUMN(NOTA[ID]))&amp;":"&amp;ADDRESS(ROW(),COLUMN(NOTA[ID]))),-1)))</f>
        <v>6</v>
      </c>
      <c r="F21" s="180"/>
      <c r="G21" s="26" t="s">
        <v>144</v>
      </c>
      <c r="H21" s="26" t="s">
        <v>87</v>
      </c>
      <c r="I21" s="31" t="s">
        <v>192</v>
      </c>
      <c r="J21" s="26"/>
      <c r="K21" s="51">
        <v>44930</v>
      </c>
      <c r="L21" s="26"/>
      <c r="M21" s="26" t="s">
        <v>193</v>
      </c>
      <c r="N21" s="39">
        <v>20</v>
      </c>
      <c r="O21" s="26">
        <v>240</v>
      </c>
      <c r="P21" s="26" t="s">
        <v>90</v>
      </c>
      <c r="Q21" s="49">
        <v>38000</v>
      </c>
      <c r="R21" s="52"/>
      <c r="S21" s="39" t="s">
        <v>100</v>
      </c>
      <c r="T21" s="53"/>
      <c r="U21" s="53"/>
      <c r="V21" s="54"/>
      <c r="W21" s="37" t="s">
        <v>194</v>
      </c>
      <c r="X21" s="54">
        <f>IF(NOTA[[#This Row],[HARGA/ CTN]]="",NOTA[[#This Row],[JUMLAH_H]],NOTA[[#This Row],[HARGA/ CTN]]*IF(NOTA[[#This Row],[C]]="",0,NOTA[[#This Row],[C]]))</f>
        <v>9120000</v>
      </c>
      <c r="Y21" s="54">
        <f>IF(NOTA[[#This Row],[JUMLAH]]="","",NOTA[[#This Row],[JUMLAH]]*NOTA[[#This Row],[DISC 1]])</f>
        <v>0</v>
      </c>
      <c r="Z21" s="54">
        <f>IF(NOTA[[#This Row],[JUMLAH]]="","",(NOTA[[#This Row],[JUMLAH]]-NOTA[[#This Row],[DISC 1-]])*NOTA[[#This Row],[DISC 2]])</f>
        <v>0</v>
      </c>
      <c r="AA21" s="54">
        <f>IF(NOTA[[#This Row],[JUMLAH]]="","",NOTA[[#This Row],[DISC 1-]]+NOTA[[#This Row],[DISC 2-]])</f>
        <v>0</v>
      </c>
      <c r="AB21" s="54">
        <f>IF(NOTA[[#This Row],[JUMLAH]]="","",NOTA[[#This Row],[JUMLAH]]-NOTA[[#This Row],[DISC]])</f>
        <v>9120000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E21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21" s="54">
        <f>IF(OR(NOTA[[#This Row],[QTY]]="",NOTA[[#This Row],[HARGA SATUAN]]="",),"",NOTA[[#This Row],[QTY]]*NOTA[[#This Row],[HARGA SATUAN]])</f>
        <v>9120000</v>
      </c>
      <c r="AG21" s="51">
        <f ca="1">IF(NOTA[ID_H]="","",INDEX(NOTA[TANGGAL],MATCH(,INDIRECT(ADDRESS(ROW(NOTA[TANGGAL]),COLUMN(NOTA[TANGGAL]))&amp;":"&amp;ADDRESS(ROW(),COLUMN(NOTA[TANGGAL]))),-1)))</f>
        <v>44930</v>
      </c>
      <c r="AH21" s="65" t="str">
        <f ca="1">IF(NOTA[[#This Row],[NAMA BARANG]]="","",INDEX(NOTA[SUPPLIER],MATCH(,INDIRECT(ADDRESS(ROW(NOTA[ID]),COLUMN(NOTA[ID]))&amp;":"&amp;ADDRESS(ROW(),COLUMN(NOTA[ID]))),-1)))</f>
        <v>ETJ</v>
      </c>
      <c r="AI21" s="65" t="str">
        <f ca="1">IF(NOTA[[#This Row],[ID_H]]="","",IF(NOTA[[#This Row],[FAKTUR]]="",INDIRECT(ADDRESS(ROW()-1,COLUMN())),NOTA[[#This Row],[FAKTUR]]))</f>
        <v>UNTANA</v>
      </c>
      <c r="AJ21" s="38">
        <f ca="1">IF(NOTA[[#This Row],[ID]]="","",COUNTIF(NOTA[ID_H],NOTA[[#This Row],[ID_H]]))</f>
        <v>1</v>
      </c>
      <c r="AK21" s="38">
        <f>IF(NOTA[[#This Row],[TGL.NOTA]]="",IF(NOTA[[#This Row],[SUPPLIER_H]]="","",AK94),MONTH(NOTA[[#This Row],[TGL.NOTA]]))</f>
        <v>1</v>
      </c>
      <c r="AL21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M21" s="38" t="str">
        <f>IF(NOTA[C]="",NOTA[[#This Row],[CONCAT1]]&amp;NOTA[[#This Row],[HARGA SATUAN]],NOTA[[#This Row],[CONCAT1]]&amp;NOTA[[#This Row],[HARGA/ CTN_H]]&amp;NOTA[[#This Row],[DISC 1]]&amp;NOTA[[#This Row],[DISC 2]])</f>
        <v>entercboardkayu456000</v>
      </c>
      <c r="AN21" s="184">
        <f>IF(NOTA[[#This Row],[CONCAT1]]="","",MATCH(NOTA[[#This Row],[CONCAT1]],[1]!db[NB NOTA_C],0)+1)</f>
        <v>662</v>
      </c>
    </row>
    <row r="22" spans="1:40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Row],[CEK_EXP]]&lt;D21,"err","")</f>
        <v/>
      </c>
      <c r="D22" s="26">
        <f>IF(NOTA[[#This Row],[TANGGAL]]="",D21,NOTA[[#This Row],[TANGGAL]])</f>
        <v>44930</v>
      </c>
      <c r="E22" s="26" t="str">
        <f ca="1">IF(NOTA[[#This Row],[NAMA BARANG]]="","",INDEX(NOTA[ID],MATCH(,INDIRECT(ADDRESS(ROW(NOTA[ID]),COLUMN(NOTA[ID]))&amp;":"&amp;ADDRESS(ROW(),COLUMN(NOTA[ID]))),-1)))</f>
        <v/>
      </c>
      <c r="F22" s="180"/>
      <c r="G22" s="26"/>
      <c r="H22" s="26"/>
      <c r="I22" s="31"/>
      <c r="J22" s="26"/>
      <c r="K22" s="51"/>
      <c r="L22" s="26"/>
      <c r="M22" s="26"/>
      <c r="N22" s="39"/>
      <c r="O22" s="26"/>
      <c r="P22" s="26"/>
      <c r="Q22" s="49"/>
      <c r="R22" s="52"/>
      <c r="S22" s="39"/>
      <c r="T22" s="53"/>
      <c r="U22" s="53"/>
      <c r="V22" s="54"/>
      <c r="W22" s="37"/>
      <c r="X22" s="54" t="str">
        <f>IF(NOTA[[#This Row],[HARGA/ CTN]]="",NOTA[[#This Row],[JUMLAH_H]],NOTA[[#This Row],[HARGA/ CTN]]*IF(NOTA[[#This Row],[C]]="",0,NOTA[[#This Row],[C]]))</f>
        <v/>
      </c>
      <c r="Y22" s="54" t="str">
        <f>IF(NOTA[[#This Row],[JUMLAH]]="","",NOTA[[#This Row],[JUMLAH]]*NOTA[[#This Row],[DISC 1]])</f>
        <v/>
      </c>
      <c r="Z22" s="54" t="str">
        <f>IF(NOTA[[#This Row],[JUMLAH]]="","",(NOTA[[#This Row],[JUMLAH]]-NOTA[[#This Row],[DISC 1-]])*NOTA[[#This Row],[DISC 2]])</f>
        <v/>
      </c>
      <c r="AA22" s="54" t="str">
        <f>IF(NOTA[[#This Row],[JUMLAH]]="","",NOTA[[#This Row],[DISC 1-]]+NOTA[[#This Row],[DISC 2-]])</f>
        <v/>
      </c>
      <c r="AB22" s="54" t="str">
        <f>IF(NOTA[[#This Row],[JUMLAH]]="","",NOTA[[#This Row],[JUMLAH]]-NOTA[[#This Row],[DISC]])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" s="54" t="str">
        <f>IF(OR(NOTA[[#This Row],[QTY]]="",NOTA[[#This Row],[HARGA SATUAN]]="",),"",NOTA[[#This Row],[QTY]]*NOTA[[#This Row],[HARGA SATUAN]])</f>
        <v/>
      </c>
      <c r="AG22" s="51" t="str">
        <f ca="1">IF(NOTA[ID_H]="","",INDEX(NOTA[TANGGAL],MATCH(,INDIRECT(ADDRESS(ROW(NOTA[TANGGAL]),COLUMN(NOTA[TANGGAL]))&amp;":"&amp;ADDRESS(ROW(),COLUMN(NOTA[TANGGAL]))),-1)))</f>
        <v/>
      </c>
      <c r="AH22" s="65" t="str">
        <f ca="1">IF(NOTA[[#This Row],[NAMA BARANG]]="","",INDEX(NOTA[SUPPLIER],MATCH(,INDIRECT(ADDRESS(ROW(NOTA[ID]),COLUMN(NOTA[ID]))&amp;":"&amp;ADDRESS(ROW(),COLUMN(NOTA[ID]))),-1)))</f>
        <v/>
      </c>
      <c r="AI22" s="65" t="str">
        <f ca="1">IF(NOTA[[#This Row],[ID_H]]="","",IF(NOTA[[#This Row],[FAKTUR]]="",INDIRECT(ADDRESS(ROW()-1,COLUMN())),NOTA[[#This Row],[FAKTUR]]))</f>
        <v/>
      </c>
      <c r="AJ22" s="38" t="str">
        <f ca="1">IF(NOTA[[#This Row],[ID]]="","",COUNTIF(NOTA[ID_H],NOTA[[#This Row],[ID_H]]))</f>
        <v/>
      </c>
      <c r="AK22" s="38" t="str">
        <f ca="1">IF(NOTA[[#This Row],[TGL.NOTA]]="",IF(NOTA[[#This Row],[SUPPLIER_H]]="","",AK21),MONTH(NOTA[[#This Row],[TGL.NOTA]]))</f>
        <v/>
      </c>
      <c r="AL22" s="38" t="str">
        <f>LOWER(SUBSTITUTE(SUBSTITUTE(SUBSTITUTE(SUBSTITUTE(SUBSTITUTE(SUBSTITUTE(SUBSTITUTE(SUBSTITUTE(SUBSTITUTE(NOTA[NAMA BARANG]," ",),".",""),"-",""),"(",""),")",""),",",""),"/",""),"""",""),"+",""))</f>
        <v/>
      </c>
      <c r="AM22" s="38" t="str">
        <f>IF(NOTA[C]="",NOTA[[#This Row],[CONCAT1]]&amp;NOTA[[#This Row],[HARGA SATUAN]],NOTA[[#This Row],[CONCAT1]]&amp;NOTA[[#This Row],[HARGA/ CTN_H]]&amp;NOTA[[#This Row],[DISC 1]]&amp;NOTA[[#This Row],[DISC 2]])</f>
        <v/>
      </c>
      <c r="AN22" s="184" t="str">
        <f>IF(NOTA[[#This Row],[CONCAT1]]="","",MATCH(NOTA[[#This Row],[CONCAT1]],[1]!db[NB NOTA_C],0)+1)</f>
        <v/>
      </c>
    </row>
    <row r="23" spans="1:40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ETJ_0401_423-3</v>
      </c>
      <c r="C23" s="26" t="str">
        <f>IF(NOTA[[#This Row],[CEK_EXP]]&lt;D22,"err","")</f>
        <v/>
      </c>
      <c r="D23" s="26">
        <f>IF(NOTA[[#This Row],[TANGGAL]]="",D22,NOTA[[#This Row],[TANGGAL]])</f>
        <v>44930</v>
      </c>
      <c r="E23" s="26">
        <f ca="1">IF(NOTA[[#This Row],[NAMA BARANG]]="","",INDEX(NOTA[ID],MATCH(,INDIRECT(ADDRESS(ROW(NOTA[ID]),COLUMN(NOTA[ID]))&amp;":"&amp;ADDRESS(ROW(),COLUMN(NOTA[ID]))),-1)))</f>
        <v>7</v>
      </c>
      <c r="F23" s="180"/>
      <c r="G23" s="26" t="s">
        <v>144</v>
      </c>
      <c r="H23" s="26" t="s">
        <v>87</v>
      </c>
      <c r="I23" s="31" t="s">
        <v>195</v>
      </c>
      <c r="J23" s="26"/>
      <c r="K23" s="51">
        <v>44930</v>
      </c>
      <c r="L23" s="26"/>
      <c r="M23" s="26" t="s">
        <v>250</v>
      </c>
      <c r="N23" s="39">
        <v>2</v>
      </c>
      <c r="O23" s="26">
        <v>200</v>
      </c>
      <c r="P23" s="26" t="s">
        <v>95</v>
      </c>
      <c r="Q23" s="49">
        <v>17500</v>
      </c>
      <c r="R23" s="52"/>
      <c r="S23" s="39" t="s">
        <v>122</v>
      </c>
      <c r="T23" s="53"/>
      <c r="U23" s="53"/>
      <c r="V23" s="54"/>
      <c r="W23" s="37"/>
      <c r="X23" s="54">
        <f>IF(NOTA[[#This Row],[HARGA/ CTN]]="",NOTA[[#This Row],[JUMLAH_H]],NOTA[[#This Row],[HARGA/ CTN]]*IF(NOTA[[#This Row],[C]]="",0,NOTA[[#This Row],[C]]))</f>
        <v>3500000</v>
      </c>
      <c r="Y23" s="54">
        <f>IF(NOTA[[#This Row],[JUMLAH]]="","",NOTA[[#This Row],[JUMLAH]]*NOTA[[#This Row],[DISC 1]])</f>
        <v>0</v>
      </c>
      <c r="Z23" s="54">
        <f>IF(NOTA[[#This Row],[JUMLAH]]="","",(NOTA[[#This Row],[JUMLAH]]-NOTA[[#This Row],[DISC 1-]])*NOTA[[#This Row],[DISC 2]])</f>
        <v>0</v>
      </c>
      <c r="AA23" s="54">
        <f>IF(NOTA[[#This Row],[JUMLAH]]="","",NOTA[[#This Row],[DISC 1-]]+NOTA[[#This Row],[DISC 2-]])</f>
        <v>0</v>
      </c>
      <c r="AB23" s="54">
        <f>IF(NOTA[[#This Row],[JUMLAH]]="","",NOTA[[#This Row],[JUMLAH]]-NOTA[[#This Row],[DISC]])</f>
        <v>3500000</v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3" s="54">
        <f>IF(OR(NOTA[[#This Row],[QTY]]="",NOTA[[#This Row],[HARGA SATUAN]]="",),"",NOTA[[#This Row],[QTY]]*NOTA[[#This Row],[HARGA SATUAN]])</f>
        <v>3500000</v>
      </c>
      <c r="AG23" s="51">
        <f ca="1">IF(NOTA[ID_H]="","",INDEX(NOTA[TANGGAL],MATCH(,INDIRECT(ADDRESS(ROW(NOTA[TANGGAL]),COLUMN(NOTA[TANGGAL]))&amp;":"&amp;ADDRESS(ROW(),COLUMN(NOTA[TANGGAL]))),-1)))</f>
        <v>44930</v>
      </c>
      <c r="AH23" s="65" t="str">
        <f ca="1">IF(NOTA[[#This Row],[NAMA BARANG]]="","",INDEX(NOTA[SUPPLIER],MATCH(,INDIRECT(ADDRESS(ROW(NOTA[ID]),COLUMN(NOTA[ID]))&amp;":"&amp;ADDRESS(ROW(),COLUMN(NOTA[ID]))),-1)))</f>
        <v>ETJ</v>
      </c>
      <c r="AI23" s="65" t="str">
        <f ca="1">IF(NOTA[[#This Row],[ID_H]]="","",IF(NOTA[[#This Row],[FAKTUR]]="",INDIRECT(ADDRESS(ROW()-1,COLUMN())),NOTA[[#This Row],[FAKTUR]]))</f>
        <v>UNTANA</v>
      </c>
      <c r="AJ23" s="38">
        <f ca="1">IF(NOTA[[#This Row],[ID]]="","",COUNTIF(NOTA[ID_H],NOTA[[#This Row],[ID_H]]))</f>
        <v>3</v>
      </c>
      <c r="AK23" s="38">
        <f>IF(NOTA[[#This Row],[TGL.NOTA]]="",IF(NOTA[[#This Row],[SUPPLIER_H]]="","",AK22),MONTH(NOTA[[#This Row],[TGL.NOTA]]))</f>
        <v>1</v>
      </c>
      <c r="AL23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M23" s="38" t="str">
        <f>IF(NOTA[C]="",NOTA[[#This Row],[CONCAT1]]&amp;NOTA[[#This Row],[HARGA SATUAN]],NOTA[[#This Row],[CONCAT1]]&amp;NOTA[[#This Row],[HARGA/ CTN_H]]&amp;NOTA[[#This Row],[DISC 1]]&amp;NOTA[[#This Row],[DISC 2]])</f>
        <v>kojikokabsendmrh1750000</v>
      </c>
      <c r="AN23" s="184">
        <f>IF(NOTA[[#This Row],[CONCAT1]]="","",MATCH(NOTA[[#This Row],[CONCAT1]],[1]!db[NB NOTA_C],0)+1)</f>
        <v>1333</v>
      </c>
    </row>
    <row r="24" spans="1:40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Row],[CEK_EXP]]&lt;D23,"err","")</f>
        <v/>
      </c>
      <c r="D24" s="29">
        <f>IF(NOTA[[#This Row],[TANGGAL]]="",D23,NOTA[[#This Row],[TANGGAL]])</f>
        <v>44930</v>
      </c>
      <c r="E24" s="29">
        <f ca="1">IF(NOTA[[#This Row],[NAMA BARANG]]="","",INDEX(NOTA[ID],MATCH(,INDIRECT(ADDRESS(ROW(NOTA[ID]),COLUMN(NOTA[ID]))&amp;":"&amp;ADDRESS(ROW(),COLUMN(NOTA[ID]))),-1)))</f>
        <v>7</v>
      </c>
      <c r="F24" s="181"/>
      <c r="G24" s="26"/>
      <c r="H24" s="26"/>
      <c r="I24" s="31"/>
      <c r="J24" s="32"/>
      <c r="K24" s="33"/>
      <c r="L24" s="32"/>
      <c r="M24" s="26" t="s">
        <v>196</v>
      </c>
      <c r="N24" s="34">
        <v>2</v>
      </c>
      <c r="O24" s="26">
        <v>32</v>
      </c>
      <c r="P24" s="26" t="s">
        <v>90</v>
      </c>
      <c r="Q24" s="28">
        <v>55000</v>
      </c>
      <c r="R24" s="46"/>
      <c r="S24" s="39" t="s">
        <v>197</v>
      </c>
      <c r="T24" s="35"/>
      <c r="U24" s="35"/>
      <c r="V24" s="36"/>
      <c r="W24" s="37"/>
      <c r="X24" s="36">
        <f>IF(NOTA[[#This Row],[HARGA/ CTN]]="",NOTA[[#This Row],[JUMLAH_H]],NOTA[[#This Row],[HARGA/ CTN]]*IF(NOTA[[#This Row],[C]]="",0,NOTA[[#This Row],[C]]))</f>
        <v>1760000</v>
      </c>
      <c r="Y24" s="36">
        <f>IF(NOTA[[#This Row],[JUMLAH]]="","",NOTA[[#This Row],[JUMLAH]]*NOTA[[#This Row],[DISC 1]])</f>
        <v>0</v>
      </c>
      <c r="Z24" s="36">
        <f>IF(NOTA[[#This Row],[JUMLAH]]="","",(NOTA[[#This Row],[JUMLAH]]-NOTA[[#This Row],[DISC 1-]])*NOTA[[#This Row],[DISC 2]])</f>
        <v>0</v>
      </c>
      <c r="AA24" s="36">
        <f>IF(NOTA[[#This Row],[JUMLAH]]="","",NOTA[[#This Row],[DISC 1-]]+NOTA[[#This Row],[DISC 2-]])</f>
        <v>0</v>
      </c>
      <c r="AB24" s="36">
        <f>IF(NOTA[[#This Row],[JUMLAH]]="","",NOTA[[#This Row],[JUMLAH]]-NOTA[[#This Row],[DISC]])</f>
        <v>1760000</v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8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24" s="36">
        <f>IF(OR(NOTA[[#This Row],[QTY]]="",NOTA[[#This Row],[HARGA SATUAN]]="",),"",NOTA[[#This Row],[QTY]]*NOTA[[#This Row],[HARGA SATUAN]])</f>
        <v>1760000</v>
      </c>
      <c r="AG24" s="33">
        <f ca="1">IF(NOTA[ID_H]="","",INDEX(NOTA[TANGGAL],MATCH(,INDIRECT(ADDRESS(ROW(NOTA[TANGGAL]),COLUMN(NOTA[TANGGAL]))&amp;":"&amp;ADDRESS(ROW(),COLUMN(NOTA[TANGGAL]))),-1)))</f>
        <v>44930</v>
      </c>
      <c r="AH24" s="28" t="str">
        <f ca="1">IF(NOTA[[#This Row],[NAMA BARANG]]="","",INDEX(NOTA[SUPPLIER],MATCH(,INDIRECT(ADDRESS(ROW(NOTA[ID]),COLUMN(NOTA[ID]))&amp;":"&amp;ADDRESS(ROW(),COLUMN(NOTA[ID]))),-1)))</f>
        <v>ETJ</v>
      </c>
      <c r="AI24" s="28" t="str">
        <f ca="1">IF(NOTA[[#This Row],[ID_H]]="","",IF(NOTA[[#This Row],[FAKTUR]]="",INDIRECT(ADDRESS(ROW()-1,COLUMN())),NOTA[[#This Row],[FAKTUR]]))</f>
        <v>UNTANA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Row],[SUPPLIER_H]]="","",AK59),MONTH(NOTA[[#This Row],[TGL.NOTA]]))</f>
        <v>1</v>
      </c>
      <c r="AL24" s="38" t="str">
        <f>LOWER(SUBSTITUTE(SUBSTITUTE(SUBSTITUTE(SUBSTITUTE(SUBSTITUTE(SUBSTITUTE(SUBSTITUTE(SUBSTITUTE(SUBSTITUTE(NOTA[NAMA BARANG]," ",),".",""),"-",""),"(",""),")",""),",",""),"/",""),"""",""),"+",""))</f>
        <v>enterbtamukembang</v>
      </c>
      <c r="AM24" s="38" t="str">
        <f>IF(NOTA[C]="",NOTA[[#This Row],[CONCAT1]]&amp;NOTA[[#This Row],[HARGA SATUAN]],NOTA[[#This Row],[CONCAT1]]&amp;NOTA[[#This Row],[HARGA/ CTN_H]]&amp;NOTA[[#This Row],[DISC 1]]&amp;NOTA[[#This Row],[DISC 2]])</f>
        <v>enterbtamukembang880000</v>
      </c>
      <c r="AN24" s="184">
        <f>IF(NOTA[[#This Row],[CONCAT1]]="","",MATCH(NOTA[[#This Row],[CONCAT1]],[1]!db[NB NOTA_C],0)+1)</f>
        <v>654</v>
      </c>
    </row>
    <row r="25" spans="1:40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Row],[CEK_EXP]]&lt;D24,"err","")</f>
        <v/>
      </c>
      <c r="D25" s="29">
        <f>IF(NOTA[[#This Row],[TANGGAL]]="",D24,NOTA[[#This Row],[TANGGAL]])</f>
        <v>44930</v>
      </c>
      <c r="E25" s="29">
        <f ca="1">IF(NOTA[[#This Row],[NAMA BARANG]]="","",INDEX(NOTA[ID],MATCH(,INDIRECT(ADDRESS(ROW(NOTA[ID]),COLUMN(NOTA[ID]))&amp;":"&amp;ADDRESS(ROW(),COLUMN(NOTA[ID]))),-1)))</f>
        <v>7</v>
      </c>
      <c r="F25" s="181"/>
      <c r="G25" s="26"/>
      <c r="H25" s="26"/>
      <c r="I25" s="31"/>
      <c r="J25" s="32"/>
      <c r="K25" s="33"/>
      <c r="L25" s="32"/>
      <c r="M25" s="26" t="s">
        <v>198</v>
      </c>
      <c r="N25" s="34">
        <v>2</v>
      </c>
      <c r="O25" s="32">
        <v>20</v>
      </c>
      <c r="P25" s="26" t="s">
        <v>90</v>
      </c>
      <c r="Q25" s="28">
        <v>55000</v>
      </c>
      <c r="R25" s="46"/>
      <c r="S25" s="39" t="s">
        <v>176</v>
      </c>
      <c r="T25" s="35"/>
      <c r="U25" s="35"/>
      <c r="V25" s="36"/>
      <c r="W25" s="37"/>
      <c r="X25" s="36">
        <f>IF(NOTA[[#This Row],[HARGA/ CTN]]="",NOTA[[#This Row],[JUMLAH_H]],NOTA[[#This Row],[HARGA/ CTN]]*IF(NOTA[[#This Row],[C]]="",0,NOTA[[#This Row],[C]]))</f>
        <v>1100000</v>
      </c>
      <c r="Y25" s="36">
        <f>IF(NOTA[[#This Row],[JUMLAH]]="","",NOTA[[#This Row],[JUMLAH]]*NOTA[[#This Row],[DISC 1]])</f>
        <v>0</v>
      </c>
      <c r="Z25" s="36">
        <f>IF(NOTA[[#This Row],[JUMLAH]]="","",(NOTA[[#This Row],[JUMLAH]]-NOTA[[#This Row],[DISC 1-]])*NOTA[[#This Row],[DISC 2]])</f>
        <v>0</v>
      </c>
      <c r="AA25" s="36">
        <f>IF(NOTA[[#This Row],[JUMLAH]]="","",NOTA[[#This Row],[DISC 1-]]+NOTA[[#This Row],[DISC 2-]])</f>
        <v>0</v>
      </c>
      <c r="AB25" s="36">
        <f>IF(NOTA[[#This Row],[JUMLAH]]="","",NOTA[[#This Row],[JUMLAH]]-NOTA[[#This Row],[DISC]])</f>
        <v>1100000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E25" s="28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F25" s="36">
        <f>IF(OR(NOTA[[#This Row],[QTY]]="",NOTA[[#This Row],[HARGA SATUAN]]="",),"",NOTA[[#This Row],[QTY]]*NOTA[[#This Row],[HARGA SATUAN]])</f>
        <v>1100000</v>
      </c>
      <c r="AG25" s="33">
        <f ca="1">IF(NOTA[ID_H]="","",INDEX(NOTA[TANGGAL],MATCH(,INDIRECT(ADDRESS(ROW(NOTA[TANGGAL]),COLUMN(NOTA[TANGGAL]))&amp;":"&amp;ADDRESS(ROW(),COLUMN(NOTA[TANGGAL]))),-1)))</f>
        <v>44930</v>
      </c>
      <c r="AH25" s="28" t="str">
        <f ca="1">IF(NOTA[[#This Row],[NAMA BARANG]]="","",INDEX(NOTA[SUPPLIER],MATCH(,INDIRECT(ADDRESS(ROW(NOTA[ID]),COLUMN(NOTA[ID]))&amp;":"&amp;ADDRESS(ROW(),COLUMN(NOTA[ID]))),-1)))</f>
        <v>ETJ</v>
      </c>
      <c r="AI25" s="28" t="str">
        <f ca="1">IF(NOTA[[#This Row],[ID_H]]="","",IF(NOTA[[#This Row],[FAKTUR]]="",INDIRECT(ADDRESS(ROW()-1,COLUMN())),NOTA[[#This Row],[FAKTUR]]))</f>
        <v>UNTANA</v>
      </c>
      <c r="AJ25" s="38" t="str">
        <f ca="1">IF(NOTA[[#This Row],[ID]]="","",COUNTIF(NOTA[ID_H],NOTA[[#This Row],[ID_H]]))</f>
        <v/>
      </c>
      <c r="AK25" s="38">
        <f ca="1">IF(NOTA[[#This Row],[TGL.NOTA]]="",IF(NOTA[[#This Row],[SUPPLIER_H]]="","",AK24),MONTH(NOTA[[#This Row],[TGL.NOTA]]))</f>
        <v>1</v>
      </c>
      <c r="AL25" s="38" t="str">
        <f>LOWER(SUBSTITUTE(SUBSTITUTE(SUBSTITUTE(SUBSTITUTE(SUBSTITUTE(SUBSTITUTE(SUBSTITUTE(SUBSTITUTE(SUBSTITUTE(NOTA[NAMA BARANG]," ",),".",""),"-",""),"(",""),")",""),",",""),"/",""),"""",""),"+",""))</f>
        <v>enterbtamubatik</v>
      </c>
      <c r="AM25" s="38" t="str">
        <f>IF(NOTA[C]="",NOTA[[#This Row],[CONCAT1]]&amp;NOTA[[#This Row],[HARGA SATUAN]],NOTA[[#This Row],[CONCAT1]]&amp;NOTA[[#This Row],[HARGA/ CTN_H]]&amp;NOTA[[#This Row],[DISC 1]]&amp;NOTA[[#This Row],[DISC 2]])</f>
        <v>enterbtamubatik550000</v>
      </c>
      <c r="AN25" s="184">
        <f>IF(NOTA[[#This Row],[CONCAT1]]="","",MATCH(NOTA[[#This Row],[CONCAT1]],[1]!db[NB NOTA_C],0)+1)</f>
        <v>653</v>
      </c>
    </row>
    <row r="26" spans="1:40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Row],[CEK_EXP]]&lt;D25,"err","")</f>
        <v/>
      </c>
      <c r="D26" s="29">
        <f>IF(NOTA[[#This Row],[TANGGAL]]="",D25,NOTA[[#This Row],[TANGGAL]])</f>
        <v>44930</v>
      </c>
      <c r="E26" s="29" t="str">
        <f ca="1">IF(NOTA[[#This Row],[NAMA BARANG]]="","",INDEX(NOTA[ID],MATCH(,INDIRECT(ADDRESS(ROW(NOTA[ID]),COLUMN(NOTA[ID]))&amp;":"&amp;ADDRESS(ROW(),COLUMN(NOTA[ID]))),-1)))</f>
        <v/>
      </c>
      <c r="F26" s="30"/>
      <c r="G26" s="26"/>
      <c r="H26" s="26"/>
      <c r="I26" s="31"/>
      <c r="J26" s="32"/>
      <c r="K26" s="33"/>
      <c r="L26" s="32"/>
      <c r="M26" s="26"/>
      <c r="N26" s="34"/>
      <c r="O26" s="32"/>
      <c r="P26" s="26"/>
      <c r="Q26" s="28"/>
      <c r="R26" s="46"/>
      <c r="S26" s="34"/>
      <c r="T26" s="35"/>
      <c r="U26" s="35"/>
      <c r="V26" s="36"/>
      <c r="W26" s="37"/>
      <c r="X26" s="36" t="str">
        <f>IF(NOTA[[#This Row],[HARGA/ CTN]]="",NOTA[[#This Row],[JUMLAH_H]],NOTA[[#This Row],[HARGA/ CTN]]*IF(NOTA[[#This Row],[C]]="",0,NOTA[[#This Row],[C]]))</f>
        <v/>
      </c>
      <c r="Y26" s="36" t="str">
        <f>IF(NOTA[[#This Row],[JUMLAH]]="","",NOTA[[#This Row],[JUMLAH]]*NOTA[[#This Row],[DISC 1]])</f>
        <v/>
      </c>
      <c r="Z26" s="36" t="str">
        <f>IF(NOTA[[#This Row],[JUMLAH]]="","",(NOTA[[#This Row],[JUMLAH]]-NOTA[[#This Row],[DISC 1-]])*NOTA[[#This Row],[DISC 2]])</f>
        <v/>
      </c>
      <c r="AA26" s="36" t="str">
        <f>IF(NOTA[[#This Row],[JUMLAH]]="","",NOTA[[#This Row],[DISC 1-]]+NOTA[[#This Row],[DISC 2-]])</f>
        <v/>
      </c>
      <c r="AB26" s="36" t="str">
        <f>IF(NOTA[[#This Row],[JUMLAH]]="","",NOTA[[#This Row],[JUMLAH]]-NOTA[[#This Row],[DISC]])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" s="36" t="str">
        <f>IF(OR(NOTA[[#This Row],[QTY]]="",NOTA[[#This Row],[HARGA SATUAN]]="",),"",NOTA[[#This Row],[QTY]]*NOTA[[#This Row],[HARGA SATUAN]])</f>
        <v/>
      </c>
      <c r="AG26" s="33" t="str">
        <f ca="1">IF(NOTA[ID_H]="","",INDEX(NOTA[TANGGAL],MATCH(,INDIRECT(ADDRESS(ROW(NOTA[TANGGAL]),COLUMN(NOTA[TANGGAL]))&amp;":"&amp;ADDRESS(ROW(),COLUMN(NOTA[TANGGAL]))),-1)))</f>
        <v/>
      </c>
      <c r="AH26" s="28" t="str">
        <f ca="1">IF(NOTA[[#This Row],[NAMA BARANG]]="","",INDEX(NOTA[SUPPLIER],MATCH(,INDIRECT(ADDRESS(ROW(NOTA[ID]),COLUMN(NOTA[ID]))&amp;":"&amp;ADDRESS(ROW(),COLUMN(NOTA[ID]))),-1)))</f>
        <v/>
      </c>
      <c r="AI26" s="28" t="str">
        <f ca="1">IF(NOTA[[#This Row],[ID_H]]="","",IF(NOTA[[#This Row],[FAKTUR]]="",INDIRECT(ADDRESS(ROW()-1,COLUMN())),NOTA[[#This Row],[FAKTUR]]))</f>
        <v/>
      </c>
      <c r="AJ26" s="38" t="str">
        <f ca="1">IF(NOTA[[#This Row],[ID]]="","",COUNTIF(NOTA[ID_H],NOTA[[#This Row],[ID_H]]))</f>
        <v/>
      </c>
      <c r="AK26" s="38" t="str">
        <f ca="1">IF(NOTA[[#This Row],[TGL.NOTA]]="",IF(NOTA[[#This Row],[SUPPLIER_H]]="","",AK25),MONTH(NOTA[[#This Row],[TGL.NOTA]]))</f>
        <v/>
      </c>
      <c r="AL26" s="38" t="str">
        <f>LOWER(SUBSTITUTE(SUBSTITUTE(SUBSTITUTE(SUBSTITUTE(SUBSTITUTE(SUBSTITUTE(SUBSTITUTE(SUBSTITUTE(SUBSTITUTE(NOTA[NAMA BARANG]," ",),".",""),"-",""),"(",""),")",""),",",""),"/",""),"""",""),"+",""))</f>
        <v/>
      </c>
      <c r="AM26" s="38" t="str">
        <f>IF(NOTA[C]="",NOTA[[#This Row],[CONCAT1]]&amp;NOTA[[#This Row],[HARGA SATUAN]],NOTA[[#This Row],[CONCAT1]]&amp;NOTA[[#This Row],[HARGA/ CTN_H]]&amp;NOTA[[#This Row],[DISC 1]]&amp;NOTA[[#This Row],[DISC 2]])</f>
        <v/>
      </c>
      <c r="AN26" s="184" t="str">
        <f>IF(NOTA[[#This Row],[CONCAT1]]="","",MATCH(NOTA[[#This Row],[CONCAT1]],[1]!db[NB NOTA_C],0)+1)</f>
        <v/>
      </c>
    </row>
    <row r="27" spans="1:40" ht="20.100000000000001" customHeight="1" x14ac:dyDescent="0.25">
      <c r="A27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2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JAY_0401_702-16</v>
      </c>
      <c r="C27" s="29" t="str">
        <f>IF(NOTA[[#This Row],[CEK_EXP]]&lt;D26,"err","")</f>
        <v/>
      </c>
      <c r="D27" s="29">
        <f>IF(NOTA[[#This Row],[TANGGAL]]="",D26,NOTA[[#This Row],[TANGGAL]])</f>
        <v>44930</v>
      </c>
      <c r="E27" s="29">
        <f ca="1">IF(NOTA[[#This Row],[NAMA BARANG]]="","",INDEX(NOTA[ID],MATCH(,INDIRECT(ADDRESS(ROW(NOTA[ID]),COLUMN(NOTA[ID]))&amp;":"&amp;ADDRESS(ROW(),COLUMN(NOTA[ID]))),-1)))</f>
        <v>8</v>
      </c>
      <c r="F27" s="30"/>
      <c r="G27" s="26" t="s">
        <v>199</v>
      </c>
      <c r="H27" s="26" t="s">
        <v>87</v>
      </c>
      <c r="I27" s="31" t="s">
        <v>200</v>
      </c>
      <c r="J27" s="32"/>
      <c r="K27" s="33">
        <v>44930</v>
      </c>
      <c r="L27" s="32"/>
      <c r="M27" s="26" t="s">
        <v>201</v>
      </c>
      <c r="N27" s="34"/>
      <c r="O27" s="32">
        <v>60</v>
      </c>
      <c r="P27" s="26" t="s">
        <v>104</v>
      </c>
      <c r="Q27" s="28">
        <v>13000</v>
      </c>
      <c r="R27" s="46"/>
      <c r="S27" s="39" t="s">
        <v>130</v>
      </c>
      <c r="T27" s="35"/>
      <c r="U27" s="35"/>
      <c r="V27" s="36"/>
      <c r="W27" s="37" t="s">
        <v>210</v>
      </c>
      <c r="X27" s="36">
        <f>IF(NOTA[[#This Row],[HARGA/ CTN]]="",NOTA[[#This Row],[JUMLAH_H]],NOTA[[#This Row],[HARGA/ CTN]]*IF(NOTA[[#This Row],[C]]="",0,NOTA[[#This Row],[C]]))</f>
        <v>780000</v>
      </c>
      <c r="Y27" s="36">
        <f>IF(NOTA[[#This Row],[JUMLAH]]="","",NOTA[[#This Row],[JUMLAH]]*NOTA[[#This Row],[DISC 1]])</f>
        <v>0</v>
      </c>
      <c r="Z27" s="36">
        <f>IF(NOTA[[#This Row],[JUMLAH]]="","",(NOTA[[#This Row],[JUMLAH]]-NOTA[[#This Row],[DISC 1-]])*NOTA[[#This Row],[DISC 2]])</f>
        <v>0</v>
      </c>
      <c r="AA27" s="36">
        <f>IF(NOTA[[#This Row],[JUMLAH]]="","",NOTA[[#This Row],[DISC 1-]]+NOTA[[#This Row],[DISC 2-]])</f>
        <v>0</v>
      </c>
      <c r="AB27" s="36">
        <f>IF(NOTA[[#This Row],[JUMLAH]]="","",NOTA[[#This Row],[JUMLAH]]-NOTA[[#This Row],[DISC]])</f>
        <v>780000</v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27" s="36">
        <f>IF(OR(NOTA[[#This Row],[QTY]]="",NOTA[[#This Row],[HARGA SATUAN]]="",),"",NOTA[[#This Row],[QTY]]*NOTA[[#This Row],[HARGA SATUAN]])</f>
        <v>780000</v>
      </c>
      <c r="AG27" s="33">
        <f ca="1">IF(NOTA[ID_H]="","",INDEX(NOTA[TANGGAL],MATCH(,INDIRECT(ADDRESS(ROW(NOTA[TANGGAL]),COLUMN(NOTA[TANGGAL]))&amp;":"&amp;ADDRESS(ROW(),COLUMN(NOTA[TANGGAL]))),-1)))</f>
        <v>44930</v>
      </c>
      <c r="AH27" s="28" t="str">
        <f ca="1">IF(NOTA[[#This Row],[NAMA BARANG]]="","",INDEX(NOTA[SUPPLIER],MATCH(,INDIRECT(ADDRESS(ROW(NOTA[ID]),COLUMN(NOTA[ID]))&amp;":"&amp;ADDRESS(ROW(),COLUMN(NOTA[ID]))),-1)))</f>
        <v>JAYA MAKMUR</v>
      </c>
      <c r="AI27" s="28" t="str">
        <f ca="1">IF(NOTA[[#This Row],[ID_H]]="","",IF(NOTA[[#This Row],[FAKTUR]]="",INDIRECT(ADDRESS(ROW()-1,COLUMN())),NOTA[[#This Row],[FAKTUR]]))</f>
        <v>UNTANA</v>
      </c>
      <c r="AJ27" s="38">
        <f ca="1">IF(NOTA[[#This Row],[ID]]="","",COUNTIF(NOTA[ID_H],NOTA[[#This Row],[ID_H]]))</f>
        <v>16</v>
      </c>
      <c r="AK27" s="38">
        <f>IF(NOTA[[#This Row],[TGL.NOTA]]="",IF(NOTA[[#This Row],[SUPPLIER_H]]="","",AK26),MONTH(NOTA[[#This Row],[TGL.NOTA]]))</f>
        <v>1</v>
      </c>
      <c r="AL27" s="38" t="str">
        <f>LOWER(SUBSTITUTE(SUBSTITUTE(SUBSTITUTE(SUBSTITUTE(SUBSTITUTE(SUBSTITUTE(SUBSTITUTE(SUBSTITUTE(SUBSTITUTE(NOTA[NAMA BARANG]," ",),".",""),"-",""),"(",""),")",""),",",""),"/",""),"""",""),"+",""))</f>
        <v>tapedispenser801biru</v>
      </c>
      <c r="AM27" s="38" t="str">
        <f>IF(NOTA[C]="",NOTA[[#This Row],[CONCAT1]]&amp;NOTA[[#This Row],[HARGA SATUAN]],NOTA[[#This Row],[CONCAT1]]&amp;NOTA[[#This Row],[HARGA/ CTN_H]]&amp;NOTA[[#This Row],[DISC 1]]&amp;NOTA[[#This Row],[DISC 2]])</f>
        <v>tapedispenser801biru13000</v>
      </c>
      <c r="AN27" s="184">
        <f>IF(NOTA[[#This Row],[CONCAT1]]="","",MATCH(NOTA[[#This Row],[CONCAT1]],[1]!db[NB NOTA_C],0)+1)</f>
        <v>2031</v>
      </c>
    </row>
    <row r="28" spans="1:40" ht="20.100000000000001" customHeight="1" x14ac:dyDescent="0.25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9" t="str">
        <f>IF(NOTA[[#This Row],[CEK_EXP]]&lt;D27,"err","")</f>
        <v/>
      </c>
      <c r="D28" s="29">
        <f>IF(NOTA[[#This Row],[TANGGAL]]="",D27,NOTA[[#This Row],[TANGGAL]])</f>
        <v>44930</v>
      </c>
      <c r="E28" s="29">
        <f ca="1">IF(NOTA[[#This Row],[NAMA BARANG]]="","",INDEX(NOTA[ID],MATCH(,INDIRECT(ADDRESS(ROW(NOTA[ID]),COLUMN(NOTA[ID]))&amp;":"&amp;ADDRESS(ROW(),COLUMN(NOTA[ID]))),-1)))</f>
        <v>8</v>
      </c>
      <c r="F28" s="30"/>
      <c r="G28" s="26"/>
      <c r="H28" s="26"/>
      <c r="I28" s="31"/>
      <c r="J28" s="32"/>
      <c r="K28" s="33"/>
      <c r="L28" s="32"/>
      <c r="M28" s="26" t="s">
        <v>202</v>
      </c>
      <c r="N28" s="34"/>
      <c r="O28" s="32">
        <v>60</v>
      </c>
      <c r="P28" s="26" t="s">
        <v>104</v>
      </c>
      <c r="Q28" s="28">
        <v>13000</v>
      </c>
      <c r="R28" s="46"/>
      <c r="S28" s="39" t="s">
        <v>130</v>
      </c>
      <c r="T28" s="35"/>
      <c r="U28" s="35"/>
      <c r="V28" s="36"/>
      <c r="W28" s="37" t="s">
        <v>210</v>
      </c>
      <c r="X28" s="36">
        <f>IF(NOTA[[#This Row],[HARGA/ CTN]]="",NOTA[[#This Row],[JUMLAH_H]],NOTA[[#This Row],[HARGA/ CTN]]*IF(NOTA[[#This Row],[C]]="",0,NOTA[[#This Row],[C]]))</f>
        <v>780000</v>
      </c>
      <c r="Y28" s="36">
        <f>IF(NOTA[[#This Row],[JUMLAH]]="","",NOTA[[#This Row],[JUMLAH]]*NOTA[[#This Row],[DISC 1]])</f>
        <v>0</v>
      </c>
      <c r="Z28" s="36">
        <f>IF(NOTA[[#This Row],[JUMLAH]]="","",(NOTA[[#This Row],[JUMLAH]]-NOTA[[#This Row],[DISC 1-]])*NOTA[[#This Row],[DISC 2]])</f>
        <v>0</v>
      </c>
      <c r="AA28" s="36">
        <f>IF(NOTA[[#This Row],[JUMLAH]]="","",NOTA[[#This Row],[DISC 1-]]+NOTA[[#This Row],[DISC 2-]])</f>
        <v>0</v>
      </c>
      <c r="AB28" s="36">
        <f>IF(NOTA[[#This Row],[JUMLAH]]="","",NOTA[[#This Row],[JUMLAH]]-NOTA[[#This Row],[DISC]])</f>
        <v>780000</v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28" s="36">
        <f>IF(OR(NOTA[[#This Row],[QTY]]="",NOTA[[#This Row],[HARGA SATUAN]]="",),"",NOTA[[#This Row],[QTY]]*NOTA[[#This Row],[HARGA SATUAN]])</f>
        <v>780000</v>
      </c>
      <c r="AG28" s="33">
        <f ca="1">IF(NOTA[ID_H]="","",INDEX(NOTA[TANGGAL],MATCH(,INDIRECT(ADDRESS(ROW(NOTA[TANGGAL]),COLUMN(NOTA[TANGGAL]))&amp;":"&amp;ADDRESS(ROW(),COLUMN(NOTA[TANGGAL]))),-1)))</f>
        <v>44930</v>
      </c>
      <c r="AH28" s="28" t="str">
        <f ca="1">IF(NOTA[[#This Row],[NAMA BARANG]]="","",INDEX(NOTA[SUPPLIER],MATCH(,INDIRECT(ADDRESS(ROW(NOTA[ID]),COLUMN(NOTA[ID]))&amp;":"&amp;ADDRESS(ROW(),COLUMN(NOTA[ID]))),-1)))</f>
        <v>JAYA MAKMUR</v>
      </c>
      <c r="AI28" s="28" t="str">
        <f ca="1">IF(NOTA[[#This Row],[ID_H]]="","",IF(NOTA[[#This Row],[FAKTUR]]="",INDIRECT(ADDRESS(ROW()-1,COLUMN())),NOTA[[#This Row],[FAKTUR]]))</f>
        <v>UNTANA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1</v>
      </c>
      <c r="AL28" s="38" t="str">
        <f>LOWER(SUBSTITUTE(SUBSTITUTE(SUBSTITUTE(SUBSTITUTE(SUBSTITUTE(SUBSTITUTE(SUBSTITUTE(SUBSTITUTE(SUBSTITUTE(NOTA[NAMA BARANG]," ",),".",""),"-",""),"(",""),")",""),",",""),"/",""),"""",""),"+",""))</f>
        <v>tapedispenser801hijau</v>
      </c>
      <c r="AM28" s="38" t="str">
        <f>IF(NOTA[C]="",NOTA[[#This Row],[CONCAT1]]&amp;NOTA[[#This Row],[HARGA SATUAN]],NOTA[[#This Row],[CONCAT1]]&amp;NOTA[[#This Row],[HARGA/ CTN_H]]&amp;NOTA[[#This Row],[DISC 1]]&amp;NOTA[[#This Row],[DISC 2]])</f>
        <v>tapedispenser801hijau13000</v>
      </c>
      <c r="AN28" s="184">
        <f>IF(NOTA[[#This Row],[CONCAT1]]="","",MATCH(NOTA[[#This Row],[CONCAT1]],[1]!db[NB NOTA_C],0)+1)</f>
        <v>2032</v>
      </c>
    </row>
    <row r="29" spans="1:40" ht="20.100000000000001" customHeight="1" x14ac:dyDescent="0.25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9" t="str">
        <f>IF(NOTA[[#This Row],[CEK_EXP]]&lt;D28,"err","")</f>
        <v/>
      </c>
      <c r="D29" s="29">
        <f>IF(NOTA[[#This Row],[TANGGAL]]="",D28,NOTA[[#This Row],[TANGGAL]])</f>
        <v>44930</v>
      </c>
      <c r="E29" s="29">
        <f ca="1">IF(NOTA[[#This Row],[NAMA BARANG]]="","",INDEX(NOTA[ID],MATCH(,INDIRECT(ADDRESS(ROW(NOTA[ID]),COLUMN(NOTA[ID]))&amp;":"&amp;ADDRESS(ROW(),COLUMN(NOTA[ID]))),-1)))</f>
        <v>8</v>
      </c>
      <c r="F29" s="30"/>
      <c r="G29" s="26"/>
      <c r="H29" s="26"/>
      <c r="I29" s="31"/>
      <c r="J29" s="32"/>
      <c r="K29" s="33"/>
      <c r="L29" s="26"/>
      <c r="M29" s="26" t="s">
        <v>203</v>
      </c>
      <c r="N29" s="34"/>
      <c r="O29" s="32">
        <v>60</v>
      </c>
      <c r="P29" s="26" t="s">
        <v>104</v>
      </c>
      <c r="Q29" s="28">
        <v>13000</v>
      </c>
      <c r="R29" s="46"/>
      <c r="S29" s="39" t="s">
        <v>130</v>
      </c>
      <c r="T29" s="35"/>
      <c r="U29" s="35"/>
      <c r="V29" s="36"/>
      <c r="W29" s="37" t="s">
        <v>210</v>
      </c>
      <c r="X29" s="36">
        <f>IF(NOTA[[#This Row],[HARGA/ CTN]]="",NOTA[[#This Row],[JUMLAH_H]],NOTA[[#This Row],[HARGA/ CTN]]*IF(NOTA[[#This Row],[C]]="",0,NOTA[[#This Row],[C]]))</f>
        <v>780000</v>
      </c>
      <c r="Y29" s="36">
        <f>IF(NOTA[[#This Row],[JUMLAH]]="","",NOTA[[#This Row],[JUMLAH]]*NOTA[[#This Row],[DISC 1]])</f>
        <v>0</v>
      </c>
      <c r="Z29" s="36">
        <f>IF(NOTA[[#This Row],[JUMLAH]]="","",(NOTA[[#This Row],[JUMLAH]]-NOTA[[#This Row],[DISC 1-]])*NOTA[[#This Row],[DISC 2]])</f>
        <v>0</v>
      </c>
      <c r="AA29" s="36">
        <f>IF(NOTA[[#This Row],[JUMLAH]]="","",NOTA[[#This Row],[DISC 1-]]+NOTA[[#This Row],[DISC 2-]])</f>
        <v>0</v>
      </c>
      <c r="AB29" s="36">
        <f>IF(NOTA[[#This Row],[JUMLAH]]="","",NOTA[[#This Row],[JUMLAH]]-NOTA[[#This Row],[DISC]])</f>
        <v>780000</v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29" s="36">
        <f>IF(OR(NOTA[[#This Row],[QTY]]="",NOTA[[#This Row],[HARGA SATUAN]]="",),"",NOTA[[#This Row],[QTY]]*NOTA[[#This Row],[HARGA SATUAN]])</f>
        <v>780000</v>
      </c>
      <c r="AG29" s="33">
        <f ca="1">IF(NOTA[ID_H]="","",INDEX(NOTA[TANGGAL],MATCH(,INDIRECT(ADDRESS(ROW(NOTA[TANGGAL]),COLUMN(NOTA[TANGGAL]))&amp;":"&amp;ADDRESS(ROW(),COLUMN(NOTA[TANGGAL]))),-1)))</f>
        <v>44930</v>
      </c>
      <c r="AH29" s="28" t="str">
        <f ca="1">IF(NOTA[[#This Row],[NAMA BARANG]]="","",INDEX(NOTA[SUPPLIER],MATCH(,INDIRECT(ADDRESS(ROW(NOTA[ID]),COLUMN(NOTA[ID]))&amp;":"&amp;ADDRESS(ROW(),COLUMN(NOTA[ID]))),-1)))</f>
        <v>JAYA MAKMUR</v>
      </c>
      <c r="AI29" s="28" t="str">
        <f ca="1">IF(NOTA[[#This Row],[ID_H]]="","",IF(NOTA[[#This Row],[FAKTUR]]="",INDIRECT(ADDRESS(ROW()-1,COLUMN())),NOTA[[#This Row],[FAKTUR]]))</f>
        <v>UNTANA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1</v>
      </c>
      <c r="AL29" s="38" t="str">
        <f>LOWER(SUBSTITUTE(SUBSTITUTE(SUBSTITUTE(SUBSTITUTE(SUBSTITUTE(SUBSTITUTE(SUBSTITUTE(SUBSTITUTE(SUBSTITUTE(NOTA[NAMA BARANG]," ",),".",""),"-",""),"(",""),")",""),",",""),"/",""),"""",""),"+",""))</f>
        <v>tapedispenser801merah</v>
      </c>
      <c r="AM29" s="38" t="str">
        <f>IF(NOTA[C]="",NOTA[[#This Row],[CONCAT1]]&amp;NOTA[[#This Row],[HARGA SATUAN]],NOTA[[#This Row],[CONCAT1]]&amp;NOTA[[#This Row],[HARGA/ CTN_H]]&amp;NOTA[[#This Row],[DISC 1]]&amp;NOTA[[#This Row],[DISC 2]])</f>
        <v>tapedispenser801merah13000</v>
      </c>
      <c r="AN29" s="184">
        <f>IF(NOTA[[#This Row],[CONCAT1]]="","",MATCH(NOTA[[#This Row],[CONCAT1]],[1]!db[NB NOTA_C],0)+1)</f>
        <v>2033</v>
      </c>
    </row>
    <row r="30" spans="1:40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Row],[CEK_EXP]]&lt;D29,"err","")</f>
        <v/>
      </c>
      <c r="D30" s="29">
        <f>IF(NOTA[[#This Row],[TANGGAL]]="",D29,NOTA[[#This Row],[TANGGAL]])</f>
        <v>44930</v>
      </c>
      <c r="E30" s="29">
        <f ca="1">IF(NOTA[[#This Row],[NAMA BARANG]]="","",INDEX(NOTA[ID],MATCH(,INDIRECT(ADDRESS(ROW(NOTA[ID]),COLUMN(NOTA[ID]))&amp;":"&amp;ADDRESS(ROW(),COLUMN(NOTA[ID]))),-1)))</f>
        <v>8</v>
      </c>
      <c r="F30" s="30"/>
      <c r="G30" s="26"/>
      <c r="H30" s="26"/>
      <c r="I30" s="31"/>
      <c r="J30" s="32"/>
      <c r="K30" s="33"/>
      <c r="L30" s="26"/>
      <c r="M30" s="26" t="s">
        <v>204</v>
      </c>
      <c r="N30" s="34"/>
      <c r="O30" s="32">
        <v>60</v>
      </c>
      <c r="P30" s="26" t="s">
        <v>104</v>
      </c>
      <c r="Q30" s="28">
        <v>13000</v>
      </c>
      <c r="R30" s="46"/>
      <c r="S30" s="39" t="s">
        <v>130</v>
      </c>
      <c r="T30" s="35"/>
      <c r="U30" s="35"/>
      <c r="V30" s="36"/>
      <c r="W30" s="37" t="s">
        <v>210</v>
      </c>
      <c r="X30" s="36">
        <f>IF(NOTA[[#This Row],[HARGA/ CTN]]="",NOTA[[#This Row],[JUMLAH_H]],NOTA[[#This Row],[HARGA/ CTN]]*IF(NOTA[[#This Row],[C]]="",0,NOTA[[#This Row],[C]]))</f>
        <v>780000</v>
      </c>
      <c r="Y30" s="36">
        <f>IF(NOTA[[#This Row],[JUMLAH]]="","",NOTA[[#This Row],[JUMLAH]]*NOTA[[#This Row],[DISC 1]])</f>
        <v>0</v>
      </c>
      <c r="Z30" s="36">
        <f>IF(NOTA[[#This Row],[JUMLAH]]="","",(NOTA[[#This Row],[JUMLAH]]-NOTA[[#This Row],[DISC 1-]])*NOTA[[#This Row],[DISC 2]])</f>
        <v>0</v>
      </c>
      <c r="AA30" s="36">
        <f>IF(NOTA[[#This Row],[JUMLAH]]="","",NOTA[[#This Row],[DISC 1-]]+NOTA[[#This Row],[DISC 2-]])</f>
        <v>0</v>
      </c>
      <c r="AB30" s="36">
        <f>IF(NOTA[[#This Row],[JUMLAH]]="","",NOTA[[#This Row],[JUMLAH]]-NOTA[[#This Row],[DISC]])</f>
        <v>780000</v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" s="36">
        <f>IF(OR(NOTA[[#This Row],[QTY]]="",NOTA[[#This Row],[HARGA SATUAN]]="",),"",NOTA[[#This Row],[QTY]]*NOTA[[#This Row],[HARGA SATUAN]])</f>
        <v>780000</v>
      </c>
      <c r="AG30" s="33">
        <f ca="1">IF(NOTA[ID_H]="","",INDEX(NOTA[TANGGAL],MATCH(,INDIRECT(ADDRESS(ROW(NOTA[TANGGAL]),COLUMN(NOTA[TANGGAL]))&amp;":"&amp;ADDRESS(ROW(),COLUMN(NOTA[TANGGAL]))),-1)))</f>
        <v>44930</v>
      </c>
      <c r="AH30" s="28" t="str">
        <f ca="1">IF(NOTA[[#This Row],[NAMA BARANG]]="","",INDEX(NOTA[SUPPLIER],MATCH(,INDIRECT(ADDRESS(ROW(NOTA[ID]),COLUMN(NOTA[ID]))&amp;":"&amp;ADDRESS(ROW(),COLUMN(NOTA[ID]))),-1)))</f>
        <v>JAYA MAKMUR</v>
      </c>
      <c r="AI30" s="28" t="str">
        <f ca="1">IF(NOTA[[#This Row],[ID_H]]="","",IF(NOTA[[#This Row],[FAKTUR]]="",INDIRECT(ADDRESS(ROW()-1,COLUMN())),NOTA[[#This Row],[FAKTUR]]))</f>
        <v>UNTANA</v>
      </c>
      <c r="AJ30" s="38" t="str">
        <f ca="1">IF(NOTA[[#This Row],[ID]]="","",COUNTIF(NOTA[ID_H],NOTA[[#This Row],[ID_H]]))</f>
        <v/>
      </c>
      <c r="AK30" s="38">
        <f ca="1">IF(NOTA[[#This Row],[TGL.NOTA]]="",IF(NOTA[[#This Row],[SUPPLIER_H]]="","",AK29),MONTH(NOTA[[#This Row],[TGL.NOTA]]))</f>
        <v>1</v>
      </c>
      <c r="AL30" s="38" t="str">
        <f>LOWER(SUBSTITUTE(SUBSTITUTE(SUBSTITUTE(SUBSTITUTE(SUBSTITUTE(SUBSTITUTE(SUBSTITUTE(SUBSTITUTE(SUBSTITUTE(NOTA[NAMA BARANG]," ",),".",""),"-",""),"(",""),")",""),",",""),"/",""),"""",""),"+",""))</f>
        <v>tapedispenser801ungu</v>
      </c>
      <c r="AM30" s="38" t="str">
        <f>IF(NOTA[C]="",NOTA[[#This Row],[CONCAT1]]&amp;NOTA[[#This Row],[HARGA SATUAN]],NOTA[[#This Row],[CONCAT1]]&amp;NOTA[[#This Row],[HARGA/ CTN_H]]&amp;NOTA[[#This Row],[DISC 1]]&amp;NOTA[[#This Row],[DISC 2]])</f>
        <v>tapedispenser801ungu13000</v>
      </c>
      <c r="AN30" s="184">
        <f>IF(NOTA[[#This Row],[CONCAT1]]="","",MATCH(NOTA[[#This Row],[CONCAT1]],[1]!db[NB NOTA_C],0)+1)</f>
        <v>2034</v>
      </c>
    </row>
    <row r="31" spans="1:40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Row],[CEK_EXP]]&lt;D30,"err","")</f>
        <v/>
      </c>
      <c r="D31" s="29">
        <f>IF(NOTA[[#This Row],[TANGGAL]]="",D30,NOTA[[#This Row],[TANGGAL]])</f>
        <v>44930</v>
      </c>
      <c r="E31" s="29">
        <f ca="1">IF(NOTA[[#This Row],[NAMA BARANG]]="","",INDEX(NOTA[ID],MATCH(,INDIRECT(ADDRESS(ROW(NOTA[ID]),COLUMN(NOTA[ID]))&amp;":"&amp;ADDRESS(ROW(),COLUMN(NOTA[ID]))),-1)))</f>
        <v>8</v>
      </c>
      <c r="F31" s="30"/>
      <c r="G31" s="26"/>
      <c r="H31" s="26"/>
      <c r="I31" s="31"/>
      <c r="J31" s="26"/>
      <c r="K31" s="33"/>
      <c r="L31" s="32"/>
      <c r="M31" s="26" t="s">
        <v>201</v>
      </c>
      <c r="N31" s="34"/>
      <c r="O31" s="32">
        <v>6</v>
      </c>
      <c r="P31" s="26" t="s">
        <v>104</v>
      </c>
      <c r="Q31" s="28"/>
      <c r="R31" s="46"/>
      <c r="S31" s="39" t="s">
        <v>130</v>
      </c>
      <c r="T31" s="35"/>
      <c r="U31" s="35"/>
      <c r="V31" s="54"/>
      <c r="W31" s="37" t="s">
        <v>212</v>
      </c>
      <c r="X31" s="36" t="str">
        <f>IF(NOTA[[#This Row],[HARGA/ CTN]]="",NOTA[[#This Row],[JUMLAH_H]],NOTA[[#This Row],[HARGA/ CTN]]*IF(NOTA[[#This Row],[C]]="",0,NOTA[[#This Row],[C]]))</f>
        <v/>
      </c>
      <c r="Y31" s="36" t="str">
        <f>IF(NOTA[[#This Row],[JUMLAH]]="","",NOTA[[#This Row],[JUMLAH]]*NOTA[[#This Row],[DISC 1]])</f>
        <v/>
      </c>
      <c r="Z31" s="36" t="str">
        <f>IF(NOTA[[#This Row],[JUMLAH]]="","",(NOTA[[#This Row],[JUMLAH]]-NOTA[[#This Row],[DISC 1-]])*NOTA[[#This Row],[DISC 2]])</f>
        <v/>
      </c>
      <c r="AA31" s="36" t="str">
        <f>IF(NOTA[[#This Row],[JUMLAH]]="","",NOTA[[#This Row],[DISC 1-]]+NOTA[[#This Row],[DISC 2-]])</f>
        <v/>
      </c>
      <c r="AB31" s="36" t="str">
        <f>IF(NOTA[[#This Row],[JUMLAH]]="","",NOTA[[#This Row],[JUMLAH]]-NOTA[[#This Row],[DISC]])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36" t="str">
        <f>IF(OR(NOTA[[#This Row],[QTY]]="",NOTA[[#This Row],[HARGA SATUAN]]="",),"",NOTA[[#This Row],[QTY]]*NOTA[[#This Row],[HARGA SATUAN]])</f>
        <v/>
      </c>
      <c r="AG31" s="33">
        <f ca="1">IF(NOTA[ID_H]="","",INDEX(NOTA[TANGGAL],MATCH(,INDIRECT(ADDRESS(ROW(NOTA[TANGGAL]),COLUMN(NOTA[TANGGAL]))&amp;":"&amp;ADDRESS(ROW(),COLUMN(NOTA[TANGGAL]))),-1)))</f>
        <v>44930</v>
      </c>
      <c r="AH31" s="28" t="str">
        <f ca="1">IF(NOTA[[#This Row],[NAMA BARANG]]="","",INDEX(NOTA[SUPPLIER],MATCH(,INDIRECT(ADDRESS(ROW(NOTA[ID]),COLUMN(NOTA[ID]))&amp;":"&amp;ADDRESS(ROW(),COLUMN(NOTA[ID]))),-1)))</f>
        <v>JAYA MAKMUR</v>
      </c>
      <c r="AI31" s="28" t="str">
        <f ca="1">IF(NOTA[[#This Row],[ID_H]]="","",IF(NOTA[[#This Row],[FAKTUR]]="",INDIRECT(ADDRESS(ROW()-1,COLUMN())),NOTA[[#This Row],[FAKTUR]]))</f>
        <v>UNTANA</v>
      </c>
      <c r="AJ31" s="38" t="str">
        <f ca="1">IF(NOTA[[#This Row],[ID]]="","",COUNTIF(NOTA[ID_H],NOTA[[#This Row],[ID_H]]))</f>
        <v/>
      </c>
      <c r="AK31" s="38">
        <f ca="1">IF(NOTA[[#This Row],[TGL.NOTA]]="",IF(NOTA[[#This Row],[SUPPLIER_H]]="","",AK30),MONTH(NOTA[[#This Row],[TGL.NOTA]]))</f>
        <v>1</v>
      </c>
      <c r="AL31" s="38" t="str">
        <f>LOWER(SUBSTITUTE(SUBSTITUTE(SUBSTITUTE(SUBSTITUTE(SUBSTITUTE(SUBSTITUTE(SUBSTITUTE(SUBSTITUTE(SUBSTITUTE(NOTA[NAMA BARANG]," ",),".",""),"-",""),"(",""),")",""),",",""),"/",""),"""",""),"+",""))</f>
        <v>tapedispenser801biru</v>
      </c>
      <c r="AM31" s="38" t="str">
        <f>IF(NOTA[C]="",NOTA[[#This Row],[CONCAT1]]&amp;NOTA[[#This Row],[HARGA SATUAN]],NOTA[[#This Row],[CONCAT1]]&amp;NOTA[[#This Row],[HARGA/ CTN_H]]&amp;NOTA[[#This Row],[DISC 1]]&amp;NOTA[[#This Row],[DISC 2]])</f>
        <v>tapedispenser801biru</v>
      </c>
      <c r="AN31" s="184">
        <f>IF(NOTA[[#This Row],[CONCAT1]]="","",MATCH(NOTA[[#This Row],[CONCAT1]],[1]!db[NB NOTA_C],0)+1)</f>
        <v>2031</v>
      </c>
    </row>
    <row r="32" spans="1:40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Row],[CEK_EXP]]&lt;D31,"err","")</f>
        <v/>
      </c>
      <c r="D32" s="50">
        <f>IF(NOTA[[#This Row],[TANGGAL]]="",D31,NOTA[[#This Row],[TANGGAL]])</f>
        <v>44930</v>
      </c>
      <c r="E32" s="50">
        <f ca="1">IF(NOTA[[#This Row],[NAMA BARANG]]="","",INDEX(NOTA[ID],MATCH(,INDIRECT(ADDRESS(ROW(NOTA[ID]),COLUMN(NOTA[ID]))&amp;":"&amp;ADDRESS(ROW(),COLUMN(NOTA[ID]))),-1)))</f>
        <v>8</v>
      </c>
      <c r="F32" s="23"/>
      <c r="G32" s="26"/>
      <c r="H32" s="26"/>
      <c r="I32" s="31"/>
      <c r="J32" s="26"/>
      <c r="K32" s="51"/>
      <c r="L32" s="26"/>
      <c r="M32" s="26" t="s">
        <v>202</v>
      </c>
      <c r="N32" s="39"/>
      <c r="O32" s="26">
        <v>6</v>
      </c>
      <c r="P32" s="26" t="s">
        <v>104</v>
      </c>
      <c r="Q32" s="49"/>
      <c r="R32" s="52"/>
      <c r="S32" s="39" t="s">
        <v>130</v>
      </c>
      <c r="T32" s="53"/>
      <c r="U32" s="53"/>
      <c r="V32" s="54"/>
      <c r="W32" s="37" t="s">
        <v>212</v>
      </c>
      <c r="X32" s="54" t="str">
        <f>IF(NOTA[[#This Row],[HARGA/ CTN]]="",NOTA[[#This Row],[JUMLAH_H]],NOTA[[#This Row],[HARGA/ CTN]]*IF(NOTA[[#This Row],[C]]="",0,NOTA[[#This Row],[C]]))</f>
        <v/>
      </c>
      <c r="Y32" s="54" t="str">
        <f>IF(NOTA[[#This Row],[JUMLAH]]="","",NOTA[[#This Row],[JUMLAH]]*NOTA[[#This Row],[DISC 1]])</f>
        <v/>
      </c>
      <c r="Z32" s="54" t="str">
        <f>IF(NOTA[[#This Row],[JUMLAH]]="","",(NOTA[[#This Row],[JUMLAH]]-NOTA[[#This Row],[DISC 1-]])*NOTA[[#This Row],[DISC 2]])</f>
        <v/>
      </c>
      <c r="AA32" s="54" t="str">
        <f>IF(NOTA[[#This Row],[JUMLAH]]="","",NOTA[[#This Row],[DISC 1-]]+NOTA[[#This Row],[DISC 2-]])</f>
        <v/>
      </c>
      <c r="AB32" s="54" t="str">
        <f>IF(NOTA[[#This Row],[JUMLAH]]="","",NOTA[[#This Row],[JUMLAH]]-NOTA[[#This Row],[DISC]])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2" s="54" t="str">
        <f>IF(OR(NOTA[[#This Row],[QTY]]="",NOTA[[#This Row],[HARGA SATUAN]]="",),"",NOTA[[#This Row],[QTY]]*NOTA[[#This Row],[HARGA SATUAN]])</f>
        <v/>
      </c>
      <c r="AG32" s="51">
        <f ca="1">IF(NOTA[ID_H]="","",INDEX(NOTA[TANGGAL],MATCH(,INDIRECT(ADDRESS(ROW(NOTA[TANGGAL]),COLUMN(NOTA[TANGGAL]))&amp;":"&amp;ADDRESS(ROW(),COLUMN(NOTA[TANGGAL]))),-1)))</f>
        <v>44930</v>
      </c>
      <c r="AH32" s="65" t="str">
        <f ca="1">IF(NOTA[[#This Row],[NAMA BARANG]]="","",INDEX(NOTA[SUPPLIER],MATCH(,INDIRECT(ADDRESS(ROW(NOTA[ID]),COLUMN(NOTA[ID]))&amp;":"&amp;ADDRESS(ROW(),COLUMN(NOTA[ID]))),-1)))</f>
        <v>JAYA MAKMUR</v>
      </c>
      <c r="AI32" s="65" t="str">
        <f ca="1">IF(NOTA[[#This Row],[ID_H]]="","",IF(NOTA[[#This Row],[FAKTUR]]="",INDIRECT(ADDRESS(ROW()-1,COLUMN())),NOTA[[#This Row],[FAKTUR]]))</f>
        <v>UNTANA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Row],[SUPPLIER_H]]="","",AK23),MONTH(NOTA[[#This Row],[TGL.NOTA]]))</f>
        <v>1</v>
      </c>
      <c r="AL32" s="38" t="str">
        <f>LOWER(SUBSTITUTE(SUBSTITUTE(SUBSTITUTE(SUBSTITUTE(SUBSTITUTE(SUBSTITUTE(SUBSTITUTE(SUBSTITUTE(SUBSTITUTE(NOTA[NAMA BARANG]," ",),".",""),"-",""),"(",""),")",""),",",""),"/",""),"""",""),"+",""))</f>
        <v>tapedispenser801hijau</v>
      </c>
      <c r="AM32" s="38" t="str">
        <f>IF(NOTA[C]="",NOTA[[#This Row],[CONCAT1]]&amp;NOTA[[#This Row],[HARGA SATUAN]],NOTA[[#This Row],[CONCAT1]]&amp;NOTA[[#This Row],[HARGA/ CTN_H]]&amp;NOTA[[#This Row],[DISC 1]]&amp;NOTA[[#This Row],[DISC 2]])</f>
        <v>tapedispenser801hijau</v>
      </c>
      <c r="AN32" s="184">
        <f>IF(NOTA[[#This Row],[CONCAT1]]="","",MATCH(NOTA[[#This Row],[CONCAT1]],[1]!db[NB NOTA_C],0)+1)</f>
        <v>2032</v>
      </c>
    </row>
    <row r="33" spans="1:40" ht="20.100000000000001" customHeight="1" x14ac:dyDescent="0.25">
      <c r="A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50" t="str">
        <f>IF(NOTA[[#This Row],[CEK_EXP]]&lt;D32,"err","")</f>
        <v/>
      </c>
      <c r="D33" s="50">
        <f>IF(NOTA[[#This Row],[TANGGAL]]="",D32,NOTA[[#This Row],[TANGGAL]])</f>
        <v>44930</v>
      </c>
      <c r="E33" s="50">
        <f ca="1">IF(NOTA[[#This Row],[NAMA BARANG]]="","",INDEX(NOTA[ID],MATCH(,INDIRECT(ADDRESS(ROW(NOTA[ID]),COLUMN(NOTA[ID]))&amp;":"&amp;ADDRESS(ROW(),COLUMN(NOTA[ID]))),-1)))</f>
        <v>8</v>
      </c>
      <c r="F33" s="23"/>
      <c r="G33" s="26"/>
      <c r="H33" s="26"/>
      <c r="I33" s="31"/>
      <c r="J33" s="26"/>
      <c r="K33" s="51"/>
      <c r="L33" s="26"/>
      <c r="M33" s="26" t="s">
        <v>203</v>
      </c>
      <c r="N33" s="39"/>
      <c r="O33" s="26">
        <v>6</v>
      </c>
      <c r="P33" s="26" t="s">
        <v>104</v>
      </c>
      <c r="Q33" s="49"/>
      <c r="R33" s="52"/>
      <c r="S33" s="39" t="s">
        <v>130</v>
      </c>
      <c r="T33" s="53"/>
      <c r="U33" s="53"/>
      <c r="V33" s="54"/>
      <c r="W33" s="37" t="s">
        <v>212</v>
      </c>
      <c r="X33" s="54" t="str">
        <f>IF(NOTA[[#This Row],[HARGA/ CTN]]="",NOTA[[#This Row],[JUMLAH_H]],NOTA[[#This Row],[HARGA/ CTN]]*IF(NOTA[[#This Row],[C]]="",0,NOTA[[#This Row],[C]]))</f>
        <v/>
      </c>
      <c r="Y33" s="54" t="str">
        <f>IF(NOTA[[#This Row],[JUMLAH]]="","",NOTA[[#This Row],[JUMLAH]]*NOTA[[#This Row],[DISC 1]])</f>
        <v/>
      </c>
      <c r="Z33" s="54" t="str">
        <f>IF(NOTA[[#This Row],[JUMLAH]]="","",(NOTA[[#This Row],[JUMLAH]]-NOTA[[#This Row],[DISC 1-]])*NOTA[[#This Row],[DISC 2]])</f>
        <v/>
      </c>
      <c r="AA33" s="54" t="str">
        <f>IF(NOTA[[#This Row],[JUMLAH]]="","",NOTA[[#This Row],[DISC 1-]]+NOTA[[#This Row],[DISC 2-]])</f>
        <v/>
      </c>
      <c r="AB33" s="54" t="str">
        <f>IF(NOTA[[#This Row],[JUMLAH]]="","",NOTA[[#This Row],[JUMLAH]]-NOTA[[#This Row],[DISC]])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3" s="54" t="str">
        <f>IF(OR(NOTA[[#This Row],[QTY]]="",NOTA[[#This Row],[HARGA SATUAN]]="",),"",NOTA[[#This Row],[QTY]]*NOTA[[#This Row],[HARGA SATUAN]])</f>
        <v/>
      </c>
      <c r="AG33" s="51">
        <f ca="1">IF(NOTA[ID_H]="","",INDEX(NOTA[TANGGAL],MATCH(,INDIRECT(ADDRESS(ROW(NOTA[TANGGAL]),COLUMN(NOTA[TANGGAL]))&amp;":"&amp;ADDRESS(ROW(),COLUMN(NOTA[TANGGAL]))),-1)))</f>
        <v>44930</v>
      </c>
      <c r="AH33" s="65" t="str">
        <f ca="1">IF(NOTA[[#This Row],[NAMA BARANG]]="","",INDEX(NOTA[SUPPLIER],MATCH(,INDIRECT(ADDRESS(ROW(NOTA[ID]),COLUMN(NOTA[ID]))&amp;":"&amp;ADDRESS(ROW(),COLUMN(NOTA[ID]))),-1)))</f>
        <v>JAYA MAKMUR</v>
      </c>
      <c r="AI33" s="65" t="str">
        <f ca="1">IF(NOTA[[#This Row],[ID_H]]="","",IF(NOTA[[#This Row],[FAKTUR]]="",INDIRECT(ADDRESS(ROW()-1,COLUMN())),NOTA[[#This Row],[FAKTUR]]))</f>
        <v>UNTANA</v>
      </c>
      <c r="AJ33" s="38" t="str">
        <f ca="1">IF(NOTA[[#This Row],[ID]]="","",COUNTIF(NOTA[ID_H],NOTA[[#This Row],[ID_H]]))</f>
        <v/>
      </c>
      <c r="AK33" s="38">
        <f ca="1">IF(NOTA[[#This Row],[TGL.NOTA]]="",IF(NOTA[[#This Row],[SUPPLIER_H]]="","",AK32),MONTH(NOTA[[#This Row],[TGL.NOTA]]))</f>
        <v>1</v>
      </c>
      <c r="AL33" s="38" t="str">
        <f>LOWER(SUBSTITUTE(SUBSTITUTE(SUBSTITUTE(SUBSTITUTE(SUBSTITUTE(SUBSTITUTE(SUBSTITUTE(SUBSTITUTE(SUBSTITUTE(NOTA[NAMA BARANG]," ",),".",""),"-",""),"(",""),")",""),",",""),"/",""),"""",""),"+",""))</f>
        <v>tapedispenser801merah</v>
      </c>
      <c r="AM33" s="38" t="str">
        <f>IF(NOTA[C]="",NOTA[[#This Row],[CONCAT1]]&amp;NOTA[[#This Row],[HARGA SATUAN]],NOTA[[#This Row],[CONCAT1]]&amp;NOTA[[#This Row],[HARGA/ CTN_H]]&amp;NOTA[[#This Row],[DISC 1]]&amp;NOTA[[#This Row],[DISC 2]])</f>
        <v>tapedispenser801merah</v>
      </c>
      <c r="AN33" s="184">
        <f>IF(NOTA[[#This Row],[CONCAT1]]="","",MATCH(NOTA[[#This Row],[CONCAT1]],[1]!db[NB NOTA_C],0)+1)</f>
        <v>2033</v>
      </c>
    </row>
    <row r="34" spans="1:40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Row],[CEK_EXP]]&lt;D33,"err","")</f>
        <v/>
      </c>
      <c r="D34" s="50">
        <f>IF(NOTA[[#This Row],[TANGGAL]]="",D33,NOTA[[#This Row],[TANGGAL]])</f>
        <v>44930</v>
      </c>
      <c r="E34" s="50">
        <f ca="1">IF(NOTA[[#This Row],[NAMA BARANG]]="","",INDEX(NOTA[ID],MATCH(,INDIRECT(ADDRESS(ROW(NOTA[ID]),COLUMN(NOTA[ID]))&amp;":"&amp;ADDRESS(ROW(),COLUMN(NOTA[ID]))),-1)))</f>
        <v>8</v>
      </c>
      <c r="F34" s="23"/>
      <c r="G34" s="26"/>
      <c r="H34" s="26"/>
      <c r="I34" s="31"/>
      <c r="J34" s="26"/>
      <c r="K34" s="51"/>
      <c r="L34" s="26"/>
      <c r="M34" s="26" t="s">
        <v>204</v>
      </c>
      <c r="N34" s="39"/>
      <c r="O34" s="26">
        <v>6</v>
      </c>
      <c r="P34" s="26" t="s">
        <v>104</v>
      </c>
      <c r="Q34" s="49"/>
      <c r="R34" s="52"/>
      <c r="S34" s="39" t="s">
        <v>130</v>
      </c>
      <c r="T34" s="53"/>
      <c r="U34" s="53"/>
      <c r="V34" s="54"/>
      <c r="W34" s="37" t="s">
        <v>212</v>
      </c>
      <c r="X34" s="54" t="str">
        <f>IF(NOTA[[#This Row],[HARGA/ CTN]]="",NOTA[[#This Row],[JUMLAH_H]],NOTA[[#This Row],[HARGA/ CTN]]*IF(NOTA[[#This Row],[C]]="",0,NOTA[[#This Row],[C]]))</f>
        <v/>
      </c>
      <c r="Y34" s="54" t="str">
        <f>IF(NOTA[[#This Row],[JUMLAH]]="","",NOTA[[#This Row],[JUMLAH]]*NOTA[[#This Row],[DISC 1]])</f>
        <v/>
      </c>
      <c r="Z34" s="54" t="str">
        <f>IF(NOTA[[#This Row],[JUMLAH]]="","",(NOTA[[#This Row],[JUMLAH]]-NOTA[[#This Row],[DISC 1-]])*NOTA[[#This Row],[DISC 2]])</f>
        <v/>
      </c>
      <c r="AA34" s="54" t="str">
        <f>IF(NOTA[[#This Row],[JUMLAH]]="","",NOTA[[#This Row],[DISC 1-]]+NOTA[[#This Row],[DISC 2-]])</f>
        <v/>
      </c>
      <c r="AB34" s="54" t="str">
        <f>IF(NOTA[[#This Row],[JUMLAH]]="","",NOTA[[#This Row],[JUMLAH]]-NOTA[[#This Row],[DISC]])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4" s="54" t="str">
        <f>IF(OR(NOTA[[#This Row],[QTY]]="",NOTA[[#This Row],[HARGA SATUAN]]="",),"",NOTA[[#This Row],[QTY]]*NOTA[[#This Row],[HARGA SATUAN]])</f>
        <v/>
      </c>
      <c r="AG34" s="51">
        <f ca="1">IF(NOTA[ID_H]="","",INDEX(NOTA[TANGGAL],MATCH(,INDIRECT(ADDRESS(ROW(NOTA[TANGGAL]),COLUMN(NOTA[TANGGAL]))&amp;":"&amp;ADDRESS(ROW(),COLUMN(NOTA[TANGGAL]))),-1)))</f>
        <v>44930</v>
      </c>
      <c r="AH34" s="65" t="str">
        <f ca="1">IF(NOTA[[#This Row],[NAMA BARANG]]="","",INDEX(NOTA[SUPPLIER],MATCH(,INDIRECT(ADDRESS(ROW(NOTA[ID]),COLUMN(NOTA[ID]))&amp;":"&amp;ADDRESS(ROW(),COLUMN(NOTA[ID]))),-1)))</f>
        <v>JAYA MAKMUR</v>
      </c>
      <c r="AI34" s="65" t="str">
        <f ca="1">IF(NOTA[[#This Row],[ID_H]]="","",IF(NOTA[[#This Row],[FAKTUR]]="",INDIRECT(ADDRESS(ROW()-1,COLUMN())),NOTA[[#This Row],[FAKTUR]]))</f>
        <v>UNTANA</v>
      </c>
      <c r="AJ34" s="38" t="str">
        <f ca="1">IF(NOTA[[#This Row],[ID]]="","",COUNTIF(NOTA[ID_H],NOTA[[#This Row],[ID_H]]))</f>
        <v/>
      </c>
      <c r="AK34" s="38">
        <f ca="1">IF(NOTA[[#This Row],[TGL.NOTA]]="",IF(NOTA[[#This Row],[SUPPLIER_H]]="","",AK33),MONTH(NOTA[[#This Row],[TGL.NOTA]]))</f>
        <v>1</v>
      </c>
      <c r="AL34" s="38" t="str">
        <f>LOWER(SUBSTITUTE(SUBSTITUTE(SUBSTITUTE(SUBSTITUTE(SUBSTITUTE(SUBSTITUTE(SUBSTITUTE(SUBSTITUTE(SUBSTITUTE(NOTA[NAMA BARANG]," ",),".",""),"-",""),"(",""),")",""),",",""),"/",""),"""",""),"+",""))</f>
        <v>tapedispenser801ungu</v>
      </c>
      <c r="AM34" s="38" t="str">
        <f>IF(NOTA[C]="",NOTA[[#This Row],[CONCAT1]]&amp;NOTA[[#This Row],[HARGA SATUAN]],NOTA[[#This Row],[CONCAT1]]&amp;NOTA[[#This Row],[HARGA/ CTN_H]]&amp;NOTA[[#This Row],[DISC 1]]&amp;NOTA[[#This Row],[DISC 2]])</f>
        <v>tapedispenser801ungu</v>
      </c>
      <c r="AN34" s="184">
        <f>IF(NOTA[[#This Row],[CONCAT1]]="","",MATCH(NOTA[[#This Row],[CONCAT1]],[1]!db[NB NOTA_C],0)+1)</f>
        <v>2034</v>
      </c>
    </row>
    <row r="35" spans="1:40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Row],[CEK_EXP]]&lt;D34,"err","")</f>
        <v/>
      </c>
      <c r="D35" s="50">
        <f>IF(NOTA[[#This Row],[TANGGAL]]="",D34,NOTA[[#This Row],[TANGGAL]])</f>
        <v>44930</v>
      </c>
      <c r="E35" s="50">
        <f ca="1">IF(NOTA[[#This Row],[NAMA BARANG]]="","",INDEX(NOTA[ID],MATCH(,INDIRECT(ADDRESS(ROW(NOTA[ID]),COLUMN(NOTA[ID]))&amp;":"&amp;ADDRESS(ROW(),COLUMN(NOTA[ID]))),-1)))</f>
        <v>8</v>
      </c>
      <c r="F35" s="23"/>
      <c r="G35" s="26"/>
      <c r="H35" s="26"/>
      <c r="I35" s="31"/>
      <c r="J35" s="26"/>
      <c r="K35" s="51"/>
      <c r="L35" s="26"/>
      <c r="M35" s="26" t="s">
        <v>205</v>
      </c>
      <c r="N35" s="39"/>
      <c r="O35" s="26">
        <v>90</v>
      </c>
      <c r="P35" s="26" t="s">
        <v>104</v>
      </c>
      <c r="Q35" s="49">
        <v>12000</v>
      </c>
      <c r="R35" s="52"/>
      <c r="S35" s="39" t="s">
        <v>209</v>
      </c>
      <c r="T35" s="53"/>
      <c r="U35" s="53"/>
      <c r="V35" s="54"/>
      <c r="W35" s="37" t="s">
        <v>213</v>
      </c>
      <c r="X35" s="54">
        <f>IF(NOTA[[#This Row],[HARGA/ CTN]]="",NOTA[[#This Row],[JUMLAH_H]],NOTA[[#This Row],[HARGA/ CTN]]*IF(NOTA[[#This Row],[C]]="",0,NOTA[[#This Row],[C]]))</f>
        <v>1080000</v>
      </c>
      <c r="Y35" s="54">
        <f>IF(NOTA[[#This Row],[JUMLAH]]="","",NOTA[[#This Row],[JUMLAH]]*NOTA[[#This Row],[DISC 1]])</f>
        <v>0</v>
      </c>
      <c r="Z35" s="54">
        <f>IF(NOTA[[#This Row],[JUMLAH]]="","",(NOTA[[#This Row],[JUMLAH]]-NOTA[[#This Row],[DISC 1-]])*NOTA[[#This Row],[DISC 2]])</f>
        <v>0</v>
      </c>
      <c r="AA35" s="54">
        <f>IF(NOTA[[#This Row],[JUMLAH]]="","",NOTA[[#This Row],[DISC 1-]]+NOTA[[#This Row],[DISC 2-]])</f>
        <v>0</v>
      </c>
      <c r="AB35" s="54">
        <f>IF(NOTA[[#This Row],[JUMLAH]]="","",NOTA[[#This Row],[JUMLAH]]-NOTA[[#This Row],[DISC]])</f>
        <v>1080000</v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35" s="54">
        <f>IF(OR(NOTA[[#This Row],[QTY]]="",NOTA[[#This Row],[HARGA SATUAN]]="",),"",NOTA[[#This Row],[QTY]]*NOTA[[#This Row],[HARGA SATUAN]])</f>
        <v>1080000</v>
      </c>
      <c r="AG35" s="51">
        <f ca="1">IF(NOTA[ID_H]="","",INDEX(NOTA[TANGGAL],MATCH(,INDIRECT(ADDRESS(ROW(NOTA[TANGGAL]),COLUMN(NOTA[TANGGAL]))&amp;":"&amp;ADDRESS(ROW(),COLUMN(NOTA[TANGGAL]))),-1)))</f>
        <v>44930</v>
      </c>
      <c r="AH35" s="65" t="str">
        <f ca="1">IF(NOTA[[#This Row],[NAMA BARANG]]="","",INDEX(NOTA[SUPPLIER],MATCH(,INDIRECT(ADDRESS(ROW(NOTA[ID]),COLUMN(NOTA[ID]))&amp;":"&amp;ADDRESS(ROW(),COLUMN(NOTA[ID]))),-1)))</f>
        <v>JAYA MAKMUR</v>
      </c>
      <c r="AI35" s="65" t="str">
        <f ca="1">IF(NOTA[[#This Row],[ID_H]]="","",IF(NOTA[[#This Row],[FAKTUR]]="",INDIRECT(ADDRESS(ROW()-1,COLUMN())),NOTA[[#This Row],[FAKTUR]]))</f>
        <v>UNTANA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1</v>
      </c>
      <c r="AL35" s="38" t="str">
        <f>LOWER(SUBSTITUTE(SUBSTITUTE(SUBSTITUTE(SUBSTITUTE(SUBSTITUTE(SUBSTITUTE(SUBSTITUTE(SUBSTITUTE(SUBSTITUTE(NOTA[NAMA BARANG]," ",),".",""),"-",""),"(",""),")",""),",",""),"/",""),"""",""),"+",""))</f>
        <v>tapedispenser805biru</v>
      </c>
      <c r="AM35" s="38" t="str">
        <f>IF(NOTA[C]="",NOTA[[#This Row],[CONCAT1]]&amp;NOTA[[#This Row],[HARGA SATUAN]],NOTA[[#This Row],[CONCAT1]]&amp;NOTA[[#This Row],[HARGA/ CTN_H]]&amp;NOTA[[#This Row],[DISC 1]]&amp;NOTA[[#This Row],[DISC 2]])</f>
        <v>tapedispenser805biru12000</v>
      </c>
      <c r="AN35" s="184">
        <f>IF(NOTA[[#This Row],[CONCAT1]]="","",MATCH(NOTA[[#This Row],[CONCAT1]],[1]!db[NB NOTA_C],0)+1)</f>
        <v>2035</v>
      </c>
    </row>
    <row r="36" spans="1:40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Row],[CEK_EXP]]&lt;D35,"err","")</f>
        <v/>
      </c>
      <c r="D36" s="50">
        <f>IF(NOTA[[#This Row],[TANGGAL]]="",D35,NOTA[[#This Row],[TANGGAL]])</f>
        <v>44930</v>
      </c>
      <c r="E36" s="50">
        <f ca="1">IF(NOTA[[#This Row],[NAMA BARANG]]="","",INDEX(NOTA[ID],MATCH(,INDIRECT(ADDRESS(ROW(NOTA[ID]),COLUMN(NOTA[ID]))&amp;":"&amp;ADDRESS(ROW(),COLUMN(NOTA[ID]))),-1)))</f>
        <v>8</v>
      </c>
      <c r="F36" s="23"/>
      <c r="G36" s="26"/>
      <c r="H36" s="26"/>
      <c r="I36" s="31"/>
      <c r="J36" s="26"/>
      <c r="K36" s="51"/>
      <c r="L36" s="26"/>
      <c r="M36" s="26" t="s">
        <v>206</v>
      </c>
      <c r="N36" s="39"/>
      <c r="O36" s="26">
        <v>90</v>
      </c>
      <c r="P36" s="26" t="s">
        <v>104</v>
      </c>
      <c r="Q36" s="49">
        <v>12000</v>
      </c>
      <c r="R36" s="52"/>
      <c r="S36" s="39" t="s">
        <v>209</v>
      </c>
      <c r="T36" s="53"/>
      <c r="U36" s="53"/>
      <c r="V36" s="54"/>
      <c r="W36" s="37" t="s">
        <v>213</v>
      </c>
      <c r="X36" s="54">
        <f>IF(NOTA[[#This Row],[HARGA/ CTN]]="",NOTA[[#This Row],[JUMLAH_H]],NOTA[[#This Row],[HARGA/ CTN]]*IF(NOTA[[#This Row],[C]]="",0,NOTA[[#This Row],[C]]))</f>
        <v>1080000</v>
      </c>
      <c r="Y36" s="54">
        <f>IF(NOTA[[#This Row],[JUMLAH]]="","",NOTA[[#This Row],[JUMLAH]]*NOTA[[#This Row],[DISC 1]])</f>
        <v>0</v>
      </c>
      <c r="Z36" s="54">
        <f>IF(NOTA[[#This Row],[JUMLAH]]="","",(NOTA[[#This Row],[JUMLAH]]-NOTA[[#This Row],[DISC 1-]])*NOTA[[#This Row],[DISC 2]])</f>
        <v>0</v>
      </c>
      <c r="AA36" s="54">
        <f>IF(NOTA[[#This Row],[JUMLAH]]="","",NOTA[[#This Row],[DISC 1-]]+NOTA[[#This Row],[DISC 2-]])</f>
        <v>0</v>
      </c>
      <c r="AB36" s="54">
        <f>IF(NOTA[[#This Row],[JUMLAH]]="","",NOTA[[#This Row],[JUMLAH]]-NOTA[[#This Row],[DISC]])</f>
        <v>1080000</v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36" s="54">
        <f>IF(OR(NOTA[[#This Row],[QTY]]="",NOTA[[#This Row],[HARGA SATUAN]]="",),"",NOTA[[#This Row],[QTY]]*NOTA[[#This Row],[HARGA SATUAN]])</f>
        <v>1080000</v>
      </c>
      <c r="AG36" s="51">
        <f ca="1">IF(NOTA[ID_H]="","",INDEX(NOTA[TANGGAL],MATCH(,INDIRECT(ADDRESS(ROW(NOTA[TANGGAL]),COLUMN(NOTA[TANGGAL]))&amp;":"&amp;ADDRESS(ROW(),COLUMN(NOTA[TANGGAL]))),-1)))</f>
        <v>44930</v>
      </c>
      <c r="AH36" s="65" t="str">
        <f ca="1">IF(NOTA[[#This Row],[NAMA BARANG]]="","",INDEX(NOTA[SUPPLIER],MATCH(,INDIRECT(ADDRESS(ROW(NOTA[ID]),COLUMN(NOTA[ID]))&amp;":"&amp;ADDRESS(ROW(),COLUMN(NOTA[ID]))),-1)))</f>
        <v>JAYA MAKMUR</v>
      </c>
      <c r="AI36" s="65" t="str">
        <f ca="1">IF(NOTA[[#This Row],[ID_H]]="","",IF(NOTA[[#This Row],[FAKTUR]]="",INDIRECT(ADDRESS(ROW()-1,COLUMN())),NOTA[[#This Row],[FAKTUR]]))</f>
        <v>UNTANA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1</v>
      </c>
      <c r="AL36" s="3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36" s="38" t="str">
        <f>IF(NOTA[C]="",NOTA[[#This Row],[CONCAT1]]&amp;NOTA[[#This Row],[HARGA SATUAN]],NOTA[[#This Row],[CONCAT1]]&amp;NOTA[[#This Row],[HARGA/ CTN_H]]&amp;NOTA[[#This Row],[DISC 1]]&amp;NOTA[[#This Row],[DISC 2]])</f>
        <v>tapedispenser805hijau12000</v>
      </c>
      <c r="AN36" s="184">
        <f>IF(NOTA[[#This Row],[CONCAT1]]="","",MATCH(NOTA[[#This Row],[CONCAT1]],[1]!db[NB NOTA_C],0)+1)</f>
        <v>2036</v>
      </c>
    </row>
    <row r="37" spans="1:40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Row],[CEK_EXP]]&lt;D36,"err","")</f>
        <v/>
      </c>
      <c r="D37" s="50">
        <f>IF(NOTA[[#This Row],[TANGGAL]]="",D36,NOTA[[#This Row],[TANGGAL]])</f>
        <v>44930</v>
      </c>
      <c r="E37" s="50">
        <f ca="1">IF(NOTA[[#This Row],[NAMA BARANG]]="","",INDEX(NOTA[ID],MATCH(,INDIRECT(ADDRESS(ROW(NOTA[ID]),COLUMN(NOTA[ID]))&amp;":"&amp;ADDRESS(ROW(),COLUMN(NOTA[ID]))),-1)))</f>
        <v>8</v>
      </c>
      <c r="F37" s="23"/>
      <c r="G37" s="26"/>
      <c r="H37" s="26"/>
      <c r="I37" s="31"/>
      <c r="J37" s="26"/>
      <c r="K37" s="51"/>
      <c r="L37" s="26"/>
      <c r="M37" s="26" t="s">
        <v>207</v>
      </c>
      <c r="N37" s="39"/>
      <c r="O37" s="26">
        <v>90</v>
      </c>
      <c r="P37" s="26" t="s">
        <v>104</v>
      </c>
      <c r="Q37" s="49">
        <v>12000</v>
      </c>
      <c r="R37" s="52"/>
      <c r="S37" s="39" t="s">
        <v>209</v>
      </c>
      <c r="T37" s="53"/>
      <c r="U37" s="53"/>
      <c r="V37" s="54"/>
      <c r="W37" s="37" t="s">
        <v>213</v>
      </c>
      <c r="X37" s="54">
        <f>IF(NOTA[[#This Row],[HARGA/ CTN]]="",NOTA[[#This Row],[JUMLAH_H]],NOTA[[#This Row],[HARGA/ CTN]]*IF(NOTA[[#This Row],[C]]="",0,NOTA[[#This Row],[C]]))</f>
        <v>1080000</v>
      </c>
      <c r="Y37" s="54">
        <f>IF(NOTA[[#This Row],[JUMLAH]]="","",NOTA[[#This Row],[JUMLAH]]*NOTA[[#This Row],[DISC 1]])</f>
        <v>0</v>
      </c>
      <c r="Z37" s="54">
        <f>IF(NOTA[[#This Row],[JUMLAH]]="","",(NOTA[[#This Row],[JUMLAH]]-NOTA[[#This Row],[DISC 1-]])*NOTA[[#This Row],[DISC 2]])</f>
        <v>0</v>
      </c>
      <c r="AA37" s="54">
        <f>IF(NOTA[[#This Row],[JUMLAH]]="","",NOTA[[#This Row],[DISC 1-]]+NOTA[[#This Row],[DISC 2-]])</f>
        <v>0</v>
      </c>
      <c r="AB37" s="54">
        <f>IF(NOTA[[#This Row],[JUMLAH]]="","",NOTA[[#This Row],[JUMLAH]]-NOTA[[#This Row],[DISC]])</f>
        <v>1080000</v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37" s="54">
        <f>IF(OR(NOTA[[#This Row],[QTY]]="",NOTA[[#This Row],[HARGA SATUAN]]="",),"",NOTA[[#This Row],[QTY]]*NOTA[[#This Row],[HARGA SATUAN]])</f>
        <v>1080000</v>
      </c>
      <c r="AG37" s="51">
        <f ca="1">IF(NOTA[ID_H]="","",INDEX(NOTA[TANGGAL],MATCH(,INDIRECT(ADDRESS(ROW(NOTA[TANGGAL]),COLUMN(NOTA[TANGGAL]))&amp;":"&amp;ADDRESS(ROW(),COLUMN(NOTA[TANGGAL]))),-1)))</f>
        <v>44930</v>
      </c>
      <c r="AH37" s="65" t="str">
        <f ca="1">IF(NOTA[[#This Row],[NAMA BARANG]]="","",INDEX(NOTA[SUPPLIER],MATCH(,INDIRECT(ADDRESS(ROW(NOTA[ID]),COLUMN(NOTA[ID]))&amp;":"&amp;ADDRESS(ROW(),COLUMN(NOTA[ID]))),-1)))</f>
        <v>JAYA MAKMUR</v>
      </c>
      <c r="AI37" s="65" t="str">
        <f ca="1">IF(NOTA[[#This Row],[ID_H]]="","",IF(NOTA[[#This Row],[FAKTUR]]="",INDIRECT(ADDRESS(ROW()-1,COLUMN())),NOTA[[#This Row],[FAKTUR]]))</f>
        <v>UNTANA</v>
      </c>
      <c r="AJ37" s="38" t="str">
        <f ca="1">IF(NOTA[[#This Row],[ID]]="","",COUNTIF(NOTA[ID_H],NOTA[[#This Row],[ID_H]]))</f>
        <v/>
      </c>
      <c r="AK37" s="38">
        <f ca="1">IF(NOTA[[#This Row],[TGL.NOTA]]="",IF(NOTA[[#This Row],[SUPPLIER_H]]="","",AK36),MONTH(NOTA[[#This Row],[TGL.NOTA]]))</f>
        <v>1</v>
      </c>
      <c r="AL37" s="3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37" s="38" t="str">
        <f>IF(NOTA[C]="",NOTA[[#This Row],[CONCAT1]]&amp;NOTA[[#This Row],[HARGA SATUAN]],NOTA[[#This Row],[CONCAT1]]&amp;NOTA[[#This Row],[HARGA/ CTN_H]]&amp;NOTA[[#This Row],[DISC 1]]&amp;NOTA[[#This Row],[DISC 2]])</f>
        <v>tapedispenser805merah12000</v>
      </c>
      <c r="AN37" s="184">
        <f>IF(NOTA[[#This Row],[CONCAT1]]="","",MATCH(NOTA[[#This Row],[CONCAT1]],[1]!db[NB NOTA_C],0)+1)</f>
        <v>2037</v>
      </c>
    </row>
    <row r="38" spans="1:40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Row],[CEK_EXP]]&lt;D37,"err","")</f>
        <v/>
      </c>
      <c r="D38" s="50">
        <f>IF(NOTA[[#This Row],[TANGGAL]]="",D37,NOTA[[#This Row],[TANGGAL]])</f>
        <v>44930</v>
      </c>
      <c r="E38" s="50">
        <f ca="1">IF(NOTA[[#This Row],[NAMA BARANG]]="","",INDEX(NOTA[ID],MATCH(,INDIRECT(ADDRESS(ROW(NOTA[ID]),COLUMN(NOTA[ID]))&amp;":"&amp;ADDRESS(ROW(),COLUMN(NOTA[ID]))),-1)))</f>
        <v>8</v>
      </c>
      <c r="F38" s="23"/>
      <c r="G38" s="26"/>
      <c r="H38" s="26"/>
      <c r="I38" s="31"/>
      <c r="J38" s="26"/>
      <c r="K38" s="51"/>
      <c r="L38" s="26"/>
      <c r="M38" s="26" t="s">
        <v>208</v>
      </c>
      <c r="N38" s="39"/>
      <c r="O38" s="26">
        <v>90</v>
      </c>
      <c r="P38" s="26" t="s">
        <v>104</v>
      </c>
      <c r="Q38" s="49">
        <v>12000</v>
      </c>
      <c r="R38" s="52"/>
      <c r="S38" s="39" t="s">
        <v>209</v>
      </c>
      <c r="T38" s="53"/>
      <c r="U38" s="53"/>
      <c r="V38" s="54"/>
      <c r="W38" s="37" t="s">
        <v>213</v>
      </c>
      <c r="X38" s="54">
        <f>IF(NOTA[[#This Row],[HARGA/ CTN]]="",NOTA[[#This Row],[JUMLAH_H]],NOTA[[#This Row],[HARGA/ CTN]]*IF(NOTA[[#This Row],[C]]="",0,NOTA[[#This Row],[C]]))</f>
        <v>1080000</v>
      </c>
      <c r="Y38" s="54">
        <f>IF(NOTA[[#This Row],[JUMLAH]]="","",NOTA[[#This Row],[JUMLAH]]*NOTA[[#This Row],[DISC 1]])</f>
        <v>0</v>
      </c>
      <c r="Z38" s="54">
        <f>IF(NOTA[[#This Row],[JUMLAH]]="","",(NOTA[[#This Row],[JUMLAH]]-NOTA[[#This Row],[DISC 1-]])*NOTA[[#This Row],[DISC 2]])</f>
        <v>0</v>
      </c>
      <c r="AA38" s="54">
        <f>IF(NOTA[[#This Row],[JUMLAH]]="","",NOTA[[#This Row],[DISC 1-]]+NOTA[[#This Row],[DISC 2-]])</f>
        <v>0</v>
      </c>
      <c r="AB38" s="54">
        <f>IF(NOTA[[#This Row],[JUMLAH]]="","",NOTA[[#This Row],[JUMLAH]]-NOTA[[#This Row],[DISC]])</f>
        <v>1080000</v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38" s="54">
        <f>IF(OR(NOTA[[#This Row],[QTY]]="",NOTA[[#This Row],[HARGA SATUAN]]="",),"",NOTA[[#This Row],[QTY]]*NOTA[[#This Row],[HARGA SATUAN]])</f>
        <v>1080000</v>
      </c>
      <c r="AG38" s="51">
        <f ca="1">IF(NOTA[ID_H]="","",INDEX(NOTA[TANGGAL],MATCH(,INDIRECT(ADDRESS(ROW(NOTA[TANGGAL]),COLUMN(NOTA[TANGGAL]))&amp;":"&amp;ADDRESS(ROW(),COLUMN(NOTA[TANGGAL]))),-1)))</f>
        <v>44930</v>
      </c>
      <c r="AH38" s="65" t="str">
        <f ca="1">IF(NOTA[[#This Row],[NAMA BARANG]]="","",INDEX(NOTA[SUPPLIER],MATCH(,INDIRECT(ADDRESS(ROW(NOTA[ID]),COLUMN(NOTA[ID]))&amp;":"&amp;ADDRESS(ROW(),COLUMN(NOTA[ID]))),-1)))</f>
        <v>JAYA MAKMUR</v>
      </c>
      <c r="AI38" s="65" t="str">
        <f ca="1">IF(NOTA[[#This Row],[ID_H]]="","",IF(NOTA[[#This Row],[FAKTUR]]="",INDIRECT(ADDRESS(ROW()-1,COLUMN())),NOTA[[#This Row],[FAKTUR]]))</f>
        <v>UNTANA</v>
      </c>
      <c r="AJ38" s="38" t="str">
        <f ca="1">IF(NOTA[[#This Row],[ID]]="","",COUNTIF(NOTA[ID_H],NOTA[[#This Row],[ID_H]]))</f>
        <v/>
      </c>
      <c r="AK38" s="38">
        <f ca="1">IF(NOTA[[#This Row],[TGL.NOTA]]="",IF(NOTA[[#This Row],[SUPPLIER_H]]="","",AK37),MONTH(NOTA[[#This Row],[TGL.NOTA]]))</f>
        <v>1</v>
      </c>
      <c r="AL38" s="3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38" s="38" t="str">
        <f>IF(NOTA[C]="",NOTA[[#This Row],[CONCAT1]]&amp;NOTA[[#This Row],[HARGA SATUAN]],NOTA[[#This Row],[CONCAT1]]&amp;NOTA[[#This Row],[HARGA/ CTN_H]]&amp;NOTA[[#This Row],[DISC 1]]&amp;NOTA[[#This Row],[DISC 2]])</f>
        <v>tapedispenser805ungu12000</v>
      </c>
      <c r="AN38" s="184">
        <f>IF(NOTA[[#This Row],[CONCAT1]]="","",MATCH(NOTA[[#This Row],[CONCAT1]],[1]!db[NB NOTA_C],0)+1)</f>
        <v>2038</v>
      </c>
    </row>
    <row r="39" spans="1:40" ht="20.100000000000001" customHeight="1" x14ac:dyDescent="0.25">
      <c r="A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50" t="str">
        <f>IF(NOTA[[#This Row],[CEK_EXP]]&lt;D38,"err","")</f>
        <v/>
      </c>
      <c r="D39" s="50">
        <f>IF(NOTA[[#This Row],[TANGGAL]]="",D38,NOTA[[#This Row],[TANGGAL]])</f>
        <v>44930</v>
      </c>
      <c r="E39" s="50">
        <f ca="1">IF(NOTA[[#This Row],[NAMA BARANG]]="","",INDEX(NOTA[ID],MATCH(,INDIRECT(ADDRESS(ROW(NOTA[ID]),COLUMN(NOTA[ID]))&amp;":"&amp;ADDRESS(ROW(),COLUMN(NOTA[ID]))),-1)))</f>
        <v>8</v>
      </c>
      <c r="F39" s="23"/>
      <c r="G39" s="26"/>
      <c r="H39" s="26"/>
      <c r="I39" s="31"/>
      <c r="J39" s="26"/>
      <c r="K39" s="51"/>
      <c r="L39" s="26"/>
      <c r="M39" s="26" t="s">
        <v>205</v>
      </c>
      <c r="N39" s="39"/>
      <c r="O39" s="26">
        <v>9</v>
      </c>
      <c r="P39" s="26" t="s">
        <v>104</v>
      </c>
      <c r="Q39" s="49"/>
      <c r="R39" s="52"/>
      <c r="S39" s="39" t="s">
        <v>209</v>
      </c>
      <c r="T39" s="53"/>
      <c r="U39" s="53"/>
      <c r="V39" s="54"/>
      <c r="W39" s="37" t="s">
        <v>214</v>
      </c>
      <c r="X39" s="54" t="str">
        <f>IF(NOTA[[#This Row],[HARGA/ CTN]]="",NOTA[[#This Row],[JUMLAH_H]],NOTA[[#This Row],[HARGA/ CTN]]*IF(NOTA[[#This Row],[C]]="",0,NOTA[[#This Row],[C]]))</f>
        <v/>
      </c>
      <c r="Y39" s="54" t="str">
        <f>IF(NOTA[[#This Row],[JUMLAH]]="","",NOTA[[#This Row],[JUMLAH]]*NOTA[[#This Row],[DISC 1]])</f>
        <v/>
      </c>
      <c r="Z39" s="54" t="str">
        <f>IF(NOTA[[#This Row],[JUMLAH]]="","",(NOTA[[#This Row],[JUMLAH]]-NOTA[[#This Row],[DISC 1-]])*NOTA[[#This Row],[DISC 2]])</f>
        <v/>
      </c>
      <c r="AA39" s="54" t="str">
        <f>IF(NOTA[[#This Row],[JUMLAH]]="","",NOTA[[#This Row],[DISC 1-]]+NOTA[[#This Row],[DISC 2-]])</f>
        <v/>
      </c>
      <c r="AB39" s="54" t="str">
        <f>IF(NOTA[[#This Row],[JUMLAH]]="","",NOTA[[#This Row],[JUMLAH]]-NOTA[[#This Row],[DISC]])</f>
        <v/>
      </c>
      <c r="AC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9" s="54" t="str">
        <f>IF(OR(NOTA[[#This Row],[QTY]]="",NOTA[[#This Row],[HARGA SATUAN]]="",),"",NOTA[[#This Row],[QTY]]*NOTA[[#This Row],[HARGA SATUAN]])</f>
        <v/>
      </c>
      <c r="AG39" s="51">
        <f ca="1">IF(NOTA[ID_H]="","",INDEX(NOTA[TANGGAL],MATCH(,INDIRECT(ADDRESS(ROW(NOTA[TANGGAL]),COLUMN(NOTA[TANGGAL]))&amp;":"&amp;ADDRESS(ROW(),COLUMN(NOTA[TANGGAL]))),-1)))</f>
        <v>44930</v>
      </c>
      <c r="AH39" s="65" t="str">
        <f ca="1">IF(NOTA[[#This Row],[NAMA BARANG]]="","",INDEX(NOTA[SUPPLIER],MATCH(,INDIRECT(ADDRESS(ROW(NOTA[ID]),COLUMN(NOTA[ID]))&amp;":"&amp;ADDRESS(ROW(),COLUMN(NOTA[ID]))),-1)))</f>
        <v>JAYA MAKMUR</v>
      </c>
      <c r="AI39" s="65" t="str">
        <f ca="1">IF(NOTA[[#This Row],[ID_H]]="","",IF(NOTA[[#This Row],[FAKTUR]]="",INDIRECT(ADDRESS(ROW()-1,COLUMN())),NOTA[[#This Row],[FAKTUR]]))</f>
        <v>UNTANA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1</v>
      </c>
      <c r="AL39" s="38" t="str">
        <f>LOWER(SUBSTITUTE(SUBSTITUTE(SUBSTITUTE(SUBSTITUTE(SUBSTITUTE(SUBSTITUTE(SUBSTITUTE(SUBSTITUTE(SUBSTITUTE(NOTA[NAMA BARANG]," ",),".",""),"-",""),"(",""),")",""),",",""),"/",""),"""",""),"+",""))</f>
        <v>tapedispenser805biru</v>
      </c>
      <c r="AM39" s="38" t="str">
        <f>IF(NOTA[C]="",NOTA[[#This Row],[CONCAT1]]&amp;NOTA[[#This Row],[HARGA SATUAN]],NOTA[[#This Row],[CONCAT1]]&amp;NOTA[[#This Row],[HARGA/ CTN_H]]&amp;NOTA[[#This Row],[DISC 1]]&amp;NOTA[[#This Row],[DISC 2]])</f>
        <v>tapedispenser805biru</v>
      </c>
      <c r="AN39" s="184">
        <f>IF(NOTA[[#This Row],[CONCAT1]]="","",MATCH(NOTA[[#This Row],[CONCAT1]],[1]!db[NB NOTA_C],0)+1)</f>
        <v>2035</v>
      </c>
    </row>
    <row r="40" spans="1:40" ht="20.100000000000001" customHeight="1" x14ac:dyDescent="0.25">
      <c r="A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50" t="str">
        <f>IF(NOTA[[#This Row],[CEK_EXP]]&lt;D39,"err","")</f>
        <v/>
      </c>
      <c r="D40" s="50">
        <f>IF(NOTA[[#This Row],[TANGGAL]]="",D39,NOTA[[#This Row],[TANGGAL]])</f>
        <v>44930</v>
      </c>
      <c r="E40" s="50">
        <f ca="1">IF(NOTA[[#This Row],[NAMA BARANG]]="","",INDEX(NOTA[ID],MATCH(,INDIRECT(ADDRESS(ROW(NOTA[ID]),COLUMN(NOTA[ID]))&amp;":"&amp;ADDRESS(ROW(),COLUMN(NOTA[ID]))),-1)))</f>
        <v>8</v>
      </c>
      <c r="F40" s="23"/>
      <c r="G40" s="26"/>
      <c r="H40" s="26"/>
      <c r="I40" s="31"/>
      <c r="J40" s="26"/>
      <c r="K40" s="51"/>
      <c r="L40" s="26"/>
      <c r="M40" s="26" t="s">
        <v>206</v>
      </c>
      <c r="N40" s="39"/>
      <c r="O40" s="26">
        <v>9</v>
      </c>
      <c r="P40" s="26" t="s">
        <v>104</v>
      </c>
      <c r="Q40" s="49"/>
      <c r="R40" s="52"/>
      <c r="S40" s="39" t="s">
        <v>209</v>
      </c>
      <c r="T40" s="53"/>
      <c r="U40" s="53"/>
      <c r="V40" s="54"/>
      <c r="W40" s="37" t="s">
        <v>214</v>
      </c>
      <c r="X40" s="54" t="str">
        <f>IF(NOTA[[#This Row],[HARGA/ CTN]]="",NOTA[[#This Row],[JUMLAH_H]],NOTA[[#This Row],[HARGA/ CTN]]*IF(NOTA[[#This Row],[C]]="",0,NOTA[[#This Row],[C]]))</f>
        <v/>
      </c>
      <c r="Y40" s="54" t="str">
        <f>IF(NOTA[[#This Row],[JUMLAH]]="","",NOTA[[#This Row],[JUMLAH]]*NOTA[[#This Row],[DISC 1]])</f>
        <v/>
      </c>
      <c r="Z40" s="54" t="str">
        <f>IF(NOTA[[#This Row],[JUMLAH]]="","",(NOTA[[#This Row],[JUMLAH]]-NOTA[[#This Row],[DISC 1-]])*NOTA[[#This Row],[DISC 2]])</f>
        <v/>
      </c>
      <c r="AA40" s="54" t="str">
        <f>IF(NOTA[[#This Row],[JUMLAH]]="","",NOTA[[#This Row],[DISC 1-]]+NOTA[[#This Row],[DISC 2-]])</f>
        <v/>
      </c>
      <c r="AB40" s="54" t="str">
        <f>IF(NOTA[[#This Row],[JUMLAH]]="","",NOTA[[#This Row],[JUMLAH]]-NOTA[[#This Row],[DISC]])</f>
        <v/>
      </c>
      <c r="AC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0" s="54" t="str">
        <f>IF(OR(NOTA[[#This Row],[QTY]]="",NOTA[[#This Row],[HARGA SATUAN]]="",),"",NOTA[[#This Row],[QTY]]*NOTA[[#This Row],[HARGA SATUAN]])</f>
        <v/>
      </c>
      <c r="AG40" s="51">
        <f ca="1">IF(NOTA[ID_H]="","",INDEX(NOTA[TANGGAL],MATCH(,INDIRECT(ADDRESS(ROW(NOTA[TANGGAL]),COLUMN(NOTA[TANGGAL]))&amp;":"&amp;ADDRESS(ROW(),COLUMN(NOTA[TANGGAL]))),-1)))</f>
        <v>44930</v>
      </c>
      <c r="AH40" s="65" t="str">
        <f ca="1">IF(NOTA[[#This Row],[NAMA BARANG]]="","",INDEX(NOTA[SUPPLIER],MATCH(,INDIRECT(ADDRESS(ROW(NOTA[ID]),COLUMN(NOTA[ID]))&amp;":"&amp;ADDRESS(ROW(),COLUMN(NOTA[ID]))),-1)))</f>
        <v>JAYA MAKMUR</v>
      </c>
      <c r="AI40" s="65" t="str">
        <f ca="1">IF(NOTA[[#This Row],[ID_H]]="","",IF(NOTA[[#This Row],[FAKTUR]]="",INDIRECT(ADDRESS(ROW()-1,COLUMN())),NOTA[[#This Row],[FAKTUR]]))</f>
        <v>UNTANA</v>
      </c>
      <c r="AJ40" s="38" t="str">
        <f ca="1">IF(NOTA[[#This Row],[ID]]="","",COUNTIF(NOTA[ID_H],NOTA[[#This Row],[ID_H]]))</f>
        <v/>
      </c>
      <c r="AK40" s="38">
        <f ca="1">IF(NOTA[[#This Row],[TGL.NOTA]]="",IF(NOTA[[#This Row],[SUPPLIER_H]]="","",AK39),MONTH(NOTA[[#This Row],[TGL.NOTA]]))</f>
        <v>1</v>
      </c>
      <c r="AL40" s="3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40" s="38" t="str">
        <f>IF(NOTA[C]="",NOTA[[#This Row],[CONCAT1]]&amp;NOTA[[#This Row],[HARGA SATUAN]],NOTA[[#This Row],[CONCAT1]]&amp;NOTA[[#This Row],[HARGA/ CTN_H]]&amp;NOTA[[#This Row],[DISC 1]]&amp;NOTA[[#This Row],[DISC 2]])</f>
        <v>tapedispenser805hijau</v>
      </c>
      <c r="AN40" s="184">
        <f>IF(NOTA[[#This Row],[CONCAT1]]="","",MATCH(NOTA[[#This Row],[CONCAT1]],[1]!db[NB NOTA_C],0)+1)</f>
        <v>2036</v>
      </c>
    </row>
    <row r="41" spans="1:40" ht="20.100000000000001" customHeight="1" x14ac:dyDescent="0.25">
      <c r="A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50" t="str">
        <f>IF(NOTA[[#This Row],[CEK_EXP]]&lt;D40,"err","")</f>
        <v/>
      </c>
      <c r="D41" s="50">
        <f>IF(NOTA[[#This Row],[TANGGAL]]="",D40,NOTA[[#This Row],[TANGGAL]])</f>
        <v>44930</v>
      </c>
      <c r="E41" s="50">
        <f ca="1">IF(NOTA[[#This Row],[NAMA BARANG]]="","",INDEX(NOTA[ID],MATCH(,INDIRECT(ADDRESS(ROW(NOTA[ID]),COLUMN(NOTA[ID]))&amp;":"&amp;ADDRESS(ROW(),COLUMN(NOTA[ID]))),-1)))</f>
        <v>8</v>
      </c>
      <c r="F41" s="23"/>
      <c r="G41" s="26"/>
      <c r="H41" s="26"/>
      <c r="I41" s="31"/>
      <c r="J41" s="26"/>
      <c r="K41" s="51"/>
      <c r="L41" s="26"/>
      <c r="M41" s="26" t="s">
        <v>207</v>
      </c>
      <c r="N41" s="39"/>
      <c r="O41" s="26">
        <v>9</v>
      </c>
      <c r="P41" s="26" t="s">
        <v>104</v>
      </c>
      <c r="Q41" s="49"/>
      <c r="R41" s="52"/>
      <c r="S41" s="39" t="s">
        <v>209</v>
      </c>
      <c r="T41" s="53"/>
      <c r="U41" s="53"/>
      <c r="V41" s="54"/>
      <c r="W41" s="37" t="s">
        <v>214</v>
      </c>
      <c r="X41" s="54" t="str">
        <f>IF(NOTA[[#This Row],[HARGA/ CTN]]="",NOTA[[#This Row],[JUMLAH_H]],NOTA[[#This Row],[HARGA/ CTN]]*IF(NOTA[[#This Row],[C]]="",0,NOTA[[#This Row],[C]]))</f>
        <v/>
      </c>
      <c r="Y41" s="54" t="str">
        <f>IF(NOTA[[#This Row],[JUMLAH]]="","",NOTA[[#This Row],[JUMLAH]]*NOTA[[#This Row],[DISC 1]])</f>
        <v/>
      </c>
      <c r="Z41" s="54" t="str">
        <f>IF(NOTA[[#This Row],[JUMLAH]]="","",(NOTA[[#This Row],[JUMLAH]]-NOTA[[#This Row],[DISC 1-]])*NOTA[[#This Row],[DISC 2]])</f>
        <v/>
      </c>
      <c r="AA41" s="54" t="str">
        <f>IF(NOTA[[#This Row],[JUMLAH]]="","",NOTA[[#This Row],[DISC 1-]]+NOTA[[#This Row],[DISC 2-]])</f>
        <v/>
      </c>
      <c r="AB41" s="54" t="str">
        <f>IF(NOTA[[#This Row],[JUMLAH]]="","",NOTA[[#This Row],[JUMLAH]]-NOTA[[#This Row],[DISC]])</f>
        <v/>
      </c>
      <c r="AC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1" s="54" t="str">
        <f>IF(OR(NOTA[[#This Row],[QTY]]="",NOTA[[#This Row],[HARGA SATUAN]]="",),"",NOTA[[#This Row],[QTY]]*NOTA[[#This Row],[HARGA SATUAN]])</f>
        <v/>
      </c>
      <c r="AG41" s="51">
        <f ca="1">IF(NOTA[ID_H]="","",INDEX(NOTA[TANGGAL],MATCH(,INDIRECT(ADDRESS(ROW(NOTA[TANGGAL]),COLUMN(NOTA[TANGGAL]))&amp;":"&amp;ADDRESS(ROW(),COLUMN(NOTA[TANGGAL]))),-1)))</f>
        <v>44930</v>
      </c>
      <c r="AH41" s="65" t="str">
        <f ca="1">IF(NOTA[[#This Row],[NAMA BARANG]]="","",INDEX(NOTA[SUPPLIER],MATCH(,INDIRECT(ADDRESS(ROW(NOTA[ID]),COLUMN(NOTA[ID]))&amp;":"&amp;ADDRESS(ROW(),COLUMN(NOTA[ID]))),-1)))</f>
        <v>JAYA MAKMUR</v>
      </c>
      <c r="AI41" s="65" t="str">
        <f ca="1">IF(NOTA[[#This Row],[ID_H]]="","",IF(NOTA[[#This Row],[FAKTUR]]="",INDIRECT(ADDRESS(ROW()-1,COLUMN())),NOTA[[#This Row],[FAKTUR]]))</f>
        <v>UNTANA</v>
      </c>
      <c r="AJ41" s="38" t="str">
        <f ca="1">IF(NOTA[[#This Row],[ID]]="","",COUNTIF(NOTA[ID_H],NOTA[[#This Row],[ID_H]]))</f>
        <v/>
      </c>
      <c r="AK41" s="38">
        <f ca="1">IF(NOTA[[#This Row],[TGL.NOTA]]="",IF(NOTA[[#This Row],[SUPPLIER_H]]="","",AK40),MONTH(NOTA[[#This Row],[TGL.NOTA]]))</f>
        <v>1</v>
      </c>
      <c r="AL41" s="3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41" s="38" t="str">
        <f>IF(NOTA[C]="",NOTA[[#This Row],[CONCAT1]]&amp;NOTA[[#This Row],[HARGA SATUAN]],NOTA[[#This Row],[CONCAT1]]&amp;NOTA[[#This Row],[HARGA/ CTN_H]]&amp;NOTA[[#This Row],[DISC 1]]&amp;NOTA[[#This Row],[DISC 2]])</f>
        <v>tapedispenser805merah</v>
      </c>
      <c r="AN41" s="184">
        <f>IF(NOTA[[#This Row],[CONCAT1]]="","",MATCH(NOTA[[#This Row],[CONCAT1]],[1]!db[NB NOTA_C],0)+1)</f>
        <v>2037</v>
      </c>
    </row>
    <row r="42" spans="1:40" ht="20.100000000000001" customHeight="1" x14ac:dyDescent="0.25">
      <c r="A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50" t="str">
        <f>IF(NOTA[[#This Row],[CEK_EXP]]&lt;D41,"err","")</f>
        <v/>
      </c>
      <c r="D42" s="50">
        <f>IF(NOTA[[#This Row],[TANGGAL]]="",D41,NOTA[[#This Row],[TANGGAL]])</f>
        <v>44930</v>
      </c>
      <c r="E42" s="50">
        <f ca="1">IF(NOTA[[#This Row],[NAMA BARANG]]="","",INDEX(NOTA[ID],MATCH(,INDIRECT(ADDRESS(ROW(NOTA[ID]),COLUMN(NOTA[ID]))&amp;":"&amp;ADDRESS(ROW(),COLUMN(NOTA[ID]))),-1)))</f>
        <v>8</v>
      </c>
      <c r="F42" s="23"/>
      <c r="G42" s="26"/>
      <c r="H42" s="26"/>
      <c r="I42" s="31"/>
      <c r="J42" s="26"/>
      <c r="K42" s="51"/>
      <c r="L42" s="26"/>
      <c r="M42" s="26" t="s">
        <v>208</v>
      </c>
      <c r="N42" s="39"/>
      <c r="O42" s="26">
        <v>9</v>
      </c>
      <c r="P42" s="26" t="s">
        <v>104</v>
      </c>
      <c r="Q42" s="49"/>
      <c r="R42" s="52"/>
      <c r="S42" s="39" t="s">
        <v>209</v>
      </c>
      <c r="T42" s="53"/>
      <c r="U42" s="53"/>
      <c r="V42" s="54"/>
      <c r="W42" s="37" t="s">
        <v>214</v>
      </c>
      <c r="X42" s="54" t="str">
        <f>IF(NOTA[[#This Row],[HARGA/ CTN]]="",NOTA[[#This Row],[JUMLAH_H]],NOTA[[#This Row],[HARGA/ CTN]]*IF(NOTA[[#This Row],[C]]="",0,NOTA[[#This Row],[C]]))</f>
        <v/>
      </c>
      <c r="Y42" s="54" t="str">
        <f>IF(NOTA[[#This Row],[JUMLAH]]="","",NOTA[[#This Row],[JUMLAH]]*NOTA[[#This Row],[DISC 1]])</f>
        <v/>
      </c>
      <c r="Z42" s="54" t="str">
        <f>IF(NOTA[[#This Row],[JUMLAH]]="","",(NOTA[[#This Row],[JUMLAH]]-NOTA[[#This Row],[DISC 1-]])*NOTA[[#This Row],[DISC 2]])</f>
        <v/>
      </c>
      <c r="AA42" s="54" t="str">
        <f>IF(NOTA[[#This Row],[JUMLAH]]="","",NOTA[[#This Row],[DISC 1-]]+NOTA[[#This Row],[DISC 2-]])</f>
        <v/>
      </c>
      <c r="AB42" s="54" t="str">
        <f>IF(NOTA[[#This Row],[JUMLAH]]="","",NOTA[[#This Row],[JUMLAH]]-NOTA[[#This Row],[DISC]])</f>
        <v/>
      </c>
      <c r="AC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7440000</v>
      </c>
      <c r="AE4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2" s="54" t="str">
        <f>IF(OR(NOTA[[#This Row],[QTY]]="",NOTA[[#This Row],[HARGA SATUAN]]="",),"",NOTA[[#This Row],[QTY]]*NOTA[[#This Row],[HARGA SATUAN]])</f>
        <v/>
      </c>
      <c r="AG42" s="51">
        <f ca="1">IF(NOTA[ID_H]="","",INDEX(NOTA[TANGGAL],MATCH(,INDIRECT(ADDRESS(ROW(NOTA[TANGGAL]),COLUMN(NOTA[TANGGAL]))&amp;":"&amp;ADDRESS(ROW(),COLUMN(NOTA[TANGGAL]))),-1)))</f>
        <v>44930</v>
      </c>
      <c r="AH42" s="65" t="str">
        <f ca="1">IF(NOTA[[#This Row],[NAMA BARANG]]="","",INDEX(NOTA[SUPPLIER],MATCH(,INDIRECT(ADDRESS(ROW(NOTA[ID]),COLUMN(NOTA[ID]))&amp;":"&amp;ADDRESS(ROW(),COLUMN(NOTA[ID]))),-1)))</f>
        <v>JAYA MAKMUR</v>
      </c>
      <c r="AI42" s="65" t="str">
        <f ca="1">IF(NOTA[[#This Row],[ID_H]]="","",IF(NOTA[[#This Row],[FAKTUR]]="",INDIRECT(ADDRESS(ROW()-1,COLUMN())),NOTA[[#This Row],[FAKTUR]]))</f>
        <v>UNTANA</v>
      </c>
      <c r="AJ42" s="38" t="str">
        <f ca="1">IF(NOTA[[#This Row],[ID]]="","",COUNTIF(NOTA[ID_H],NOTA[[#This Row],[ID_H]]))</f>
        <v/>
      </c>
      <c r="AK42" s="38">
        <f ca="1">IF(NOTA[[#This Row],[TGL.NOTA]]="",IF(NOTA[[#This Row],[SUPPLIER_H]]="","",AK41),MONTH(NOTA[[#This Row],[TGL.NOTA]]))</f>
        <v>1</v>
      </c>
      <c r="AL42" s="3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42" s="38" t="str">
        <f>IF(NOTA[C]="",NOTA[[#This Row],[CONCAT1]]&amp;NOTA[[#This Row],[HARGA SATUAN]],NOTA[[#This Row],[CONCAT1]]&amp;NOTA[[#This Row],[HARGA/ CTN_H]]&amp;NOTA[[#This Row],[DISC 1]]&amp;NOTA[[#This Row],[DISC 2]])</f>
        <v>tapedispenser805ungu</v>
      </c>
      <c r="AN42" s="184">
        <f>IF(NOTA[[#This Row],[CONCAT1]]="","",MATCH(NOTA[[#This Row],[CONCAT1]],[1]!db[NB NOTA_C],0)+1)</f>
        <v>2038</v>
      </c>
    </row>
    <row r="43" spans="1:40" ht="20.100000000000001" customHeight="1" x14ac:dyDescent="0.25">
      <c r="A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50" t="str">
        <f>IF(NOTA[[#This Row],[CEK_EXP]]&lt;D42,"err","")</f>
        <v/>
      </c>
      <c r="D43" s="50">
        <f>IF(NOTA[[#This Row],[TANGGAL]]="",D42,NOTA[[#This Row],[TANGGAL]])</f>
        <v>44930</v>
      </c>
      <c r="E43" s="50" t="str">
        <f ca="1">IF(NOTA[[#This Row],[NAMA BARANG]]="","",INDEX(NOTA[ID],MATCH(,INDIRECT(ADDRESS(ROW(NOTA[ID]),COLUMN(NOTA[ID]))&amp;":"&amp;ADDRESS(ROW(),COLUMN(NOTA[ID]))),-1)))</f>
        <v/>
      </c>
      <c r="F43" s="23"/>
      <c r="G43" s="26"/>
      <c r="H43" s="26"/>
      <c r="I43" s="31"/>
      <c r="J43" s="26"/>
      <c r="K43" s="51"/>
      <c r="L43" s="26"/>
      <c r="M43" s="26"/>
      <c r="N43" s="39"/>
      <c r="O43" s="26"/>
      <c r="P43" s="26"/>
      <c r="Q43" s="49"/>
      <c r="R43" s="52"/>
      <c r="S43" s="39"/>
      <c r="T43" s="53"/>
      <c r="U43" s="53"/>
      <c r="V43" s="54"/>
      <c r="W43" s="37"/>
      <c r="X43" s="54" t="str">
        <f>IF(NOTA[[#This Row],[HARGA/ CTN]]="",NOTA[[#This Row],[JUMLAH_H]],NOTA[[#This Row],[HARGA/ CTN]]*IF(NOTA[[#This Row],[C]]="",0,NOTA[[#This Row],[C]]))</f>
        <v/>
      </c>
      <c r="Y43" s="54" t="str">
        <f>IF(NOTA[[#This Row],[JUMLAH]]="","",NOTA[[#This Row],[JUMLAH]]*NOTA[[#This Row],[DISC 1]])</f>
        <v/>
      </c>
      <c r="Z43" s="54" t="str">
        <f>IF(NOTA[[#This Row],[JUMLAH]]="","",(NOTA[[#This Row],[JUMLAH]]-NOTA[[#This Row],[DISC 1-]])*NOTA[[#This Row],[DISC 2]])</f>
        <v/>
      </c>
      <c r="AA43" s="54" t="str">
        <f>IF(NOTA[[#This Row],[JUMLAH]]="","",NOTA[[#This Row],[DISC 1-]]+NOTA[[#This Row],[DISC 2-]])</f>
        <v/>
      </c>
      <c r="AB43" s="54" t="str">
        <f>IF(NOTA[[#This Row],[JUMLAH]]="","",NOTA[[#This Row],[JUMLAH]]-NOTA[[#This Row],[DISC]])</f>
        <v/>
      </c>
      <c r="AC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54" t="str">
        <f>IF(OR(NOTA[[#This Row],[QTY]]="",NOTA[[#This Row],[HARGA SATUAN]]="",),"",NOTA[[#This Row],[QTY]]*NOTA[[#This Row],[HARGA SATUAN]])</f>
        <v/>
      </c>
      <c r="AG43" s="51" t="str">
        <f ca="1">IF(NOTA[ID_H]="","",INDEX(NOTA[TANGGAL],MATCH(,INDIRECT(ADDRESS(ROW(NOTA[TANGGAL]),COLUMN(NOTA[TANGGAL]))&amp;":"&amp;ADDRESS(ROW(),COLUMN(NOTA[TANGGAL]))),-1)))</f>
        <v/>
      </c>
      <c r="AH43" s="65" t="str">
        <f ca="1">IF(NOTA[[#This Row],[NAMA BARANG]]="","",INDEX(NOTA[SUPPLIER],MATCH(,INDIRECT(ADDRESS(ROW(NOTA[ID]),COLUMN(NOTA[ID]))&amp;":"&amp;ADDRESS(ROW(),COLUMN(NOTA[ID]))),-1)))</f>
        <v/>
      </c>
      <c r="AI43" s="65" t="str">
        <f ca="1">IF(NOTA[[#This Row],[ID_H]]="","",IF(NOTA[[#This Row],[FAKTUR]]="",INDIRECT(ADDRESS(ROW()-1,COLUMN())),NOTA[[#This Row],[FAKTUR]]))</f>
        <v/>
      </c>
      <c r="AJ43" s="38" t="str">
        <f ca="1">IF(NOTA[[#This Row],[ID]]="","",COUNTIF(NOTA[ID_H],NOTA[[#This Row],[ID_H]]))</f>
        <v/>
      </c>
      <c r="AK43" s="38" t="str">
        <f ca="1">IF(NOTA[[#This Row],[TGL.NOTA]]="",IF(NOTA[[#This Row],[SUPPLIER_H]]="","",AK42),MONTH(NOTA[[#This Row],[TGL.NOTA]]))</f>
        <v/>
      </c>
      <c r="AL43" s="38" t="str">
        <f>LOWER(SUBSTITUTE(SUBSTITUTE(SUBSTITUTE(SUBSTITUTE(SUBSTITUTE(SUBSTITUTE(SUBSTITUTE(SUBSTITUTE(SUBSTITUTE(NOTA[NAMA BARANG]," ",),".",""),"-",""),"(",""),")",""),",",""),"/",""),"""",""),"+",""))</f>
        <v/>
      </c>
      <c r="AM43" s="38" t="str">
        <f>IF(NOTA[C]="",NOTA[[#This Row],[CONCAT1]]&amp;NOTA[[#This Row],[HARGA SATUAN]],NOTA[[#This Row],[CONCAT1]]&amp;NOTA[[#This Row],[HARGA/ CTN_H]]&amp;NOTA[[#This Row],[DISC 1]]&amp;NOTA[[#This Row],[DISC 2]])</f>
        <v/>
      </c>
      <c r="AN43" s="184" t="str">
        <f>IF(NOTA[[#This Row],[CONCAT1]]="","",MATCH(NOTA[[#This Row],[CONCAT1]],[1]!db[NB NOTA_C],0)+1)</f>
        <v/>
      </c>
    </row>
    <row r="44" spans="1:40" ht="20.100000000000001" customHeight="1" x14ac:dyDescent="0.25">
      <c r="A44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KUN_0501_341-1</v>
      </c>
      <c r="C44" s="29" t="str">
        <f>IF(NOTA[[#This Row],[CEK_EXP]]&lt;D43,"err","")</f>
        <v/>
      </c>
      <c r="D44" s="29">
        <f>IF(NOTA[[#This Row],[TANGGAL]]="",D43,NOTA[[#This Row],[TANGGAL]])</f>
        <v>44931</v>
      </c>
      <c r="E44" s="29">
        <f ca="1">IF(NOTA[[#This Row],[NAMA BARANG]]="","",INDEX(NOTA[ID],MATCH(,INDIRECT(ADDRESS(ROW(NOTA[ID]),COLUMN(NOTA[ID]))&amp;":"&amp;ADDRESS(ROW(),COLUMN(NOTA[ID]))),-1)))</f>
        <v>9</v>
      </c>
      <c r="F44" s="30">
        <v>44931</v>
      </c>
      <c r="G44" s="26" t="s">
        <v>82</v>
      </c>
      <c r="H44" s="26" t="s">
        <v>24</v>
      </c>
      <c r="I44" s="31" t="s">
        <v>147</v>
      </c>
      <c r="J44" s="32"/>
      <c r="K44" s="33">
        <v>44928</v>
      </c>
      <c r="L44" s="32"/>
      <c r="M44" s="26" t="s">
        <v>148</v>
      </c>
      <c r="N44" s="34">
        <v>6</v>
      </c>
      <c r="O44" s="32">
        <v>300</v>
      </c>
      <c r="P44" s="26" t="s">
        <v>104</v>
      </c>
      <c r="Q44" s="28">
        <f>12870</f>
        <v>12870</v>
      </c>
      <c r="R44" s="46"/>
      <c r="S44" s="39" t="s">
        <v>126</v>
      </c>
      <c r="T44" s="35"/>
      <c r="U44" s="35"/>
      <c r="V44" s="36"/>
      <c r="W44" s="37" t="s">
        <v>149</v>
      </c>
      <c r="X44" s="36">
        <f>IF(NOTA[[#This Row],[HARGA/ CTN]]="",NOTA[[#This Row],[JUMLAH_H]],NOTA[[#This Row],[HARGA/ CTN]]*IF(NOTA[[#This Row],[C]]="",0,NOTA[[#This Row],[C]]))</f>
        <v>3861000</v>
      </c>
      <c r="Y44" s="36">
        <f>IF(NOTA[[#This Row],[JUMLAH]]="","",NOTA[[#This Row],[JUMLAH]]*NOTA[[#This Row],[DISC 1]])</f>
        <v>0</v>
      </c>
      <c r="Z44" s="36">
        <f>IF(NOTA[[#This Row],[JUMLAH]]="","",(NOTA[[#This Row],[JUMLAH]]-NOTA[[#This Row],[DISC 1-]])*NOTA[[#This Row],[DISC 2]])</f>
        <v>0</v>
      </c>
      <c r="AA44" s="36">
        <f>IF(NOTA[[#This Row],[JUMLAH]]="","",NOTA[[#This Row],[DISC 1-]]+NOTA[[#This Row],[DISC 2-]])</f>
        <v>0</v>
      </c>
      <c r="AB44" s="36">
        <f>IF(NOTA[[#This Row],[JUMLAH]]="","",NOTA[[#This Row],[JUMLAH]]-NOTA[[#This Row],[DISC]])</f>
        <v>3861000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E44" s="28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F44" s="36">
        <f>IF(OR(NOTA[[#This Row],[QTY]]="",NOTA[[#This Row],[HARGA SATUAN]]="",),"",NOTA[[#This Row],[QTY]]*NOTA[[#This Row],[HARGA SATUAN]])</f>
        <v>3861000</v>
      </c>
      <c r="AG44" s="33">
        <f ca="1">IF(NOTA[ID_H]="","",INDEX(NOTA[TANGGAL],MATCH(,INDIRECT(ADDRESS(ROW(NOTA[TANGGAL]),COLUMN(NOTA[TANGGAL]))&amp;":"&amp;ADDRESS(ROW(),COLUMN(NOTA[TANGGAL]))),-1)))</f>
        <v>44931</v>
      </c>
      <c r="AH44" s="28" t="str">
        <f ca="1">IF(NOTA[[#This Row],[NAMA BARANG]]="","",INDEX(NOTA[SUPPLIER],MATCH(,INDIRECT(ADDRESS(ROW(NOTA[ID]),COLUMN(NOTA[ID]))&amp;":"&amp;ADDRESS(ROW(),COLUMN(NOTA[ID]))),-1)))</f>
        <v>KUNCI MATAHARI</v>
      </c>
      <c r="AI44" s="28" t="str">
        <f ca="1">IF(NOTA[[#This Row],[ID_H]]="","",IF(NOTA[[#This Row],[FAKTUR]]="",INDIRECT(ADDRESS(ROW()-1,COLUMN())),NOTA[[#This Row],[FAKTUR]]))</f>
        <v>ARTO MORO</v>
      </c>
      <c r="AJ44" s="38">
        <f ca="1">IF(NOTA[[#This Row],[ID]]="","",COUNTIF(NOTA[ID_H],NOTA[[#This Row],[ID_H]]))</f>
        <v>1</v>
      </c>
      <c r="AK44" s="38">
        <f>IF(NOTA[[#This Row],[TGL.NOTA]]="",IF(NOTA[[#This Row],[SUPPLIER_H]]="","",AK20),MONTH(NOTA[[#This Row],[TGL.NOTA]]))</f>
        <v>1</v>
      </c>
      <c r="AL44" s="38" t="str">
        <f>LOWER(SUBSTITUTE(SUBSTITUTE(SUBSTITUTE(SUBSTITUTE(SUBSTITUTE(SUBSTITUTE(SUBSTITUTE(SUBSTITUTE(SUBSTITUTE(NOTA[NAMA BARANG]," ",),".",""),"-",""),"(",""),")",""),",",""),"/",""),"""",""),"+",""))</f>
        <v>bkkasfolio</v>
      </c>
      <c r="AM44" s="38" t="str">
        <f>IF(NOTA[C]="",NOTA[[#This Row],[CONCAT1]]&amp;NOTA[[#This Row],[HARGA SATUAN]],NOTA[[#This Row],[CONCAT1]]&amp;NOTA[[#This Row],[HARGA/ CTN_H]]&amp;NOTA[[#This Row],[DISC 1]]&amp;NOTA[[#This Row],[DISC 2]])</f>
        <v>bkkasfolio643500</v>
      </c>
      <c r="AN44" s="184">
        <f>IF(NOTA[[#This Row],[CONCAT1]]="","",MATCH(NOTA[[#This Row],[CONCAT1]],[1]!db[NB NOTA_C],0)+1)</f>
        <v>259</v>
      </c>
    </row>
    <row r="45" spans="1:40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Row],[CEK_EXP]]&lt;D44,"err","")</f>
        <v/>
      </c>
      <c r="D45" s="29">
        <f>IF(NOTA[[#This Row],[TANGGAL]]="",D44,NOTA[[#This Row],[TANGGAL]])</f>
        <v>44931</v>
      </c>
      <c r="E45" s="29" t="str">
        <f ca="1">IF(NOTA[[#This Row],[NAMA BARANG]]="","",INDEX(NOTA[ID],MATCH(,INDIRECT(ADDRESS(ROW(NOTA[ID]),COLUMN(NOTA[ID]))&amp;":"&amp;ADDRESS(ROW(),COLUMN(NOTA[ID]))),-1)))</f>
        <v/>
      </c>
      <c r="F45" s="30"/>
      <c r="G45" s="26"/>
      <c r="H45" s="26"/>
      <c r="I45" s="31"/>
      <c r="J45" s="26"/>
      <c r="K45" s="33"/>
      <c r="L45" s="32"/>
      <c r="M45" s="26"/>
      <c r="N45" s="34"/>
      <c r="O45" s="32"/>
      <c r="P45" s="26"/>
      <c r="Q45" s="28"/>
      <c r="R45" s="46"/>
      <c r="S45" s="39"/>
      <c r="T45" s="35"/>
      <c r="U45" s="35"/>
      <c r="V45" s="36"/>
      <c r="W45" s="37"/>
      <c r="X45" s="36" t="str">
        <f>IF(NOTA[[#This Row],[HARGA/ CTN]]="",NOTA[[#This Row],[JUMLAH_H]],NOTA[[#This Row],[HARGA/ CTN]]*IF(NOTA[[#This Row],[C]]="",0,NOTA[[#This Row],[C]]))</f>
        <v/>
      </c>
      <c r="Y45" s="36" t="str">
        <f>IF(NOTA[[#This Row],[JUMLAH]]="","",NOTA[[#This Row],[JUMLAH]]*NOTA[[#This Row],[DISC 1]])</f>
        <v/>
      </c>
      <c r="Z45" s="36" t="str">
        <f>IF(NOTA[[#This Row],[JUMLAH]]="","",(NOTA[[#This Row],[JUMLAH]]-NOTA[[#This Row],[DISC 1-]])*NOTA[[#This Row],[DISC 2]])</f>
        <v/>
      </c>
      <c r="AA45" s="36" t="str">
        <f>IF(NOTA[[#This Row],[JUMLAH]]="","",NOTA[[#This Row],[DISC 1-]]+NOTA[[#This Row],[DISC 2-]])</f>
        <v/>
      </c>
      <c r="AB45" s="36" t="str">
        <f>IF(NOTA[[#This Row],[JUMLAH]]="","",NOTA[[#This Row],[JUMLAH]]-NOTA[[#This Row],[DISC]])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36" t="str">
        <f>IF(OR(NOTA[[#This Row],[QTY]]="",NOTA[[#This Row],[HARGA SATUAN]]="",),"",NOTA[[#This Row],[QTY]]*NOTA[[#This Row],[HARGA SATUAN]])</f>
        <v/>
      </c>
      <c r="AG45" s="33" t="str">
        <f ca="1">IF(NOTA[ID_H]="","",INDEX(NOTA[TANGGAL],MATCH(,INDIRECT(ADDRESS(ROW(NOTA[TANGGAL]),COLUMN(NOTA[TANGGAL]))&amp;":"&amp;ADDRESS(ROW(),COLUMN(NOTA[TANGGAL]))),-1)))</f>
        <v/>
      </c>
      <c r="AH45" s="28" t="str">
        <f ca="1">IF(NOTA[[#This Row],[NAMA BARANG]]="","",INDEX(NOTA[SUPPLIER],MATCH(,INDIRECT(ADDRESS(ROW(NOTA[ID]),COLUMN(NOTA[ID]))&amp;":"&amp;ADDRESS(ROW(),COLUMN(NOTA[ID]))),-1)))</f>
        <v/>
      </c>
      <c r="AI45" s="28" t="str">
        <f ca="1">IF(NOTA[[#This Row],[ID_H]]="","",IF(NOTA[[#This Row],[FAKTUR]]="",INDIRECT(ADDRESS(ROW()-1,COLUMN())),NOTA[[#This Row],[FAKTUR]]))</f>
        <v/>
      </c>
      <c r="AJ45" s="38" t="str">
        <f ca="1">IF(NOTA[[#This Row],[ID]]="","",COUNTIF(NOTA[ID_H],NOTA[[#This Row],[ID_H]]))</f>
        <v/>
      </c>
      <c r="AK45" s="38" t="str">
        <f ca="1">IF(NOTA[[#This Row],[TGL.NOTA]]="",IF(NOTA[[#This Row],[SUPPLIER_H]]="","",AK44),MONTH(NOTA[[#This Row],[TGL.NOTA]]))</f>
        <v/>
      </c>
      <c r="AL45" s="38" t="str">
        <f>LOWER(SUBSTITUTE(SUBSTITUTE(SUBSTITUTE(SUBSTITUTE(SUBSTITUTE(SUBSTITUTE(SUBSTITUTE(SUBSTITUTE(SUBSTITUTE(NOTA[NAMA BARANG]," ",),".",""),"-",""),"(",""),")",""),",",""),"/",""),"""",""),"+",""))</f>
        <v/>
      </c>
      <c r="AM45" s="38" t="str">
        <f>IF(NOTA[C]="",NOTA[[#This Row],[CONCAT1]]&amp;NOTA[[#This Row],[HARGA SATUAN]],NOTA[[#This Row],[CONCAT1]]&amp;NOTA[[#This Row],[HARGA/ CTN_H]]&amp;NOTA[[#This Row],[DISC 1]]&amp;NOTA[[#This Row],[DISC 2]])</f>
        <v/>
      </c>
      <c r="AN45" s="184" t="str">
        <f>IF(NOTA[[#This Row],[CONCAT1]]="","",MATCH(NOTA[[#This Row],[CONCAT1]],[1]!db[NB NOTA_C],0)+1)</f>
        <v/>
      </c>
    </row>
    <row r="46" spans="1:40" ht="20.100000000000001" customHeight="1" x14ac:dyDescent="0.25">
      <c r="A46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4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ATA_0501_053-5</v>
      </c>
      <c r="C46" s="29" t="str">
        <f>IF(NOTA[[#This Row],[CEK_EXP]]&lt;D45,"err","")</f>
        <v/>
      </c>
      <c r="D46" s="29">
        <f>IF(NOTA[[#This Row],[TANGGAL]]="",D45,NOTA[[#This Row],[TANGGAL]])</f>
        <v>44931</v>
      </c>
      <c r="E46" s="29">
        <f ca="1">IF(NOTA[[#This Row],[NAMA BARANG]]="","",INDEX(NOTA[ID],MATCH(,INDIRECT(ADDRESS(ROW(NOTA[ID]),COLUMN(NOTA[ID]))&amp;":"&amp;ADDRESS(ROW(),COLUMN(NOTA[ID]))),-1)))</f>
        <v>10</v>
      </c>
      <c r="F46" s="30"/>
      <c r="G46" s="26" t="s">
        <v>25</v>
      </c>
      <c r="H46" s="26" t="s">
        <v>24</v>
      </c>
      <c r="I46" s="31" t="s">
        <v>150</v>
      </c>
      <c r="J46" s="26"/>
      <c r="K46" s="33">
        <v>44928</v>
      </c>
      <c r="L46" s="32"/>
      <c r="M46" s="26" t="s">
        <v>151</v>
      </c>
      <c r="N46" s="34">
        <v>4</v>
      </c>
      <c r="O46" s="32">
        <v>144</v>
      </c>
      <c r="P46" s="26" t="s">
        <v>128</v>
      </c>
      <c r="Q46" s="28">
        <v>41500</v>
      </c>
      <c r="R46" s="46"/>
      <c r="S46" s="39" t="s">
        <v>123</v>
      </c>
      <c r="T46" s="35">
        <v>0.125</v>
      </c>
      <c r="U46" s="35">
        <v>0.05</v>
      </c>
      <c r="V46" s="36"/>
      <c r="W46" s="37"/>
      <c r="X46" s="36">
        <f>IF(NOTA[[#This Row],[HARGA/ CTN]]="",NOTA[[#This Row],[JUMLAH_H]],NOTA[[#This Row],[HARGA/ CTN]]*IF(NOTA[[#This Row],[C]]="",0,NOTA[[#This Row],[C]]))</f>
        <v>5976000</v>
      </c>
      <c r="Y46" s="36">
        <f>IF(NOTA[[#This Row],[JUMLAH]]="","",NOTA[[#This Row],[JUMLAH]]*NOTA[[#This Row],[DISC 1]])</f>
        <v>747000</v>
      </c>
      <c r="Z46" s="36">
        <f>IF(NOTA[[#This Row],[JUMLAH]]="","",(NOTA[[#This Row],[JUMLAH]]-NOTA[[#This Row],[DISC 1-]])*NOTA[[#This Row],[DISC 2]])</f>
        <v>261450</v>
      </c>
      <c r="AA46" s="36">
        <f>IF(NOTA[[#This Row],[JUMLAH]]="","",NOTA[[#This Row],[DISC 1-]]+NOTA[[#This Row],[DISC 2-]])</f>
        <v>1008450</v>
      </c>
      <c r="AB46" s="36">
        <f>IF(NOTA[[#This Row],[JUMLAH]]="","",NOTA[[#This Row],[JUMLAH]]-NOTA[[#This Row],[DISC]])</f>
        <v>4967550</v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6" s="36">
        <f>IF(OR(NOTA[[#This Row],[QTY]]="",NOTA[[#This Row],[HARGA SATUAN]]="",),"",NOTA[[#This Row],[QTY]]*NOTA[[#This Row],[HARGA SATUAN]])</f>
        <v>5976000</v>
      </c>
      <c r="AG46" s="33">
        <f ca="1">IF(NOTA[ID_H]="","",INDEX(NOTA[TANGGAL],MATCH(,INDIRECT(ADDRESS(ROW(NOTA[TANGGAL]),COLUMN(NOTA[TANGGAL]))&amp;":"&amp;ADDRESS(ROW(),COLUMN(NOTA[TANGGAL]))),-1)))</f>
        <v>44931</v>
      </c>
      <c r="AH46" s="28" t="str">
        <f ca="1">IF(NOTA[[#This Row],[NAMA BARANG]]="","",INDEX(NOTA[SUPPLIER],MATCH(,INDIRECT(ADDRESS(ROW(NOTA[ID]),COLUMN(NOTA[ID]))&amp;":"&amp;ADDRESS(ROW(),COLUMN(NOTA[ID]))),-1)))</f>
        <v>ATALI MAKMUR</v>
      </c>
      <c r="AI46" s="28" t="str">
        <f ca="1">IF(NOTA[[#This Row],[ID_H]]="","",IF(NOTA[[#This Row],[FAKTUR]]="",INDIRECT(ADDRESS(ROW()-1,COLUMN())),NOTA[[#This Row],[FAKTUR]]))</f>
        <v>ARTO MORO</v>
      </c>
      <c r="AJ46" s="38">
        <f ca="1">IF(NOTA[[#This Row],[ID]]="","",COUNTIF(NOTA[ID_H],NOTA[[#This Row],[ID_H]]))</f>
        <v>5</v>
      </c>
      <c r="AK46" s="38">
        <f>IF(NOTA[[#This Row],[TGL.NOTA]]="",IF(NOTA[[#This Row],[SUPPLIER_H]]="","",AK45),MONTH(NOTA[[#This Row],[TGL.NOTA]]))</f>
        <v>1</v>
      </c>
      <c r="AL4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6" s="38" t="str">
        <f>IF(NOTA[C]="",NOTA[[#This Row],[CONCAT1]]&amp;NOTA[[#This Row],[HARGA SATUAN]],NOTA[[#This Row],[CONCAT1]]&amp;NOTA[[#This Row],[HARGA/ CTN_H]]&amp;NOTA[[#This Row],[DISC 1]]&amp;NOTA[[#This Row],[DISC 2]])</f>
        <v>oilpastelop36sppcaseseaworldjk14940000.1250.05</v>
      </c>
      <c r="AN46" s="184">
        <f>IF(NOTA[[#This Row],[CONCAT1]]="","",MATCH(NOTA[[#This Row],[CONCAT1]],[1]!db[NB NOTA_C],0)+1)</f>
        <v>1562</v>
      </c>
    </row>
    <row r="47" spans="1:40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Row],[CEK_EXP]]&lt;D46,"err","")</f>
        <v/>
      </c>
      <c r="D47" s="29">
        <f>IF(NOTA[[#This Row],[TANGGAL]]="",D46,NOTA[[#This Row],[TANGGAL]])</f>
        <v>44931</v>
      </c>
      <c r="E47" s="29">
        <f ca="1">IF(NOTA[[#This Row],[NAMA BARANG]]="","",INDEX(NOTA[ID],MATCH(,INDIRECT(ADDRESS(ROW(NOTA[ID]),COLUMN(NOTA[ID]))&amp;":"&amp;ADDRESS(ROW(),COLUMN(NOTA[ID]))),-1)))</f>
        <v>10</v>
      </c>
      <c r="F47" s="30"/>
      <c r="G47" s="26"/>
      <c r="H47" s="26"/>
      <c r="I47" s="55"/>
      <c r="J47" s="26"/>
      <c r="K47" s="33"/>
      <c r="L47" s="32"/>
      <c r="M47" s="26" t="s">
        <v>152</v>
      </c>
      <c r="N47" s="34">
        <v>3</v>
      </c>
      <c r="O47" s="32">
        <v>72</v>
      </c>
      <c r="P47" s="26" t="s">
        <v>128</v>
      </c>
      <c r="Q47" s="28">
        <v>58900</v>
      </c>
      <c r="R47" s="46"/>
      <c r="S47" s="39" t="s">
        <v>141</v>
      </c>
      <c r="T47" s="35">
        <v>0.125</v>
      </c>
      <c r="U47" s="35">
        <v>0.05</v>
      </c>
      <c r="V47" s="36"/>
      <c r="W47" s="37"/>
      <c r="X47" s="36">
        <f>IF(NOTA[[#This Row],[HARGA/ CTN]]="",NOTA[[#This Row],[JUMLAH_H]],NOTA[[#This Row],[HARGA/ CTN]]*IF(NOTA[[#This Row],[C]]="",0,NOTA[[#This Row],[C]]))</f>
        <v>4240800</v>
      </c>
      <c r="Y47" s="36">
        <f>IF(NOTA[[#This Row],[JUMLAH]]="","",NOTA[[#This Row],[JUMLAH]]*NOTA[[#This Row],[DISC 1]])</f>
        <v>530100</v>
      </c>
      <c r="Z47" s="36">
        <f>IF(NOTA[[#This Row],[JUMLAH]]="","",(NOTA[[#This Row],[JUMLAH]]-NOTA[[#This Row],[DISC 1-]])*NOTA[[#This Row],[DISC 2]])</f>
        <v>185535</v>
      </c>
      <c r="AA47" s="36">
        <f>IF(NOTA[[#This Row],[JUMLAH]]="","",NOTA[[#This Row],[DISC 1-]]+NOTA[[#This Row],[DISC 2-]])</f>
        <v>715635</v>
      </c>
      <c r="AB47" s="36">
        <f>IF(NOTA[[#This Row],[JUMLAH]]="","",NOTA[[#This Row],[JUMLAH]]-NOTA[[#This Row],[DISC]])</f>
        <v>3525165</v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47" s="36">
        <f>IF(OR(NOTA[[#This Row],[QTY]]="",NOTA[[#This Row],[HARGA SATUAN]]="",),"",NOTA[[#This Row],[QTY]]*NOTA[[#This Row],[HARGA SATUAN]])</f>
        <v>4240800</v>
      </c>
      <c r="AG47" s="33">
        <f ca="1">IF(NOTA[ID_H]="","",INDEX(NOTA[TANGGAL],MATCH(,INDIRECT(ADDRESS(ROW(NOTA[TANGGAL]),COLUMN(NOTA[TANGGAL]))&amp;":"&amp;ADDRESS(ROW(),COLUMN(NOTA[TANGGAL]))),-1)))</f>
        <v>44931</v>
      </c>
      <c r="AH47" s="28" t="str">
        <f ca="1">IF(NOTA[[#This Row],[NAMA BARANG]]="","",INDEX(NOTA[SUPPLIER],MATCH(,INDIRECT(ADDRESS(ROW(NOTA[ID]),COLUMN(NOTA[ID]))&amp;":"&amp;ADDRESS(ROW(),COLUMN(NOTA[ID]))),-1)))</f>
        <v>ATALI MAKMUR</v>
      </c>
      <c r="AI47" s="28" t="str">
        <f ca="1">IF(NOTA[[#This Row],[ID_H]]="","",IF(NOTA[[#This Row],[FAKTUR]]="",INDIRECT(ADDRESS(ROW()-1,COLUMN())),NOTA[[#This Row],[FAKTUR]]))</f>
        <v>ARTO MORO</v>
      </c>
      <c r="AJ47" s="38" t="str">
        <f ca="1">IF(NOTA[[#This Row],[ID]]="","",COUNTIF(NOTA[ID_H],NOTA[[#This Row],[ID_H]]))</f>
        <v/>
      </c>
      <c r="AK47" s="38">
        <f ca="1">IF(NOTA[[#This Row],[TGL.NOTA]]="",IF(NOTA[[#This Row],[SUPPLIER_H]]="","",AK46),MONTH(NOTA[[#This Row],[TGL.NOTA]]))</f>
        <v>1</v>
      </c>
      <c r="AL4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47" s="38" t="str">
        <f>IF(NOTA[C]="",NOTA[[#This Row],[CONCAT1]]&amp;NOTA[[#This Row],[HARGA SATUAN]],NOTA[[#This Row],[CONCAT1]]&amp;NOTA[[#This Row],[HARGA/ CTN_H]]&amp;NOTA[[#This Row],[DISC 1]]&amp;NOTA[[#This Row],[DISC 2]])</f>
        <v>oilpastelop48sppcaseseaworldjk14136000.1250.05</v>
      </c>
      <c r="AN47" s="184">
        <f>IF(NOTA[[#This Row],[CONCAT1]]="","",MATCH(NOTA[[#This Row],[CONCAT1]],[1]!db[NB NOTA_C],0)+1)</f>
        <v>1563</v>
      </c>
    </row>
    <row r="48" spans="1:40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Row],[CEK_EXP]]&lt;D47,"err","")</f>
        <v/>
      </c>
      <c r="D48" s="29">
        <f>IF(NOTA[[#This Row],[TANGGAL]]="",D47,NOTA[[#This Row],[TANGGAL]])</f>
        <v>44931</v>
      </c>
      <c r="E48" s="29">
        <f ca="1">IF(NOTA[[#This Row],[NAMA BARANG]]="","",INDEX(NOTA[ID],MATCH(,INDIRECT(ADDRESS(ROW(NOTA[ID]),COLUMN(NOTA[ID]))&amp;":"&amp;ADDRESS(ROW(),COLUMN(NOTA[ID]))),-1)))</f>
        <v>10</v>
      </c>
      <c r="F48" s="30"/>
      <c r="G48" s="32"/>
      <c r="H48" s="32"/>
      <c r="I48" s="55"/>
      <c r="J48" s="32"/>
      <c r="K48" s="33"/>
      <c r="L48" s="32"/>
      <c r="M48" s="26" t="s">
        <v>153</v>
      </c>
      <c r="N48" s="34">
        <v>4</v>
      </c>
      <c r="O48" s="32">
        <v>96</v>
      </c>
      <c r="P48" s="26" t="s">
        <v>128</v>
      </c>
      <c r="Q48" s="28">
        <v>66900</v>
      </c>
      <c r="R48" s="46"/>
      <c r="S48" s="39" t="s">
        <v>141</v>
      </c>
      <c r="T48" s="35">
        <v>0.125</v>
      </c>
      <c r="U48" s="35">
        <v>0.05</v>
      </c>
      <c r="V48" s="36"/>
      <c r="W48" s="37"/>
      <c r="X48" s="36">
        <f>IF(NOTA[[#This Row],[HARGA/ CTN]]="",NOTA[[#This Row],[JUMLAH_H]],NOTA[[#This Row],[HARGA/ CTN]]*IF(NOTA[[#This Row],[C]]="",0,NOTA[[#This Row],[C]]))</f>
        <v>6422400</v>
      </c>
      <c r="Y48" s="36">
        <f>IF(NOTA[[#This Row],[JUMLAH]]="","",NOTA[[#This Row],[JUMLAH]]*NOTA[[#This Row],[DISC 1]])</f>
        <v>802800</v>
      </c>
      <c r="Z48" s="36">
        <f>IF(NOTA[[#This Row],[JUMLAH]]="","",(NOTA[[#This Row],[JUMLAH]]-NOTA[[#This Row],[DISC 1-]])*NOTA[[#This Row],[DISC 2]])</f>
        <v>280980</v>
      </c>
      <c r="AA48" s="36">
        <f>IF(NOTA[[#This Row],[JUMLAH]]="","",NOTA[[#This Row],[DISC 1-]]+NOTA[[#This Row],[DISC 2-]])</f>
        <v>1083780</v>
      </c>
      <c r="AB48" s="36">
        <f>IF(NOTA[[#This Row],[JUMLAH]]="","",NOTA[[#This Row],[JUMLAH]]-NOTA[[#This Row],[DISC]])</f>
        <v>5338620</v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8" s="36">
        <f>IF(OR(NOTA[[#This Row],[QTY]]="",NOTA[[#This Row],[HARGA SATUAN]]="",),"",NOTA[[#This Row],[QTY]]*NOTA[[#This Row],[HARGA SATUAN]])</f>
        <v>6422400</v>
      </c>
      <c r="AG48" s="33">
        <f ca="1">IF(NOTA[ID_H]="","",INDEX(NOTA[TANGGAL],MATCH(,INDIRECT(ADDRESS(ROW(NOTA[TANGGAL]),COLUMN(NOTA[TANGGAL]))&amp;":"&amp;ADDRESS(ROW(),COLUMN(NOTA[TANGGAL]))),-1)))</f>
        <v>44931</v>
      </c>
      <c r="AH48" s="28" t="str">
        <f ca="1">IF(NOTA[[#This Row],[NAMA BARANG]]="","",INDEX(NOTA[SUPPLIER],MATCH(,INDIRECT(ADDRESS(ROW(NOTA[ID]),COLUMN(NOTA[ID]))&amp;":"&amp;ADDRESS(ROW(),COLUMN(NOTA[ID]))),-1)))</f>
        <v>ATALI MAKMUR</v>
      </c>
      <c r="AI48" s="28" t="str">
        <f ca="1">IF(NOTA[[#This Row],[ID_H]]="","",IF(NOTA[[#This Row],[FAKTUR]]="",INDIRECT(ADDRESS(ROW()-1,COLUMN())),NOTA[[#This Row],[FAKTUR]]))</f>
        <v>ARTO MORO</v>
      </c>
      <c r="AJ48" s="38" t="str">
        <f ca="1">IF(NOTA[[#This Row],[ID]]="","",COUNTIF(NOTA[ID_H],NOTA[[#This Row],[ID_H]]))</f>
        <v/>
      </c>
      <c r="AK48" s="38">
        <f ca="1">IF(NOTA[[#This Row],[TGL.NOTA]]="",IF(NOTA[[#This Row],[SUPPLIER_H]]="","",AK47),MONTH(NOTA[[#This Row],[TGL.NOTA]]))</f>
        <v>1</v>
      </c>
      <c r="AL48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8" s="38" t="str">
        <f>IF(NOTA[C]="",NOTA[[#This Row],[CONCAT1]]&amp;NOTA[[#This Row],[HARGA SATUAN]],NOTA[[#This Row],[CONCAT1]]&amp;NOTA[[#This Row],[HARGA/ CTN_H]]&amp;NOTA[[#This Row],[DISC 1]]&amp;NOTA[[#This Row],[DISC 2]])</f>
        <v>oilpastelop55sppcaseseaworldjk16056000.1250.05</v>
      </c>
      <c r="AN48" s="184">
        <f>IF(NOTA[[#This Row],[CONCAT1]]="","",MATCH(NOTA[[#This Row],[CONCAT1]],[1]!db[NB NOTA_C],0)+1)</f>
        <v>1564</v>
      </c>
    </row>
    <row r="49" spans="1:40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Row],[CEK_EXP]]&lt;D48,"err","")</f>
        <v/>
      </c>
      <c r="D49" s="29">
        <f>IF(NOTA[[#This Row],[TANGGAL]]="",D48,NOTA[[#This Row],[TANGGAL]])</f>
        <v>44931</v>
      </c>
      <c r="E49" s="29">
        <f ca="1">IF(NOTA[[#This Row],[NAMA BARANG]]="","",INDEX(NOTA[ID],MATCH(,INDIRECT(ADDRESS(ROW(NOTA[ID]),COLUMN(NOTA[ID]))&amp;":"&amp;ADDRESS(ROW(),COLUMN(NOTA[ID]))),-1)))</f>
        <v>10</v>
      </c>
      <c r="F49" s="30"/>
      <c r="G49" s="32"/>
      <c r="H49" s="32"/>
      <c r="I49" s="55"/>
      <c r="J49" s="32"/>
      <c r="K49" s="33"/>
      <c r="L49" s="32"/>
      <c r="M49" s="26" t="s">
        <v>154</v>
      </c>
      <c r="N49" s="34">
        <v>4</v>
      </c>
      <c r="O49" s="32">
        <v>96</v>
      </c>
      <c r="P49" s="26" t="s">
        <v>128</v>
      </c>
      <c r="Q49" s="28">
        <v>96000</v>
      </c>
      <c r="R49" s="46"/>
      <c r="S49" s="39" t="s">
        <v>141</v>
      </c>
      <c r="T49" s="35">
        <v>0.125</v>
      </c>
      <c r="U49" s="35">
        <v>0.05</v>
      </c>
      <c r="V49" s="36"/>
      <c r="W49" s="37"/>
      <c r="X49" s="36">
        <f>IF(NOTA[[#This Row],[HARGA/ CTN]]="",NOTA[[#This Row],[JUMLAH_H]],NOTA[[#This Row],[HARGA/ CTN]]*IF(NOTA[[#This Row],[C]]="",0,NOTA[[#This Row],[C]]))</f>
        <v>9216000</v>
      </c>
      <c r="Y49" s="36">
        <f>IF(NOTA[[#This Row],[JUMLAH]]="","",NOTA[[#This Row],[JUMLAH]]*NOTA[[#This Row],[DISC 1]])</f>
        <v>1152000</v>
      </c>
      <c r="Z49" s="36">
        <f>IF(NOTA[[#This Row],[JUMLAH]]="","",(NOTA[[#This Row],[JUMLAH]]-NOTA[[#This Row],[DISC 1-]])*NOTA[[#This Row],[DISC 2]])</f>
        <v>403200</v>
      </c>
      <c r="AA49" s="36">
        <f>IF(NOTA[[#This Row],[JUMLAH]]="","",NOTA[[#This Row],[DISC 1-]]+NOTA[[#This Row],[DISC 2-]])</f>
        <v>1555200</v>
      </c>
      <c r="AB49" s="36">
        <f>IF(NOTA[[#This Row],[JUMLAH]]="","",NOTA[[#This Row],[JUMLAH]]-NOTA[[#This Row],[DISC]])</f>
        <v>7660800</v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9" s="36">
        <f>IF(OR(NOTA[[#This Row],[QTY]]="",NOTA[[#This Row],[HARGA SATUAN]]="",),"",NOTA[[#This Row],[QTY]]*NOTA[[#This Row],[HARGA SATUAN]])</f>
        <v>9216000</v>
      </c>
      <c r="AG49" s="33">
        <f ca="1">IF(NOTA[ID_H]="","",INDEX(NOTA[TANGGAL],MATCH(,INDIRECT(ADDRESS(ROW(NOTA[TANGGAL]),COLUMN(NOTA[TANGGAL]))&amp;":"&amp;ADDRESS(ROW(),COLUMN(NOTA[TANGGAL]))),-1)))</f>
        <v>44931</v>
      </c>
      <c r="AH49" s="28" t="str">
        <f ca="1">IF(NOTA[[#This Row],[NAMA BARANG]]="","",INDEX(NOTA[SUPPLIER],MATCH(,INDIRECT(ADDRESS(ROW(NOTA[ID]),COLUMN(NOTA[ID]))&amp;":"&amp;ADDRESS(ROW(),COLUMN(NOTA[ID]))),-1)))</f>
        <v>ATALI MAKMUR</v>
      </c>
      <c r="AI49" s="28" t="str">
        <f ca="1">IF(NOTA[[#This Row],[ID_H]]="","",IF(NOTA[[#This Row],[FAKTUR]]="",INDIRECT(ADDRESS(ROW()-1,COLUMN())),NOTA[[#This Row],[FAKTUR]]))</f>
        <v>ARTO MORO</v>
      </c>
      <c r="AJ49" s="38" t="str">
        <f ca="1">IF(NOTA[[#This Row],[ID]]="","",COUNTIF(NOTA[ID_H],NOTA[[#This Row],[ID_H]]))</f>
        <v/>
      </c>
      <c r="AK49" s="38">
        <f ca="1">IF(NOTA[[#This Row],[TGL.NOTA]]="",IF(NOTA[[#This Row],[SUPPLIER_H]]="","",AK48),MONTH(NOTA[[#This Row],[TGL.NOTA]]))</f>
        <v>1</v>
      </c>
      <c r="AL49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49" s="38" t="str">
        <f>IF(NOTA[C]="",NOTA[[#This Row],[CONCAT1]]&amp;NOTA[[#This Row],[HARGA SATUAN]],NOTA[[#This Row],[CONCAT1]]&amp;NOTA[[#This Row],[HARGA/ CTN_H]]&amp;NOTA[[#This Row],[DISC 1]]&amp;NOTA[[#This Row],[DISC 2]])</f>
        <v>oilpastelop72sppcaseseaworldjk23040000.1250.05</v>
      </c>
      <c r="AN49" s="184">
        <f>IF(NOTA[[#This Row],[CONCAT1]]="","",MATCH(NOTA[[#This Row],[CONCAT1]],[1]!db[NB NOTA_C],0)+1)</f>
        <v>1565</v>
      </c>
    </row>
    <row r="50" spans="1:40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Row],[CEK_EXP]]&lt;D49,"err","")</f>
        <v/>
      </c>
      <c r="D50" s="29">
        <f>IF(NOTA[[#This Row],[TANGGAL]]="",D49,NOTA[[#This Row],[TANGGAL]])</f>
        <v>44931</v>
      </c>
      <c r="E50" s="29">
        <f ca="1">IF(NOTA[[#This Row],[NAMA BARANG]]="","",INDEX(NOTA[ID],MATCH(,INDIRECT(ADDRESS(ROW(NOTA[ID]),COLUMN(NOTA[ID]))&amp;":"&amp;ADDRESS(ROW(),COLUMN(NOTA[ID]))),-1)))</f>
        <v>10</v>
      </c>
      <c r="F50" s="30"/>
      <c r="G50" s="26"/>
      <c r="H50" s="26"/>
      <c r="I50" s="31"/>
      <c r="J50" s="26"/>
      <c r="K50" s="33"/>
      <c r="L50" s="32"/>
      <c r="M50" s="26" t="s">
        <v>137</v>
      </c>
      <c r="N50" s="34"/>
      <c r="O50" s="32">
        <v>30</v>
      </c>
      <c r="P50" s="26" t="s">
        <v>116</v>
      </c>
      <c r="Q50" s="28">
        <v>12600</v>
      </c>
      <c r="R50" s="46"/>
      <c r="S50" s="39" t="s">
        <v>129</v>
      </c>
      <c r="T50" s="35">
        <v>0.1</v>
      </c>
      <c r="U50" s="35">
        <v>0.05</v>
      </c>
      <c r="V50" s="36">
        <v>323190</v>
      </c>
      <c r="W50" s="37" t="s">
        <v>155</v>
      </c>
      <c r="X50" s="36">
        <f>IF(NOTA[[#This Row],[HARGA/ CTN]]="",NOTA[[#This Row],[JUMLAH_H]],NOTA[[#This Row],[HARGA/ CTN]]*IF(NOTA[[#This Row],[C]]="",0,NOTA[[#This Row],[C]]))</f>
        <v>378000</v>
      </c>
      <c r="Y50" s="36">
        <f>IF(NOTA[[#This Row],[JUMLAH]]="","",NOTA[[#This Row],[JUMLAH]]*NOTA[[#This Row],[DISC 1]])</f>
        <v>37800</v>
      </c>
      <c r="Z50" s="36">
        <f>IF(NOTA[[#This Row],[JUMLAH]]="","",(NOTA[[#This Row],[JUMLAH]]-NOTA[[#This Row],[DISC 1-]])*NOTA[[#This Row],[DISC 2]])</f>
        <v>17010</v>
      </c>
      <c r="AA50" s="36">
        <f>IF(NOTA[[#This Row],[JUMLAH]]="","",NOTA[[#This Row],[DISC 1-]]+NOTA[[#This Row],[DISC 2-]])</f>
        <v>54810</v>
      </c>
      <c r="AB50" s="36">
        <f>IF(NOTA[[#This Row],[JUMLAH]]="","",NOTA[[#This Row],[JUMLAH]]-NOTA[[#This Row],[DISC]])</f>
        <v>323190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4741065</v>
      </c>
      <c r="AD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21492135</v>
      </c>
      <c r="AE50" s="28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F50" s="36">
        <f>IF(OR(NOTA[[#This Row],[QTY]]="",NOTA[[#This Row],[HARGA SATUAN]]="",),"",NOTA[[#This Row],[QTY]]*NOTA[[#This Row],[HARGA SATUAN]])</f>
        <v>378000</v>
      </c>
      <c r="AG50" s="33">
        <f ca="1">IF(NOTA[ID_H]="","",INDEX(NOTA[TANGGAL],MATCH(,INDIRECT(ADDRESS(ROW(NOTA[TANGGAL]),COLUMN(NOTA[TANGGAL]))&amp;":"&amp;ADDRESS(ROW(),COLUMN(NOTA[TANGGAL]))),-1)))</f>
        <v>44931</v>
      </c>
      <c r="AH50" s="28" t="str">
        <f ca="1">IF(NOTA[[#This Row],[NAMA BARANG]]="","",INDEX(NOTA[SUPPLIER],MATCH(,INDIRECT(ADDRESS(ROW(NOTA[ID]),COLUMN(NOTA[ID]))&amp;":"&amp;ADDRESS(ROW(),COLUMN(NOTA[ID]))),-1)))</f>
        <v>ATALI MAKMUR</v>
      </c>
      <c r="AI50" s="28" t="str">
        <f ca="1">IF(NOTA[[#This Row],[ID_H]]="","",IF(NOTA[[#This Row],[FAKTUR]]="",INDIRECT(ADDRESS(ROW()-1,COLUMN())),NOTA[[#This Row],[FAKTUR]]))</f>
        <v>ARTO MORO</v>
      </c>
      <c r="AJ50" s="38" t="str">
        <f ca="1">IF(NOTA[[#This Row],[ID]]="","",COUNTIF(NOTA[ID_H],NOTA[[#This Row],[ID_H]]))</f>
        <v/>
      </c>
      <c r="AK50" s="38">
        <f ca="1">IF(NOTA[[#This Row],[TGL.NOTA]]="",IF(NOTA[[#This Row],[SUPPLIER_H]]="","",AK49),MONTH(NOTA[[#This Row],[TGL.NOTA]]))</f>
        <v>1</v>
      </c>
      <c r="AL50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0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N50" s="184">
        <f>IF(NOTA[[#This Row],[CONCAT1]]="","",MATCH(NOTA[[#This Row],[CONCAT1]],[1]!db[NB NOTA_C],0)+1)</f>
        <v>76</v>
      </c>
    </row>
    <row r="51" spans="1:40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Row],[CEK_EXP]]&lt;D50,"err","")</f>
        <v/>
      </c>
      <c r="D51" s="29">
        <f>IF(NOTA[[#This Row],[TANGGAL]]="",D50,NOTA[[#This Row],[TANGGAL]])</f>
        <v>44931</v>
      </c>
      <c r="E51" s="29" t="str">
        <f ca="1">IF(NOTA[[#This Row],[NAMA BARANG]]="","",INDEX(NOTA[ID],MATCH(,INDIRECT(ADDRESS(ROW(NOTA[ID]),COLUMN(NOTA[ID]))&amp;":"&amp;ADDRESS(ROW(),COLUMN(NOTA[ID]))),-1)))</f>
        <v/>
      </c>
      <c r="F51" s="30"/>
      <c r="G51" s="32"/>
      <c r="H51" s="32"/>
      <c r="I51" s="55"/>
      <c r="J51" s="32"/>
      <c r="K51" s="33"/>
      <c r="L51" s="32"/>
      <c r="M51" s="26"/>
      <c r="N51" s="34"/>
      <c r="O51" s="32"/>
      <c r="P51" s="26"/>
      <c r="Q51" s="28"/>
      <c r="R51" s="46"/>
      <c r="S51" s="39"/>
      <c r="T51" s="35"/>
      <c r="U51" s="35"/>
      <c r="V51" s="36"/>
      <c r="W51" s="37"/>
      <c r="X51" s="36" t="str">
        <f>IF(NOTA[[#This Row],[HARGA/ CTN]]="",NOTA[[#This Row],[JUMLAH_H]],NOTA[[#This Row],[HARGA/ CTN]]*IF(NOTA[[#This Row],[C]]="",0,NOTA[[#This Row],[C]]))</f>
        <v/>
      </c>
      <c r="Y51" s="36" t="str">
        <f>IF(NOTA[[#This Row],[JUMLAH]]="","",NOTA[[#This Row],[JUMLAH]]*NOTA[[#This Row],[DISC 1]])</f>
        <v/>
      </c>
      <c r="Z51" s="36" t="str">
        <f>IF(NOTA[[#This Row],[JUMLAH]]="","",(NOTA[[#This Row],[JUMLAH]]-NOTA[[#This Row],[DISC 1-]])*NOTA[[#This Row],[DISC 2]])</f>
        <v/>
      </c>
      <c r="AA51" s="36" t="str">
        <f>IF(NOTA[[#This Row],[JUMLAH]]="","",NOTA[[#This Row],[DISC 1-]]+NOTA[[#This Row],[DISC 2-]])</f>
        <v/>
      </c>
      <c r="AB51" s="36" t="str">
        <f>IF(NOTA[[#This Row],[JUMLAH]]="","",NOTA[[#This Row],[JUMLAH]]-NOTA[[#This Row],[DISC]])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36" t="str">
        <f>IF(OR(NOTA[[#This Row],[QTY]]="",NOTA[[#This Row],[HARGA SATUAN]]="",),"",NOTA[[#This Row],[QTY]]*NOTA[[#This Row],[HARGA SATUAN]])</f>
        <v/>
      </c>
      <c r="AG51" s="33" t="str">
        <f ca="1">IF(NOTA[ID_H]="","",INDEX(NOTA[TANGGAL],MATCH(,INDIRECT(ADDRESS(ROW(NOTA[TANGGAL]),COLUMN(NOTA[TANGGAL]))&amp;":"&amp;ADDRESS(ROW(),COLUMN(NOTA[TANGGAL]))),-1)))</f>
        <v/>
      </c>
      <c r="AH51" s="28" t="str">
        <f ca="1">IF(NOTA[[#This Row],[NAMA BARANG]]="","",INDEX(NOTA[SUPPLIER],MATCH(,INDIRECT(ADDRESS(ROW(NOTA[ID]),COLUMN(NOTA[ID]))&amp;":"&amp;ADDRESS(ROW(),COLUMN(NOTA[ID]))),-1)))</f>
        <v/>
      </c>
      <c r="AI51" s="28" t="str">
        <f ca="1">IF(NOTA[[#This Row],[ID_H]]="","",IF(NOTA[[#This Row],[FAKTUR]]="",INDIRECT(ADDRESS(ROW()-1,COLUMN())),NOTA[[#This Row],[FAKTUR]]))</f>
        <v/>
      </c>
      <c r="AJ51" s="38" t="str">
        <f ca="1">IF(NOTA[[#This Row],[ID]]="","",COUNTIF(NOTA[ID_H],NOTA[[#This Row],[ID_H]]))</f>
        <v/>
      </c>
      <c r="AK51" s="38" t="str">
        <f ca="1">IF(NOTA[[#This Row],[TGL.NOTA]]="",IF(NOTA[[#This Row],[SUPPLIER_H]]="","",AK50),MONTH(NOTA[[#This Row],[TGL.NOTA]]))</f>
        <v/>
      </c>
      <c r="AL51" s="38" t="str">
        <f>LOWER(SUBSTITUTE(SUBSTITUTE(SUBSTITUTE(SUBSTITUTE(SUBSTITUTE(SUBSTITUTE(SUBSTITUTE(SUBSTITUTE(SUBSTITUTE(NOTA[NAMA BARANG]," ",),".",""),"-",""),"(",""),")",""),",",""),"/",""),"""",""),"+",""))</f>
        <v/>
      </c>
      <c r="AM51" s="38" t="str">
        <f>IF(NOTA[C]="",NOTA[[#This Row],[CONCAT1]]&amp;NOTA[[#This Row],[HARGA SATUAN]],NOTA[[#This Row],[CONCAT1]]&amp;NOTA[[#This Row],[HARGA/ CTN_H]]&amp;NOTA[[#This Row],[DISC 1]]&amp;NOTA[[#This Row],[DISC 2]])</f>
        <v/>
      </c>
      <c r="AN51" s="184" t="str">
        <f>IF(NOTA[[#This Row],[CONCAT1]]="","",MATCH(NOTA[[#This Row],[CONCAT1]],[1]!db[NB NOTA_C],0)+1)</f>
        <v/>
      </c>
    </row>
    <row r="52" spans="1:40" ht="20.100000000000001" customHeight="1" x14ac:dyDescent="0.25">
      <c r="A52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5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KEN_0501_093-1</v>
      </c>
      <c r="C52" s="29" t="str">
        <f>IF(NOTA[[#This Row],[CEK_EXP]]&lt;D51,"err","")</f>
        <v/>
      </c>
      <c r="D52" s="29">
        <f>IF(NOTA[[#This Row],[TANGGAL]]="",D51,NOTA[[#This Row],[TANGGAL]])</f>
        <v>44931</v>
      </c>
      <c r="E52" s="29">
        <f ca="1">IF(NOTA[[#This Row],[NAMA BARANG]]="","",INDEX(NOTA[ID],MATCH(,INDIRECT(ADDRESS(ROW(NOTA[ID]),COLUMN(NOTA[ID]))&amp;":"&amp;ADDRESS(ROW(),COLUMN(NOTA[ID]))),-1)))</f>
        <v>11</v>
      </c>
      <c r="F52" s="30"/>
      <c r="G52" s="26" t="s">
        <v>23</v>
      </c>
      <c r="H52" s="26" t="s">
        <v>24</v>
      </c>
      <c r="I52" s="31" t="s">
        <v>156</v>
      </c>
      <c r="J52" s="26" t="s">
        <v>169</v>
      </c>
      <c r="K52" s="33">
        <v>44929</v>
      </c>
      <c r="L52" s="32"/>
      <c r="M52" s="26" t="s">
        <v>127</v>
      </c>
      <c r="N52" s="34">
        <v>5</v>
      </c>
      <c r="O52" s="32"/>
      <c r="P52" s="26"/>
      <c r="Q52" s="28"/>
      <c r="R52" s="46">
        <v>1860000</v>
      </c>
      <c r="S52" s="39" t="s">
        <v>119</v>
      </c>
      <c r="T52" s="35">
        <v>0.17</v>
      </c>
      <c r="U52" s="35"/>
      <c r="V52" s="36"/>
      <c r="W52" s="37"/>
      <c r="X52" s="36">
        <f>IF(NOTA[[#This Row],[HARGA/ CTN]]="",NOTA[[#This Row],[JUMLAH_H]],NOTA[[#This Row],[HARGA/ CTN]]*IF(NOTA[[#This Row],[C]]="",0,NOTA[[#This Row],[C]]))</f>
        <v>9300000</v>
      </c>
      <c r="Y52" s="36">
        <f>IF(NOTA[[#This Row],[JUMLAH]]="","",NOTA[[#This Row],[JUMLAH]]*NOTA[[#This Row],[DISC 1]])</f>
        <v>1581000</v>
      </c>
      <c r="Z52" s="36">
        <f>IF(NOTA[[#This Row],[JUMLAH]]="","",(NOTA[[#This Row],[JUMLAH]]-NOTA[[#This Row],[DISC 1-]])*NOTA[[#This Row],[DISC 2]])</f>
        <v>0</v>
      </c>
      <c r="AA52" s="36">
        <f>IF(NOTA[[#This Row],[JUMLAH]]="","",NOTA[[#This Row],[DISC 1-]]+NOTA[[#This Row],[DISC 2-]])</f>
        <v>1581000</v>
      </c>
      <c r="AB52" s="36">
        <f>IF(NOTA[[#This Row],[JUMLAH]]="","",NOTA[[#This Row],[JUMLAH]]-NOTA[[#This Row],[DISC]])</f>
        <v>7719000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1581000</v>
      </c>
      <c r="AD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7719000</v>
      </c>
      <c r="AE52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2" s="36" t="str">
        <f>IF(OR(NOTA[[#This Row],[QTY]]="",NOTA[[#This Row],[HARGA SATUAN]]="",),"",NOTA[[#This Row],[QTY]]*NOTA[[#This Row],[HARGA SATUAN]])</f>
        <v/>
      </c>
      <c r="AG52" s="33">
        <f ca="1">IF(NOTA[ID_H]="","",INDEX(NOTA[TANGGAL],MATCH(,INDIRECT(ADDRESS(ROW(NOTA[TANGGAL]),COLUMN(NOTA[TANGGAL]))&amp;":"&amp;ADDRESS(ROW(),COLUMN(NOTA[TANGGAL]))),-1)))</f>
        <v>44931</v>
      </c>
      <c r="AH52" s="28" t="str">
        <f ca="1">IF(NOTA[[#This Row],[NAMA BARANG]]="","",INDEX(NOTA[SUPPLIER],MATCH(,INDIRECT(ADDRESS(ROW(NOTA[ID]),COLUMN(NOTA[ID]))&amp;":"&amp;ADDRESS(ROW(),COLUMN(NOTA[ID]))),-1)))</f>
        <v>KENKO SINAR INDONESIA</v>
      </c>
      <c r="AI52" s="28" t="str">
        <f ca="1">IF(NOTA[[#This Row],[ID_H]]="","",IF(NOTA[[#This Row],[FAKTUR]]="",INDIRECT(ADDRESS(ROW()-1,COLUMN())),NOTA[[#This Row],[FAKTUR]]))</f>
        <v>ARTO MORO</v>
      </c>
      <c r="AJ52" s="38">
        <f ca="1">IF(NOTA[[#This Row],[ID]]="","",COUNTIF(NOTA[ID_H],NOTA[[#This Row],[ID_H]]))</f>
        <v>1</v>
      </c>
      <c r="AK52" s="38">
        <f>IF(NOTA[[#This Row],[TGL.NOTA]]="",IF(NOTA[[#This Row],[SUPPLIER_H]]="","",AK51),MONTH(NOTA[[#This Row],[TGL.NOTA]]))</f>
        <v>1</v>
      </c>
      <c r="AL5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52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N52" s="184">
        <f>IF(NOTA[[#This Row],[CONCAT1]]="","",MATCH(NOTA[[#This Row],[CONCAT1]],[1]!db[NB NOTA_C],0)+1)</f>
        <v>1292</v>
      </c>
    </row>
    <row r="53" spans="1:40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Row],[CEK_EXP]]&lt;D52,"err","")</f>
        <v/>
      </c>
      <c r="D53" s="29">
        <f>IF(NOTA[[#This Row],[TANGGAL]]="",D52,NOTA[[#This Row],[TANGGAL]])</f>
        <v>44931</v>
      </c>
      <c r="E53" s="29" t="str">
        <f ca="1">IF(NOTA[[#This Row],[NAMA BARANG]]="","",INDEX(NOTA[ID],MATCH(,INDIRECT(ADDRESS(ROW(NOTA[ID]),COLUMN(NOTA[ID]))&amp;":"&amp;ADDRESS(ROW(),COLUMN(NOTA[ID]))),-1)))</f>
        <v/>
      </c>
      <c r="F53" s="30"/>
      <c r="G53" s="32"/>
      <c r="H53" s="32"/>
      <c r="I53" s="55"/>
      <c r="J53" s="32"/>
      <c r="K53" s="33"/>
      <c r="L53" s="32"/>
      <c r="M53" s="26"/>
      <c r="N53" s="34"/>
      <c r="O53" s="32"/>
      <c r="P53" s="26"/>
      <c r="Q53" s="28"/>
      <c r="R53" s="46"/>
      <c r="S53" s="39"/>
      <c r="T53" s="35"/>
      <c r="U53" s="35"/>
      <c r="V53" s="36"/>
      <c r="W53" s="37"/>
      <c r="X53" s="36" t="str">
        <f>IF(NOTA[[#This Row],[HARGA/ CTN]]="",NOTA[[#This Row],[JUMLAH_H]],NOTA[[#This Row],[HARGA/ CTN]]*IF(NOTA[[#This Row],[C]]="",0,NOTA[[#This Row],[C]]))</f>
        <v/>
      </c>
      <c r="Y53" s="36" t="str">
        <f>IF(NOTA[[#This Row],[JUMLAH]]="","",NOTA[[#This Row],[JUMLAH]]*NOTA[[#This Row],[DISC 1]])</f>
        <v/>
      </c>
      <c r="Z53" s="36" t="str">
        <f>IF(NOTA[[#This Row],[JUMLAH]]="","",(NOTA[[#This Row],[JUMLAH]]-NOTA[[#This Row],[DISC 1-]])*NOTA[[#This Row],[DISC 2]])</f>
        <v/>
      </c>
      <c r="AA53" s="36" t="str">
        <f>IF(NOTA[[#This Row],[JUMLAH]]="","",NOTA[[#This Row],[DISC 1-]]+NOTA[[#This Row],[DISC 2-]])</f>
        <v/>
      </c>
      <c r="AB53" s="36" t="str">
        <f>IF(NOTA[[#This Row],[JUMLAH]]="","",NOTA[[#This Row],[JUMLAH]]-NOTA[[#This Row],[DISC]])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36" t="str">
        <f>IF(OR(NOTA[[#This Row],[QTY]]="",NOTA[[#This Row],[HARGA SATUAN]]="",),"",NOTA[[#This Row],[QTY]]*NOTA[[#This Row],[HARGA SATUAN]])</f>
        <v/>
      </c>
      <c r="AG53" s="33" t="str">
        <f ca="1">IF(NOTA[ID_H]="","",INDEX(NOTA[TANGGAL],MATCH(,INDIRECT(ADDRESS(ROW(NOTA[TANGGAL]),COLUMN(NOTA[TANGGAL]))&amp;":"&amp;ADDRESS(ROW(),COLUMN(NOTA[TANGGAL]))),-1)))</f>
        <v/>
      </c>
      <c r="AH53" s="28" t="str">
        <f ca="1">IF(NOTA[[#This Row],[NAMA BARANG]]="","",INDEX(NOTA[SUPPLIER],MATCH(,INDIRECT(ADDRESS(ROW(NOTA[ID]),COLUMN(NOTA[ID]))&amp;":"&amp;ADDRESS(ROW(),COLUMN(NOTA[ID]))),-1)))</f>
        <v/>
      </c>
      <c r="AI53" s="28" t="str">
        <f ca="1">IF(NOTA[[#This Row],[ID_H]]="","",IF(NOTA[[#This Row],[FAKTUR]]="",INDIRECT(ADDRESS(ROW()-1,COLUMN())),NOTA[[#This Row],[FAKTUR]]))</f>
        <v/>
      </c>
      <c r="AJ53" s="38" t="str">
        <f ca="1">IF(NOTA[[#This Row],[ID]]="","",COUNTIF(NOTA[ID_H],NOTA[[#This Row],[ID_H]]))</f>
        <v/>
      </c>
      <c r="AK53" s="38" t="str">
        <f ca="1">IF(NOTA[[#This Row],[TGL.NOTA]]="",IF(NOTA[[#This Row],[SUPPLIER_H]]="","",AK52),MONTH(NOTA[[#This Row],[TGL.NOTA]]))</f>
        <v/>
      </c>
      <c r="AL53" s="38" t="str">
        <f>LOWER(SUBSTITUTE(SUBSTITUTE(SUBSTITUTE(SUBSTITUTE(SUBSTITUTE(SUBSTITUTE(SUBSTITUTE(SUBSTITUTE(SUBSTITUTE(NOTA[NAMA BARANG]," ",),".",""),"-",""),"(",""),")",""),",",""),"/",""),"""",""),"+",""))</f>
        <v/>
      </c>
      <c r="AM53" s="38" t="str">
        <f>IF(NOTA[C]="",NOTA[[#This Row],[CONCAT1]]&amp;NOTA[[#This Row],[HARGA SATUAN]],NOTA[[#This Row],[CONCAT1]]&amp;NOTA[[#This Row],[HARGA/ CTN_H]]&amp;NOTA[[#This Row],[DISC 1]]&amp;NOTA[[#This Row],[DISC 2]])</f>
        <v/>
      </c>
      <c r="AN53" s="184" t="str">
        <f>IF(NOTA[[#This Row],[CONCAT1]]="","",MATCH(NOTA[[#This Row],[CONCAT1]],[1]!db[NB NOTA_C],0)+1)</f>
        <v/>
      </c>
    </row>
    <row r="54" spans="1:40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KEN_0501_016-10</v>
      </c>
      <c r="C54" s="29" t="str">
        <f>IF(NOTA[[#This Row],[CEK_EXP]]&lt;D53,"err","")</f>
        <v/>
      </c>
      <c r="D54" s="29">
        <f>IF(NOTA[[#This Row],[TANGGAL]]="",D53,NOTA[[#This Row],[TANGGAL]])</f>
        <v>44931</v>
      </c>
      <c r="E54" s="29">
        <f ca="1">IF(NOTA[[#This Row],[NAMA BARANG]]="","",INDEX(NOTA[ID],MATCH(,INDIRECT(ADDRESS(ROW(NOTA[ID]),COLUMN(NOTA[ID]))&amp;":"&amp;ADDRESS(ROW(),COLUMN(NOTA[ID]))),-1)))</f>
        <v>12</v>
      </c>
      <c r="F54" s="30"/>
      <c r="G54" s="26" t="s">
        <v>23</v>
      </c>
      <c r="H54" s="26" t="s">
        <v>24</v>
      </c>
      <c r="I54" s="31" t="s">
        <v>157</v>
      </c>
      <c r="J54" s="26" t="s">
        <v>170</v>
      </c>
      <c r="K54" s="33">
        <v>44928</v>
      </c>
      <c r="L54" s="32"/>
      <c r="M54" s="26" t="s">
        <v>158</v>
      </c>
      <c r="N54" s="34">
        <v>1</v>
      </c>
      <c r="O54" s="32"/>
      <c r="P54" s="26"/>
      <c r="Q54" s="28"/>
      <c r="R54" s="46">
        <v>2304000</v>
      </c>
      <c r="S54" s="39" t="s">
        <v>136</v>
      </c>
      <c r="T54" s="35">
        <v>0.17</v>
      </c>
      <c r="U54" s="35"/>
      <c r="V54" s="36"/>
      <c r="W54" s="37"/>
      <c r="X54" s="36">
        <f>IF(NOTA[[#This Row],[HARGA/ CTN]]="",NOTA[[#This Row],[JUMLAH_H]],NOTA[[#This Row],[HARGA/ CTN]]*IF(NOTA[[#This Row],[C]]="",0,NOTA[[#This Row],[C]]))</f>
        <v>2304000</v>
      </c>
      <c r="Y54" s="36">
        <f>IF(NOTA[[#This Row],[JUMLAH]]="","",NOTA[[#This Row],[JUMLAH]]*NOTA[[#This Row],[DISC 1]])</f>
        <v>391680</v>
      </c>
      <c r="Z54" s="36">
        <f>IF(NOTA[[#This Row],[JUMLAH]]="","",(NOTA[[#This Row],[JUMLAH]]-NOTA[[#This Row],[DISC 1-]])*NOTA[[#This Row],[DISC 2]])</f>
        <v>0</v>
      </c>
      <c r="AA54" s="36">
        <f>IF(NOTA[[#This Row],[JUMLAH]]="","",NOTA[[#This Row],[DISC 1-]]+NOTA[[#This Row],[DISC 2-]])</f>
        <v>391680</v>
      </c>
      <c r="AB54" s="36">
        <f>IF(NOTA[[#This Row],[JUMLAH]]="","",NOTA[[#This Row],[JUMLAH]]-NOTA[[#This Row],[DISC]])</f>
        <v>1912320</v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4" s="36" t="str">
        <f>IF(OR(NOTA[[#This Row],[QTY]]="",NOTA[[#This Row],[HARGA SATUAN]]="",),"",NOTA[[#This Row],[QTY]]*NOTA[[#This Row],[HARGA SATUAN]])</f>
        <v/>
      </c>
      <c r="AG54" s="33">
        <f ca="1">IF(NOTA[ID_H]="","",INDEX(NOTA[TANGGAL],MATCH(,INDIRECT(ADDRESS(ROW(NOTA[TANGGAL]),COLUMN(NOTA[TANGGAL]))&amp;":"&amp;ADDRESS(ROW(),COLUMN(NOTA[TANGGAL]))),-1)))</f>
        <v>44931</v>
      </c>
      <c r="AH54" s="28" t="str">
        <f ca="1">IF(NOTA[[#This Row],[NAMA BARANG]]="","",INDEX(NOTA[SUPPLIER],MATCH(,INDIRECT(ADDRESS(ROW(NOTA[ID]),COLUMN(NOTA[ID]))&amp;":"&amp;ADDRESS(ROW(),COLUMN(NOTA[ID]))),-1)))</f>
        <v>KENKO SINAR INDONESIA</v>
      </c>
      <c r="AI54" s="28" t="str">
        <f ca="1">IF(NOTA[[#This Row],[ID_H]]="","",IF(NOTA[[#This Row],[FAKTUR]]="",INDIRECT(ADDRESS(ROW()-1,COLUMN())),NOTA[[#This Row],[FAKTUR]]))</f>
        <v>ARTO MORO</v>
      </c>
      <c r="AJ54" s="38">
        <f ca="1">IF(NOTA[[#This Row],[ID]]="","",COUNTIF(NOTA[ID_H],NOTA[[#This Row],[ID_H]]))</f>
        <v>10</v>
      </c>
      <c r="AK54" s="38">
        <f>IF(NOTA[[#This Row],[TGL.NOTA]]="",IF(NOTA[[#This Row],[SUPPLIER_H]]="","",AK53),MONTH(NOTA[[#This Row],[TGL.NOTA]]))</f>
        <v>1</v>
      </c>
      <c r="AL54" s="38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54" s="38" t="str">
        <f>IF(NOTA[C]="",NOTA[[#This Row],[CONCAT1]]&amp;NOTA[[#This Row],[HARGA SATUAN]],NOTA[[#This Row],[CONCAT1]]&amp;NOTA[[#This Row],[HARGA/ CTN_H]]&amp;NOTA[[#This Row],[DISC 1]]&amp;NOTA[[#This Row],[DISC 2]])</f>
        <v>kenkopencil2b0810fluorescent23040000.17</v>
      </c>
      <c r="AN54" s="184">
        <f>IF(NOTA[[#This Row],[CONCAT1]]="","",MATCH(NOTA[[#This Row],[CONCAT1]],[1]!db[NB NOTA_C],0)+1)</f>
        <v>1231</v>
      </c>
    </row>
    <row r="55" spans="1:40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Row],[CEK_EXP]]&lt;D54,"err","")</f>
        <v/>
      </c>
      <c r="D55" s="29">
        <f>IF(NOTA[[#This Row],[TANGGAL]]="",D54,NOTA[[#This Row],[TANGGAL]])</f>
        <v>44931</v>
      </c>
      <c r="E55" s="29">
        <f ca="1">IF(NOTA[[#This Row],[NAMA BARANG]]="","",INDEX(NOTA[ID],MATCH(,INDIRECT(ADDRESS(ROW(NOTA[ID]),COLUMN(NOTA[ID]))&amp;":"&amp;ADDRESS(ROW(),COLUMN(NOTA[ID]))),-1)))</f>
        <v>12</v>
      </c>
      <c r="F55" s="30"/>
      <c r="G55" s="26"/>
      <c r="H55" s="26"/>
      <c r="I55" s="31"/>
      <c r="J55" s="32"/>
      <c r="K55" s="33"/>
      <c r="L55" s="32"/>
      <c r="M55" s="26" t="s">
        <v>159</v>
      </c>
      <c r="N55" s="34">
        <v>1</v>
      </c>
      <c r="O55" s="32"/>
      <c r="P55" s="26"/>
      <c r="Q55" s="28"/>
      <c r="R55" s="46">
        <v>2256000</v>
      </c>
      <c r="S55" s="39" t="s">
        <v>136</v>
      </c>
      <c r="T55" s="35">
        <v>0.17</v>
      </c>
      <c r="U55" s="35"/>
      <c r="V55" s="36"/>
      <c r="W55" s="37"/>
      <c r="X55" s="36">
        <f>IF(NOTA[[#This Row],[HARGA/ CTN]]="",NOTA[[#This Row],[JUMLAH_H]],NOTA[[#This Row],[HARGA/ CTN]]*IF(NOTA[[#This Row],[C]]="",0,NOTA[[#This Row],[C]]))</f>
        <v>2256000</v>
      </c>
      <c r="Y55" s="36">
        <f>IF(NOTA[[#This Row],[JUMLAH]]="","",NOTA[[#This Row],[JUMLAH]]*NOTA[[#This Row],[DISC 1]])</f>
        <v>383520</v>
      </c>
      <c r="Z55" s="36">
        <f>IF(NOTA[[#This Row],[JUMLAH]]="","",(NOTA[[#This Row],[JUMLAH]]-NOTA[[#This Row],[DISC 1-]])*NOTA[[#This Row],[DISC 2]])</f>
        <v>0</v>
      </c>
      <c r="AA55" s="36">
        <f>IF(NOTA[[#This Row],[JUMLAH]]="","",NOTA[[#This Row],[DISC 1-]]+NOTA[[#This Row],[DISC 2-]])</f>
        <v>383520</v>
      </c>
      <c r="AB55" s="36">
        <f>IF(NOTA[[#This Row],[JUMLAH]]="","",NOTA[[#This Row],[JUMLAH]]-NOTA[[#This Row],[DISC]])</f>
        <v>1872480</v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55" s="36" t="str">
        <f>IF(OR(NOTA[[#This Row],[QTY]]="",NOTA[[#This Row],[HARGA SATUAN]]="",),"",NOTA[[#This Row],[QTY]]*NOTA[[#This Row],[HARGA SATUAN]])</f>
        <v/>
      </c>
      <c r="AG55" s="33">
        <f ca="1">IF(NOTA[ID_H]="","",INDEX(NOTA[TANGGAL],MATCH(,INDIRECT(ADDRESS(ROW(NOTA[TANGGAL]),COLUMN(NOTA[TANGGAL]))&amp;":"&amp;ADDRESS(ROW(),COLUMN(NOTA[TANGGAL]))),-1)))</f>
        <v>44931</v>
      </c>
      <c r="AH55" s="28" t="str">
        <f ca="1">IF(NOTA[[#This Row],[NAMA BARANG]]="","",INDEX(NOTA[SUPPLIER],MATCH(,INDIRECT(ADDRESS(ROW(NOTA[ID]),COLUMN(NOTA[ID]))&amp;":"&amp;ADDRESS(ROW(),COLUMN(NOTA[ID]))),-1)))</f>
        <v>KENKO SINAR INDONESIA</v>
      </c>
      <c r="AI55" s="28" t="str">
        <f ca="1">IF(NOTA[[#This Row],[ID_H]]="","",IF(NOTA[[#This Row],[FAKTUR]]="",INDIRECT(ADDRESS(ROW()-1,COLUMN())),NOTA[[#This Row],[FAKTUR]]))</f>
        <v>ARTO MORO</v>
      </c>
      <c r="AJ55" s="38" t="str">
        <f ca="1">IF(NOTA[[#This Row],[ID]]="","",COUNTIF(NOTA[ID_H],NOTA[[#This Row],[ID_H]]))</f>
        <v/>
      </c>
      <c r="AK55" s="38">
        <f ca="1">IF(NOTA[[#This Row],[TGL.NOTA]]="",IF(NOTA[[#This Row],[SUPPLIER_H]]="","",AK54),MONTH(NOTA[[#This Row],[TGL.NOTA]]))</f>
        <v>1</v>
      </c>
      <c r="AL55" s="38" t="str">
        <f>LOWER(SUBSTITUTE(SUBSTITUTE(SUBSTITUTE(SUBSTITUTE(SUBSTITUTE(SUBSTITUTE(SUBSTITUTE(SUBSTITUTE(SUBSTITUTE(NOTA[NAMA BARANG]," ",),".",""),"-",""),"(",""),")",""),",",""),"/",""),"""",""),"+",""))</f>
        <v>kenkopencil2b6906btkbatik</v>
      </c>
      <c r="AM55" s="38" t="str">
        <f>IF(NOTA[C]="",NOTA[[#This Row],[CONCAT1]]&amp;NOTA[[#This Row],[HARGA SATUAN]],NOTA[[#This Row],[CONCAT1]]&amp;NOTA[[#This Row],[HARGA/ CTN_H]]&amp;NOTA[[#This Row],[DISC 1]]&amp;NOTA[[#This Row],[DISC 2]])</f>
        <v>kenkopencil2b6906btkbatik22560000.17</v>
      </c>
      <c r="AN55" s="184">
        <f>IF(NOTA[[#This Row],[CONCAT1]]="","",MATCH(NOTA[[#This Row],[CONCAT1]],[1]!db[NB NOTA_C],0)+1)</f>
        <v>1244</v>
      </c>
    </row>
    <row r="56" spans="1:40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Row],[CEK_EXP]]&lt;D55,"err","")</f>
        <v/>
      </c>
      <c r="D56" s="29">
        <f>IF(NOTA[[#This Row],[TANGGAL]]="",D55,NOTA[[#This Row],[TANGGAL]])</f>
        <v>44931</v>
      </c>
      <c r="E56" s="29">
        <f ca="1">IF(NOTA[[#This Row],[NAMA BARANG]]="","",INDEX(NOTA[ID],MATCH(,INDIRECT(ADDRESS(ROW(NOTA[ID]),COLUMN(NOTA[ID]))&amp;":"&amp;ADDRESS(ROW(),COLUMN(NOTA[ID]))),-1)))</f>
        <v>12</v>
      </c>
      <c r="F56" s="30"/>
      <c r="G56" s="32"/>
      <c r="H56" s="32"/>
      <c r="I56" s="55"/>
      <c r="J56" s="32"/>
      <c r="K56" s="51"/>
      <c r="L56" s="32"/>
      <c r="M56" s="26" t="s">
        <v>138</v>
      </c>
      <c r="N56" s="34">
        <v>4</v>
      </c>
      <c r="O56" s="32"/>
      <c r="P56" s="26"/>
      <c r="Q56" s="28"/>
      <c r="R56" s="46">
        <v>1695600</v>
      </c>
      <c r="S56" s="39" t="s">
        <v>118</v>
      </c>
      <c r="T56" s="35">
        <v>0.17</v>
      </c>
      <c r="U56" s="35"/>
      <c r="V56" s="36"/>
      <c r="W56" s="37"/>
      <c r="X56" s="36">
        <f>IF(NOTA[[#This Row],[HARGA/ CTN]]="",NOTA[[#This Row],[JUMLAH_H]],NOTA[[#This Row],[HARGA/ CTN]]*IF(NOTA[[#This Row],[C]]="",0,NOTA[[#This Row],[C]]))</f>
        <v>6782400</v>
      </c>
      <c r="Y56" s="36">
        <f>IF(NOTA[[#This Row],[JUMLAH]]="","",NOTA[[#This Row],[JUMLAH]]*NOTA[[#This Row],[DISC 1]])</f>
        <v>1153008</v>
      </c>
      <c r="Z56" s="36">
        <f>IF(NOTA[[#This Row],[JUMLAH]]="","",(NOTA[[#This Row],[JUMLAH]]-NOTA[[#This Row],[DISC 1-]])*NOTA[[#This Row],[DISC 2]])</f>
        <v>0</v>
      </c>
      <c r="AA56" s="36">
        <f>IF(NOTA[[#This Row],[JUMLAH]]="","",NOTA[[#This Row],[DISC 1-]]+NOTA[[#This Row],[DISC 2-]])</f>
        <v>1153008</v>
      </c>
      <c r="AB56" s="36">
        <f>IF(NOTA[[#This Row],[JUMLAH]]="","",NOTA[[#This Row],[JUMLAH]]-NOTA[[#This Row],[DISC]])</f>
        <v>5629392</v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6" s="36" t="str">
        <f>IF(OR(NOTA[[#This Row],[QTY]]="",NOTA[[#This Row],[HARGA SATUAN]]="",),"",NOTA[[#This Row],[QTY]]*NOTA[[#This Row],[HARGA SATUAN]])</f>
        <v/>
      </c>
      <c r="AG56" s="33">
        <f ca="1">IF(NOTA[ID_H]="","",INDEX(NOTA[TANGGAL],MATCH(,INDIRECT(ADDRESS(ROW(NOTA[TANGGAL]),COLUMN(NOTA[TANGGAL]))&amp;":"&amp;ADDRESS(ROW(),COLUMN(NOTA[TANGGAL]))),-1)))</f>
        <v>44931</v>
      </c>
      <c r="AH56" s="28" t="str">
        <f ca="1">IF(NOTA[[#This Row],[NAMA BARANG]]="","",INDEX(NOTA[SUPPLIER],MATCH(,INDIRECT(ADDRESS(ROW(NOTA[ID]),COLUMN(NOTA[ID]))&amp;":"&amp;ADDRESS(ROW(),COLUMN(NOTA[ID]))),-1)))</f>
        <v>KENKO SINAR INDONESIA</v>
      </c>
      <c r="AI56" s="28" t="str">
        <f ca="1">IF(NOTA[[#This Row],[ID_H]]="","",IF(NOTA[[#This Row],[FAKTUR]]="",INDIRECT(ADDRESS(ROW()-1,COLUMN())),NOTA[[#This Row],[FAKTUR]]))</f>
        <v>ARTO MORO</v>
      </c>
      <c r="AJ56" s="38" t="str">
        <f ca="1">IF(NOTA[[#This Row],[ID]]="","",COUNTIF(NOTA[ID_H],NOTA[[#This Row],[ID_H]]))</f>
        <v/>
      </c>
      <c r="AK56" s="38">
        <f ca="1">IF(NOTA[[#This Row],[TGL.NOTA]]="",IF(NOTA[[#This Row],[SUPPLIER_H]]="","",AK55),MONTH(NOTA[[#This Row],[TGL.NOTA]]))</f>
        <v>1</v>
      </c>
      <c r="AL5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6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N56" s="184">
        <f>IF(NOTA[[#This Row],[CONCAT1]]="","",MATCH(NOTA[[#This Row],[CONCAT1]],[1]!db[NB NOTA_C],0)+1)</f>
        <v>1104</v>
      </c>
    </row>
    <row r="57" spans="1:40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Row],[CEK_EXP]]&lt;D56,"err","")</f>
        <v/>
      </c>
      <c r="D57" s="29">
        <f>IF(NOTA[[#This Row],[TANGGAL]]="",D56,NOTA[[#This Row],[TANGGAL]])</f>
        <v>44931</v>
      </c>
      <c r="E57" s="29">
        <f ca="1">IF(NOTA[[#This Row],[NAMA BARANG]]="","",INDEX(NOTA[ID],MATCH(,INDIRECT(ADDRESS(ROW(NOTA[ID]),COLUMN(NOTA[ID]))&amp;":"&amp;ADDRESS(ROW(),COLUMN(NOTA[ID]))),-1)))</f>
        <v>12</v>
      </c>
      <c r="F57" s="30"/>
      <c r="G57" s="32"/>
      <c r="H57" s="32"/>
      <c r="I57" s="55"/>
      <c r="J57" s="32"/>
      <c r="K57" s="33"/>
      <c r="L57" s="32"/>
      <c r="M57" s="26" t="s">
        <v>140</v>
      </c>
      <c r="N57" s="34">
        <v>1</v>
      </c>
      <c r="O57" s="32"/>
      <c r="P57" s="26"/>
      <c r="Q57" s="28"/>
      <c r="R57" s="46">
        <v>3801600</v>
      </c>
      <c r="S57" s="39" t="s">
        <v>139</v>
      </c>
      <c r="T57" s="35">
        <v>0.17</v>
      </c>
      <c r="U57" s="35"/>
      <c r="V57" s="36"/>
      <c r="W57" s="37"/>
      <c r="X57" s="36">
        <f>IF(NOTA[[#This Row],[HARGA/ CTN]]="",NOTA[[#This Row],[JUMLAH_H]],NOTA[[#This Row],[HARGA/ CTN]]*IF(NOTA[[#This Row],[C]]="",0,NOTA[[#This Row],[C]]))</f>
        <v>3801600</v>
      </c>
      <c r="Y57" s="36">
        <f>IF(NOTA[[#This Row],[JUMLAH]]="","",NOTA[[#This Row],[JUMLAH]]*NOTA[[#This Row],[DISC 1]])</f>
        <v>646272</v>
      </c>
      <c r="Z57" s="36">
        <f>IF(NOTA[[#This Row],[JUMLAH]]="","",(NOTA[[#This Row],[JUMLAH]]-NOTA[[#This Row],[DISC 1-]])*NOTA[[#This Row],[DISC 2]])</f>
        <v>0</v>
      </c>
      <c r="AA57" s="36">
        <f>IF(NOTA[[#This Row],[JUMLAH]]="","",NOTA[[#This Row],[DISC 1-]]+NOTA[[#This Row],[DISC 2-]])</f>
        <v>646272</v>
      </c>
      <c r="AB57" s="36">
        <f>IF(NOTA[[#This Row],[JUMLAH]]="","",NOTA[[#This Row],[JUMLAH]]-NOTA[[#This Row],[DISC]])</f>
        <v>3155328</v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7" s="36" t="str">
        <f>IF(OR(NOTA[[#This Row],[QTY]]="",NOTA[[#This Row],[HARGA SATUAN]]="",),"",NOTA[[#This Row],[QTY]]*NOTA[[#This Row],[HARGA SATUAN]])</f>
        <v/>
      </c>
      <c r="AG57" s="33">
        <f ca="1">IF(NOTA[ID_H]="","",INDEX(NOTA[TANGGAL],MATCH(,INDIRECT(ADDRESS(ROW(NOTA[TANGGAL]),COLUMN(NOTA[TANGGAL]))&amp;":"&amp;ADDRESS(ROW(),COLUMN(NOTA[TANGGAL]))),-1)))</f>
        <v>44931</v>
      </c>
      <c r="AH57" s="28" t="str">
        <f ca="1">IF(NOTA[[#This Row],[NAMA BARANG]]="","",INDEX(NOTA[SUPPLIER],MATCH(,INDIRECT(ADDRESS(ROW(NOTA[ID]),COLUMN(NOTA[ID]))&amp;":"&amp;ADDRESS(ROW(),COLUMN(NOTA[ID]))),-1)))</f>
        <v>KENKO SINAR INDONESIA</v>
      </c>
      <c r="AI57" s="28" t="str">
        <f ca="1">IF(NOTA[[#This Row],[ID_H]]="","",IF(NOTA[[#This Row],[FAKTUR]]="",INDIRECT(ADDRESS(ROW()-1,COLUMN())),NOTA[[#This Row],[FAKTUR]]))</f>
        <v>ARTO MORO</v>
      </c>
      <c r="AJ57" s="38" t="str">
        <f ca="1">IF(NOTA[[#This Row],[ID]]="","",COUNTIF(NOTA[ID_H],NOTA[[#This Row],[ID_H]]))</f>
        <v/>
      </c>
      <c r="AK57" s="38">
        <f ca="1">IF(NOTA[[#This Row],[TGL.NOTA]]="",IF(NOTA[[#This Row],[SUPPLIER_H]]="","",AK56),MONTH(NOTA[[#This Row],[TGL.NOTA]]))</f>
        <v>1</v>
      </c>
      <c r="AL5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57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N57" s="184">
        <f>IF(NOTA[[#This Row],[CONCAT1]]="","",MATCH(NOTA[[#This Row],[CONCAT1]],[1]!db[NB NOTA_C],0)+1)</f>
        <v>1092</v>
      </c>
    </row>
    <row r="58" spans="1:40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Row],[CEK_EXP]]&lt;D57,"err","")</f>
        <v/>
      </c>
      <c r="D58" s="29">
        <f>IF(NOTA[[#This Row],[TANGGAL]]="",D57,NOTA[[#This Row],[TANGGAL]])</f>
        <v>44931</v>
      </c>
      <c r="E58" s="29">
        <f ca="1">IF(NOTA[[#This Row],[NAMA BARANG]]="","",INDEX(NOTA[ID],MATCH(,INDIRECT(ADDRESS(ROW(NOTA[ID]),COLUMN(NOTA[ID]))&amp;":"&amp;ADDRESS(ROW(),COLUMN(NOTA[ID]))),-1)))</f>
        <v>12</v>
      </c>
      <c r="F58" s="30"/>
      <c r="G58" s="26"/>
      <c r="H58" s="26"/>
      <c r="I58" s="55"/>
      <c r="J58" s="32"/>
      <c r="K58" s="33"/>
      <c r="L58" s="32"/>
      <c r="M58" s="26" t="s">
        <v>134</v>
      </c>
      <c r="N58" s="34">
        <v>2</v>
      </c>
      <c r="O58" s="32"/>
      <c r="P58" s="26"/>
      <c r="Q58" s="28"/>
      <c r="R58" s="46">
        <v>2980800</v>
      </c>
      <c r="S58" s="39" t="s">
        <v>124</v>
      </c>
      <c r="T58" s="35">
        <v>0.17</v>
      </c>
      <c r="U58" s="35"/>
      <c r="V58" s="36"/>
      <c r="W58" s="37"/>
      <c r="X58" s="36">
        <f>IF(NOTA[[#This Row],[HARGA/ CTN]]="",NOTA[[#This Row],[JUMLAH_H]],NOTA[[#This Row],[HARGA/ CTN]]*IF(NOTA[[#This Row],[C]]="",0,NOTA[[#This Row],[C]]))</f>
        <v>5961600</v>
      </c>
      <c r="Y58" s="36">
        <f>IF(NOTA[[#This Row],[JUMLAH]]="","",NOTA[[#This Row],[JUMLAH]]*NOTA[[#This Row],[DISC 1]])</f>
        <v>1013472.0000000001</v>
      </c>
      <c r="Z58" s="36">
        <f>IF(NOTA[[#This Row],[JUMLAH]]="","",(NOTA[[#This Row],[JUMLAH]]-NOTA[[#This Row],[DISC 1-]])*NOTA[[#This Row],[DISC 2]])</f>
        <v>0</v>
      </c>
      <c r="AA58" s="36">
        <f>IF(NOTA[[#This Row],[JUMLAH]]="","",NOTA[[#This Row],[DISC 1-]]+NOTA[[#This Row],[DISC 2-]])</f>
        <v>1013472.0000000001</v>
      </c>
      <c r="AB58" s="36">
        <f>IF(NOTA[[#This Row],[JUMLAH]]="","",NOTA[[#This Row],[JUMLAH]]-NOTA[[#This Row],[DISC]])</f>
        <v>4948128</v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8" s="36" t="str">
        <f>IF(OR(NOTA[[#This Row],[QTY]]="",NOTA[[#This Row],[HARGA SATUAN]]="",),"",NOTA[[#This Row],[QTY]]*NOTA[[#This Row],[HARGA SATUAN]])</f>
        <v/>
      </c>
      <c r="AG58" s="33">
        <f ca="1">IF(NOTA[ID_H]="","",INDEX(NOTA[TANGGAL],MATCH(,INDIRECT(ADDRESS(ROW(NOTA[TANGGAL]),COLUMN(NOTA[TANGGAL]))&amp;":"&amp;ADDRESS(ROW(),COLUMN(NOTA[TANGGAL]))),-1)))</f>
        <v>44931</v>
      </c>
      <c r="AH58" s="28" t="str">
        <f ca="1">IF(NOTA[[#This Row],[NAMA BARANG]]="","",INDEX(NOTA[SUPPLIER],MATCH(,INDIRECT(ADDRESS(ROW(NOTA[ID]),COLUMN(NOTA[ID]))&amp;":"&amp;ADDRESS(ROW(),COLUMN(NOTA[ID]))),-1)))</f>
        <v>KENKO SINAR INDONESIA</v>
      </c>
      <c r="AI58" s="28" t="str">
        <f ca="1">IF(NOTA[[#This Row],[ID_H]]="","",IF(NOTA[[#This Row],[FAKTUR]]="",INDIRECT(ADDRESS(ROW()-1,COLUMN())),NOTA[[#This Row],[FAKTUR]]))</f>
        <v>ARTO MORO</v>
      </c>
      <c r="AJ58" s="38" t="str">
        <f ca="1">IF(NOTA[[#This Row],[ID]]="","",COUNTIF(NOTA[ID_H],NOTA[[#This Row],[ID_H]]))</f>
        <v/>
      </c>
      <c r="AK58" s="38">
        <f ca="1">IF(NOTA[[#This Row],[TGL.NOTA]]="",IF(NOTA[[#This Row],[SUPPLIER_H]]="","",AK57),MONTH(NOTA[[#This Row],[TGL.NOTA]]))</f>
        <v>1</v>
      </c>
      <c r="AL5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58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N58" s="184">
        <f>IF(NOTA[[#This Row],[CONCAT1]]="","",MATCH(NOTA[[#This Row],[CONCAT1]],[1]!db[NB NOTA_C],0)+1)</f>
        <v>1035</v>
      </c>
    </row>
    <row r="59" spans="1:40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Row],[CEK_EXP]]&lt;D58,"err","")</f>
        <v/>
      </c>
      <c r="D59" s="29">
        <f>IF(NOTA[[#This Row],[TANGGAL]]="",D58,NOTA[[#This Row],[TANGGAL]])</f>
        <v>44931</v>
      </c>
      <c r="E59" s="29">
        <f ca="1">IF(NOTA[[#This Row],[NAMA BARANG]]="","",INDEX(NOTA[ID],MATCH(,INDIRECT(ADDRESS(ROW(NOTA[ID]),COLUMN(NOTA[ID]))&amp;":"&amp;ADDRESS(ROW(),COLUMN(NOTA[ID]))),-1)))</f>
        <v>12</v>
      </c>
      <c r="F59" s="30"/>
      <c r="G59" s="26"/>
      <c r="H59" s="26"/>
      <c r="I59" s="55"/>
      <c r="J59" s="32"/>
      <c r="K59" s="33"/>
      <c r="L59" s="32"/>
      <c r="M59" s="26" t="s">
        <v>143</v>
      </c>
      <c r="N59" s="34">
        <v>1</v>
      </c>
      <c r="O59" s="32"/>
      <c r="P59" s="26"/>
      <c r="Q59" s="28"/>
      <c r="R59" s="46">
        <v>3542400</v>
      </c>
      <c r="S59" s="39" t="s">
        <v>117</v>
      </c>
      <c r="T59" s="35">
        <v>0.17</v>
      </c>
      <c r="U59" s="35"/>
      <c r="V59" s="36"/>
      <c r="W59" s="37"/>
      <c r="X59" s="36">
        <f>IF(NOTA[[#This Row],[HARGA/ CTN]]="",NOTA[[#This Row],[JUMLAH_H]],NOTA[[#This Row],[HARGA/ CTN]]*IF(NOTA[[#This Row],[C]]="",0,NOTA[[#This Row],[C]]))</f>
        <v>3542400</v>
      </c>
      <c r="Y59" s="36">
        <f>IF(NOTA[[#This Row],[JUMLAH]]="","",NOTA[[#This Row],[JUMLAH]]*NOTA[[#This Row],[DISC 1]])</f>
        <v>602208</v>
      </c>
      <c r="Z59" s="36">
        <f>IF(NOTA[[#This Row],[JUMLAH]]="","",(NOTA[[#This Row],[JUMLAH]]-NOTA[[#This Row],[DISC 1-]])*NOTA[[#This Row],[DISC 2]])</f>
        <v>0</v>
      </c>
      <c r="AA59" s="36">
        <f>IF(NOTA[[#This Row],[JUMLAH]]="","",NOTA[[#This Row],[DISC 1-]]+NOTA[[#This Row],[DISC 2-]])</f>
        <v>602208</v>
      </c>
      <c r="AB59" s="36">
        <f>IF(NOTA[[#This Row],[JUMLAH]]="","",NOTA[[#This Row],[JUMLAH]]-NOTA[[#This Row],[DISC]])</f>
        <v>2940192</v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59" s="36" t="str">
        <f>IF(OR(NOTA[[#This Row],[QTY]]="",NOTA[[#This Row],[HARGA SATUAN]]="",),"",NOTA[[#This Row],[QTY]]*NOTA[[#This Row],[HARGA SATUAN]])</f>
        <v/>
      </c>
      <c r="AG59" s="33">
        <f ca="1">IF(NOTA[ID_H]="","",INDEX(NOTA[TANGGAL],MATCH(,INDIRECT(ADDRESS(ROW(NOTA[TANGGAL]),COLUMN(NOTA[TANGGAL]))&amp;":"&amp;ADDRESS(ROW(),COLUMN(NOTA[TANGGAL]))),-1)))</f>
        <v>44931</v>
      </c>
      <c r="AH59" s="28" t="str">
        <f ca="1">IF(NOTA[[#This Row],[NAMA BARANG]]="","",INDEX(NOTA[SUPPLIER],MATCH(,INDIRECT(ADDRESS(ROW(NOTA[ID]),COLUMN(NOTA[ID]))&amp;":"&amp;ADDRESS(ROW(),COLUMN(NOTA[ID]))),-1)))</f>
        <v>KENKO SINAR INDONESIA</v>
      </c>
      <c r="AI59" s="28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1</v>
      </c>
      <c r="AL59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59" s="38" t="str">
        <f>IF(NOTA[C]="",NOTA[[#This Row],[CONCAT1]]&amp;NOTA[[#This Row],[HARGA SATUAN]],NOTA[[#This Row],[CONCAT1]]&amp;NOTA[[#This Row],[HARGA/ CTN_H]]&amp;NOTA[[#This Row],[DISC 1]]&amp;NOTA[[#This Row],[DISC 2]])</f>
        <v>kenkogelpenke200black35424000.17</v>
      </c>
      <c r="AN59" s="184">
        <f>IF(NOTA[[#This Row],[CONCAT1]]="","",MATCH(NOTA[[#This Row],[CONCAT1]],[1]!db[NB NOTA_C],0)+1)</f>
        <v>1170</v>
      </c>
    </row>
    <row r="60" spans="1:40" ht="20.100000000000001" customHeight="1" x14ac:dyDescent="0.25">
      <c r="A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9" t="str">
        <f>IF(NOTA[[#This Row],[CEK_EXP]]&lt;D59,"err","")</f>
        <v/>
      </c>
      <c r="D60" s="29">
        <f>IF(NOTA[[#This Row],[TANGGAL]]="",D59,NOTA[[#This Row],[TANGGAL]])</f>
        <v>44931</v>
      </c>
      <c r="E60" s="29">
        <f ca="1">IF(NOTA[[#This Row],[NAMA BARANG]]="","",INDEX(NOTA[ID],MATCH(,INDIRECT(ADDRESS(ROW(NOTA[ID]),COLUMN(NOTA[ID]))&amp;":"&amp;ADDRESS(ROW(),COLUMN(NOTA[ID]))),-1)))</f>
        <v>12</v>
      </c>
      <c r="F60" s="30"/>
      <c r="G60" s="26"/>
      <c r="H60" s="26"/>
      <c r="I60" s="31"/>
      <c r="J60" s="32"/>
      <c r="K60" s="33"/>
      <c r="L60" s="32"/>
      <c r="M60" s="26" t="s">
        <v>160</v>
      </c>
      <c r="N60" s="34">
        <v>2</v>
      </c>
      <c r="O60" s="32"/>
      <c r="P60" s="26"/>
      <c r="Q60" s="28"/>
      <c r="R60" s="46">
        <v>2112000</v>
      </c>
      <c r="S60" s="39" t="s">
        <v>136</v>
      </c>
      <c r="T60" s="35">
        <v>0.17</v>
      </c>
      <c r="U60" s="35"/>
      <c r="V60" s="36"/>
      <c r="W60" s="37"/>
      <c r="X60" s="36">
        <f>IF(NOTA[[#This Row],[HARGA/ CTN]]="",NOTA[[#This Row],[JUMLAH_H]],NOTA[[#This Row],[HARGA/ CTN]]*IF(NOTA[[#This Row],[C]]="",0,NOTA[[#This Row],[C]]))</f>
        <v>4224000</v>
      </c>
      <c r="Y60" s="36">
        <f>IF(NOTA[[#This Row],[JUMLAH]]="","",NOTA[[#This Row],[JUMLAH]]*NOTA[[#This Row],[DISC 1]])</f>
        <v>718080</v>
      </c>
      <c r="Z60" s="36">
        <f>IF(NOTA[[#This Row],[JUMLAH]]="","",(NOTA[[#This Row],[JUMLAH]]-NOTA[[#This Row],[DISC 1-]])*NOTA[[#This Row],[DISC 2]])</f>
        <v>0</v>
      </c>
      <c r="AA60" s="36">
        <f>IF(NOTA[[#This Row],[JUMLAH]]="","",NOTA[[#This Row],[DISC 1-]]+NOTA[[#This Row],[DISC 2-]])</f>
        <v>718080</v>
      </c>
      <c r="AB60" s="36">
        <f>IF(NOTA[[#This Row],[JUMLAH]]="","",NOTA[[#This Row],[JUMLAH]]-NOTA[[#This Row],[DISC]])</f>
        <v>3505920</v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60" s="36" t="str">
        <f>IF(OR(NOTA[[#This Row],[QTY]]="",NOTA[[#This Row],[HARGA SATUAN]]="",),"",NOTA[[#This Row],[QTY]]*NOTA[[#This Row],[HARGA SATUAN]])</f>
        <v/>
      </c>
      <c r="AG60" s="33">
        <f ca="1">IF(NOTA[ID_H]="","",INDEX(NOTA[TANGGAL],MATCH(,INDIRECT(ADDRESS(ROW(NOTA[TANGGAL]),COLUMN(NOTA[TANGGAL]))&amp;":"&amp;ADDRESS(ROW(),COLUMN(NOTA[TANGGAL]))),-1)))</f>
        <v>44931</v>
      </c>
      <c r="AH60" s="28" t="str">
        <f ca="1">IF(NOTA[[#This Row],[NAMA BARANG]]="","",INDEX(NOTA[SUPPLIER],MATCH(,INDIRECT(ADDRESS(ROW(NOTA[ID]),COLUMN(NOTA[ID]))&amp;":"&amp;ADDRESS(ROW(),COLUMN(NOTA[ID]))),-1)))</f>
        <v>KENKO SINAR INDONESIA</v>
      </c>
      <c r="AI60" s="28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Row],[SUPPLIER_H]]="","",AK31),MONTH(NOTA[[#This Row],[TGL.NOTA]]))</f>
        <v>1</v>
      </c>
      <c r="AL60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60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N60" s="184">
        <f>IF(NOTA[[#This Row],[CONCAT1]]="","",MATCH(NOTA[[#This Row],[CONCAT1]],[1]!db[NB NOTA_C],0)+1)</f>
        <v>1234</v>
      </c>
    </row>
    <row r="61" spans="1:40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Row],[CEK_EXP]]&lt;D60,"err","")</f>
        <v/>
      </c>
      <c r="D61" s="29">
        <f>IF(NOTA[[#This Row],[TANGGAL]]="",D60,NOTA[[#This Row],[TANGGAL]])</f>
        <v>44931</v>
      </c>
      <c r="E61" s="29">
        <f ca="1">IF(NOTA[[#This Row],[NAMA BARANG]]="","",INDEX(NOTA[ID],MATCH(,INDIRECT(ADDRESS(ROW(NOTA[ID]),COLUMN(NOTA[ID]))&amp;":"&amp;ADDRESS(ROW(),COLUMN(NOTA[ID]))),-1)))</f>
        <v>12</v>
      </c>
      <c r="F61" s="30"/>
      <c r="G61" s="26"/>
      <c r="H61" s="26"/>
      <c r="I61" s="31"/>
      <c r="J61" s="32"/>
      <c r="K61" s="33"/>
      <c r="L61" s="32"/>
      <c r="M61" s="26" t="s">
        <v>142</v>
      </c>
      <c r="N61" s="34">
        <v>2</v>
      </c>
      <c r="O61" s="32"/>
      <c r="P61" s="26"/>
      <c r="Q61" s="28"/>
      <c r="R61" s="52">
        <v>3758400</v>
      </c>
      <c r="S61" s="39" t="s">
        <v>117</v>
      </c>
      <c r="T61" s="35">
        <v>0.17</v>
      </c>
      <c r="U61" s="35"/>
      <c r="V61" s="36"/>
      <c r="W61" s="37"/>
      <c r="X61" s="36">
        <f>IF(NOTA[[#This Row],[HARGA/ CTN]]="",NOTA[[#This Row],[JUMLAH_H]],NOTA[[#This Row],[HARGA/ CTN]]*IF(NOTA[[#This Row],[C]]="",0,NOTA[[#This Row],[C]]))</f>
        <v>7516800</v>
      </c>
      <c r="Y61" s="36">
        <f>IF(NOTA[[#This Row],[JUMLAH]]="","",NOTA[[#This Row],[JUMLAH]]*NOTA[[#This Row],[DISC 1]])</f>
        <v>1277856</v>
      </c>
      <c r="Z61" s="36">
        <f>IF(NOTA[[#This Row],[JUMLAH]]="","",(NOTA[[#This Row],[JUMLAH]]-NOTA[[#This Row],[DISC 1-]])*NOTA[[#This Row],[DISC 2]])</f>
        <v>0</v>
      </c>
      <c r="AA61" s="36">
        <f>IF(NOTA[[#This Row],[JUMLAH]]="","",NOTA[[#This Row],[DISC 1-]]+NOTA[[#This Row],[DISC 2-]])</f>
        <v>1277856</v>
      </c>
      <c r="AB61" s="36">
        <f>IF(NOTA[[#This Row],[JUMLAH]]="","",NOTA[[#This Row],[JUMLAH]]-NOTA[[#This Row],[DISC]])</f>
        <v>6238944</v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1" s="36" t="str">
        <f>IF(OR(NOTA[[#This Row],[QTY]]="",NOTA[[#This Row],[HARGA SATUAN]]="",),"",NOTA[[#This Row],[QTY]]*NOTA[[#This Row],[HARGA SATUAN]])</f>
        <v/>
      </c>
      <c r="AG61" s="33">
        <f ca="1">IF(NOTA[ID_H]="","",INDEX(NOTA[TANGGAL],MATCH(,INDIRECT(ADDRESS(ROW(NOTA[TANGGAL]),COLUMN(NOTA[TANGGAL]))&amp;":"&amp;ADDRESS(ROW(),COLUMN(NOTA[TANGGAL]))),-1)))</f>
        <v>44931</v>
      </c>
      <c r="AH61" s="28" t="str">
        <f ca="1">IF(NOTA[[#This Row],[NAMA BARANG]]="","",INDEX(NOTA[SUPPLIER],MATCH(,INDIRECT(ADDRESS(ROW(NOTA[ID]),COLUMN(NOTA[ID]))&amp;":"&amp;ADDRESS(ROW(),COLUMN(NOTA[ID]))),-1)))</f>
        <v>KENKO SINAR INDONESIA</v>
      </c>
      <c r="AI61" s="28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1</v>
      </c>
      <c r="AL61" s="38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M61" s="38" t="str">
        <f>IF(NOTA[C]="",NOTA[[#This Row],[CONCAT1]]&amp;NOTA[[#This Row],[HARGA SATUAN]],NOTA[[#This Row],[CONCAT1]]&amp;NOTA[[#This Row],[HARGA/ CTN_H]]&amp;NOTA[[#This Row],[DISC 1]]&amp;NOTA[[#This Row],[DISC 2]])</f>
        <v>kenkogelpenke16dotndotblack37584000.17</v>
      </c>
      <c r="AN61" s="184">
        <f>IF(NOTA[[#This Row],[CONCAT1]]="","",MATCH(NOTA[[#This Row],[CONCAT1]],[1]!db[NB NOTA_C],0)+1)</f>
        <v>1169</v>
      </c>
    </row>
    <row r="62" spans="1:40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Row],[CEK_EXP]]&lt;D61,"err","")</f>
        <v/>
      </c>
      <c r="D62" s="29">
        <f>IF(NOTA[[#This Row],[TANGGAL]]="",D61,NOTA[[#This Row],[TANGGAL]])</f>
        <v>44931</v>
      </c>
      <c r="E62" s="29">
        <f ca="1">IF(NOTA[[#This Row],[NAMA BARANG]]="","",INDEX(NOTA[ID],MATCH(,INDIRECT(ADDRESS(ROW(NOTA[ID]),COLUMN(NOTA[ID]))&amp;":"&amp;ADDRESS(ROW(),COLUMN(NOTA[ID]))),-1)))</f>
        <v>12</v>
      </c>
      <c r="F62" s="30"/>
      <c r="G62" s="32"/>
      <c r="H62" s="32"/>
      <c r="I62" s="55"/>
      <c r="J62" s="32"/>
      <c r="K62" s="33"/>
      <c r="L62" s="32"/>
      <c r="M62" s="26" t="s">
        <v>135</v>
      </c>
      <c r="N62" s="34">
        <v>2</v>
      </c>
      <c r="O62" s="32"/>
      <c r="P62" s="26"/>
      <c r="Q62" s="28"/>
      <c r="R62" s="46">
        <v>462000</v>
      </c>
      <c r="S62" s="39" t="s">
        <v>130</v>
      </c>
      <c r="T62" s="35">
        <v>0.17</v>
      </c>
      <c r="U62" s="35"/>
      <c r="V62" s="36"/>
      <c r="W62" s="37"/>
      <c r="X62" s="36">
        <f>IF(NOTA[[#This Row],[HARGA/ CTN]]="",NOTA[[#This Row],[JUMLAH_H]],NOTA[[#This Row],[HARGA/ CTN]]*IF(NOTA[[#This Row],[C]]="",0,NOTA[[#This Row],[C]]))</f>
        <v>924000</v>
      </c>
      <c r="Y62" s="36">
        <f>IF(NOTA[[#This Row],[JUMLAH]]="","",NOTA[[#This Row],[JUMLAH]]*NOTA[[#This Row],[DISC 1]])</f>
        <v>157080</v>
      </c>
      <c r="Z62" s="36">
        <f>IF(NOTA[[#This Row],[JUMLAH]]="","",(NOTA[[#This Row],[JUMLAH]]-NOTA[[#This Row],[DISC 1-]])*NOTA[[#This Row],[DISC 2]])</f>
        <v>0</v>
      </c>
      <c r="AA62" s="36">
        <f>IF(NOTA[[#This Row],[JUMLAH]]="","",NOTA[[#This Row],[DISC 1-]]+NOTA[[#This Row],[DISC 2-]])</f>
        <v>157080</v>
      </c>
      <c r="AB62" s="36">
        <f>IF(NOTA[[#This Row],[JUMLAH]]="","",NOTA[[#This Row],[JUMLAH]]-NOTA[[#This Row],[DISC]])</f>
        <v>766920</v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62" s="36" t="str">
        <f>IF(OR(NOTA[[#This Row],[QTY]]="",NOTA[[#This Row],[HARGA SATUAN]]="",),"",NOTA[[#This Row],[QTY]]*NOTA[[#This Row],[HARGA SATUAN]])</f>
        <v/>
      </c>
      <c r="AG62" s="33">
        <f ca="1">IF(NOTA[ID_H]="","",INDEX(NOTA[TANGGAL],MATCH(,INDIRECT(ADDRESS(ROW(NOTA[TANGGAL]),COLUMN(NOTA[TANGGAL]))&amp;":"&amp;ADDRESS(ROW(),COLUMN(NOTA[TANGGAL]))),-1)))</f>
        <v>44931</v>
      </c>
      <c r="AH62" s="28" t="str">
        <f ca="1">IF(NOTA[[#This Row],[NAMA BARANG]]="","",INDEX(NOTA[SUPPLIER],MATCH(,INDIRECT(ADDRESS(ROW(NOTA[ID]),COLUMN(NOTA[ID]))&amp;":"&amp;ADDRESS(ROW(),COLUMN(NOTA[ID]))),-1)))</f>
        <v>KENKO SINAR INDONESIA</v>
      </c>
      <c r="AI62" s="28" t="str">
        <f ca="1">IF(NOTA[[#This Row],[ID_H]]="","",IF(NOTA[[#This Row],[FAKTUR]]="",INDIRECT(ADDRESS(ROW()-1,COLUMN())),NOTA[[#This Row],[FAKTUR]]))</f>
        <v>ARTO MORO</v>
      </c>
      <c r="AJ62" s="38" t="str">
        <f ca="1">IF(NOTA[[#This Row],[ID]]="","",COUNTIF(NOTA[ID_H],NOTA[[#This Row],[ID_H]]))</f>
        <v/>
      </c>
      <c r="AK62" s="38">
        <f ca="1">IF(NOTA[[#This Row],[TGL.NOTA]]="",IF(NOTA[[#This Row],[SUPPLIER_H]]="","",AK61),MONTH(NOTA[[#This Row],[TGL.NOTA]]))</f>
        <v>1</v>
      </c>
      <c r="AL6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62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N62" s="184">
        <f>IF(NOTA[[#This Row],[CONCAT1]]="","",MATCH(NOTA[[#This Row],[CONCAT1]],[1]!db[NB NOTA_C],0)+1)</f>
        <v>1307</v>
      </c>
    </row>
    <row r="63" spans="1:40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Row],[CEK_EXP]]&lt;D62,"err","")</f>
        <v/>
      </c>
      <c r="D63" s="29">
        <f>IF(NOTA[[#This Row],[TANGGAL]]="",D62,NOTA[[#This Row],[TANGGAL]])</f>
        <v>44931</v>
      </c>
      <c r="E63" s="29">
        <f ca="1">IF(NOTA[[#This Row],[NAMA BARANG]]="","",INDEX(NOTA[ID],MATCH(,INDIRECT(ADDRESS(ROW(NOTA[ID]),COLUMN(NOTA[ID]))&amp;":"&amp;ADDRESS(ROW(),COLUMN(NOTA[ID]))),-1)))</f>
        <v>12</v>
      </c>
      <c r="F63" s="30"/>
      <c r="G63" s="26"/>
      <c r="H63" s="26"/>
      <c r="I63" s="31"/>
      <c r="J63" s="32"/>
      <c r="K63" s="33"/>
      <c r="L63" s="32"/>
      <c r="M63" s="26" t="s">
        <v>161</v>
      </c>
      <c r="N63" s="34">
        <v>1</v>
      </c>
      <c r="O63" s="32"/>
      <c r="P63" s="26"/>
      <c r="Q63" s="28"/>
      <c r="R63" s="46">
        <v>1416000</v>
      </c>
      <c r="S63" s="39" t="s">
        <v>130</v>
      </c>
      <c r="T63" s="35">
        <v>0.17</v>
      </c>
      <c r="U63" s="35"/>
      <c r="V63" s="36"/>
      <c r="W63" s="37"/>
      <c r="X63" s="36">
        <f>IF(NOTA[[#This Row],[HARGA/ CTN]]="",NOTA[[#This Row],[JUMLAH_H]],NOTA[[#This Row],[HARGA/ CTN]]*IF(NOTA[[#This Row],[C]]="",0,NOTA[[#This Row],[C]]))</f>
        <v>1416000</v>
      </c>
      <c r="Y63" s="36">
        <f>IF(NOTA[[#This Row],[JUMLAH]]="","",NOTA[[#This Row],[JUMLAH]]*NOTA[[#This Row],[DISC 1]])</f>
        <v>240720.00000000003</v>
      </c>
      <c r="Z63" s="36">
        <f>IF(NOTA[[#This Row],[JUMLAH]]="","",(NOTA[[#This Row],[JUMLAH]]-NOTA[[#This Row],[DISC 1-]])*NOTA[[#This Row],[DISC 2]])</f>
        <v>0</v>
      </c>
      <c r="AA63" s="36">
        <f>IF(NOTA[[#This Row],[JUMLAH]]="","",NOTA[[#This Row],[DISC 1-]]+NOTA[[#This Row],[DISC 2-]])</f>
        <v>240720.00000000003</v>
      </c>
      <c r="AB63" s="36">
        <f>IF(NOTA[[#This Row],[JUMLAH]]="","",NOTA[[#This Row],[JUMLAH]]-NOTA[[#This Row],[DISC]])</f>
        <v>1175280</v>
      </c>
      <c r="AC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6583896</v>
      </c>
      <c r="AD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32144904</v>
      </c>
      <c r="AE63" s="28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63" s="36" t="str">
        <f>IF(OR(NOTA[[#This Row],[QTY]]="",NOTA[[#This Row],[HARGA SATUAN]]="",),"",NOTA[[#This Row],[QTY]]*NOTA[[#This Row],[HARGA SATUAN]])</f>
        <v/>
      </c>
      <c r="AG63" s="33">
        <f ca="1">IF(NOTA[ID_H]="","",INDEX(NOTA[TANGGAL],MATCH(,INDIRECT(ADDRESS(ROW(NOTA[TANGGAL]),COLUMN(NOTA[TANGGAL]))&amp;":"&amp;ADDRESS(ROW(),COLUMN(NOTA[TANGGAL]))),-1)))</f>
        <v>44931</v>
      </c>
      <c r="AH63" s="28" t="str">
        <f ca="1">IF(NOTA[[#This Row],[NAMA BARANG]]="","",INDEX(NOTA[SUPPLIER],MATCH(,INDIRECT(ADDRESS(ROW(NOTA[ID]),COLUMN(NOTA[ID]))&amp;":"&amp;ADDRESS(ROW(),COLUMN(NOTA[ID]))),-1)))</f>
        <v>KENKO SINAR INDONESIA</v>
      </c>
      <c r="AI63" s="28" t="str">
        <f ca="1">IF(NOTA[[#This Row],[ID_H]]="","",IF(NOTA[[#This Row],[FAKTUR]]="",INDIRECT(ADDRESS(ROW()-1,COLUMN())),NOTA[[#This Row],[FAKTUR]]))</f>
        <v>ARTO MORO</v>
      </c>
      <c r="AJ63" s="38" t="str">
        <f ca="1">IF(NOTA[[#This Row],[ID]]="","",COUNTIF(NOTA[ID_H],NOTA[[#This Row],[ID_H]]))</f>
        <v/>
      </c>
      <c r="AK63" s="38">
        <f ca="1">IF(NOTA[[#This Row],[TGL.NOTA]]="",IF(NOTA[[#This Row],[SUPPLIER_H]]="","",AK62),MONTH(NOTA[[#This Row],[TGL.NOTA]]))</f>
        <v>1</v>
      </c>
      <c r="AL6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M63" s="38" t="str">
        <f>IF(NOTA[C]="",NOTA[[#This Row],[CONCAT1]]&amp;NOTA[[#This Row],[HARGA SATUAN]],NOTA[[#This Row],[CONCAT1]]&amp;NOTA[[#This Row],[HARGA/ CTN_H]]&amp;NOTA[[#This Row],[DISC 1]]&amp;NOTA[[#This Row],[DISC 2]])</f>
        <v>kenkopunchno85xl14160000.17</v>
      </c>
      <c r="AN63" s="184">
        <f>IF(NOTA[[#This Row],[CONCAT1]]="","",MATCH(NOTA[[#This Row],[CONCAT1]],[1]!db[NB NOTA_C],0)+1)</f>
        <v>1264</v>
      </c>
    </row>
    <row r="64" spans="1:40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Row],[CEK_EXP]]&lt;D63,"err","")</f>
        <v/>
      </c>
      <c r="D64" s="29">
        <f>IF(NOTA[[#This Row],[TANGGAL]]="",D63,NOTA[[#This Row],[TANGGAL]])</f>
        <v>44931</v>
      </c>
      <c r="E64" s="29" t="str">
        <f ca="1">IF(NOTA[[#This Row],[NAMA BARANG]]="","",INDEX(NOTA[ID],MATCH(,INDIRECT(ADDRESS(ROW(NOTA[ID]),COLUMN(NOTA[ID]))&amp;":"&amp;ADDRESS(ROW(),COLUMN(NOTA[ID]))),-1)))</f>
        <v/>
      </c>
      <c r="F64" s="30"/>
      <c r="G64" s="26"/>
      <c r="H64" s="26"/>
      <c r="I64" s="31"/>
      <c r="J64" s="26"/>
      <c r="K64" s="33"/>
      <c r="L64" s="32"/>
      <c r="M64" s="26"/>
      <c r="N64" s="34"/>
      <c r="O64" s="32"/>
      <c r="P64" s="26"/>
      <c r="Q64" s="28"/>
      <c r="R64" s="46"/>
      <c r="S64" s="56"/>
      <c r="T64" s="35"/>
      <c r="U64" s="35"/>
      <c r="V64" s="36"/>
      <c r="W64" s="37"/>
      <c r="X64" s="36" t="str">
        <f>IF(NOTA[[#This Row],[HARGA/ CTN]]="",NOTA[[#This Row],[JUMLAH_H]],NOTA[[#This Row],[HARGA/ CTN]]*IF(NOTA[[#This Row],[C]]="",0,NOTA[[#This Row],[C]]))</f>
        <v/>
      </c>
      <c r="Y64" s="36" t="str">
        <f>IF(NOTA[[#This Row],[JUMLAH]]="","",NOTA[[#This Row],[JUMLAH]]*NOTA[[#This Row],[DISC 1]])</f>
        <v/>
      </c>
      <c r="Z64" s="36" t="str">
        <f>IF(NOTA[[#This Row],[JUMLAH]]="","",(NOTA[[#This Row],[JUMLAH]]-NOTA[[#This Row],[DISC 1-]])*NOTA[[#This Row],[DISC 2]])</f>
        <v/>
      </c>
      <c r="AA64" s="36" t="str">
        <f>IF(NOTA[[#This Row],[JUMLAH]]="","",NOTA[[#This Row],[DISC 1-]]+NOTA[[#This Row],[DISC 2-]])</f>
        <v/>
      </c>
      <c r="AB64" s="36" t="str">
        <f>IF(NOTA[[#This Row],[JUMLAH]]="","",NOTA[[#This Row],[JUMLAH]]-NOTA[[#This Row],[DISC]])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36" t="str">
        <f>IF(OR(NOTA[[#This Row],[QTY]]="",NOTA[[#This Row],[HARGA SATUAN]]="",),"",NOTA[[#This Row],[QTY]]*NOTA[[#This Row],[HARGA SATUAN]])</f>
        <v/>
      </c>
      <c r="AG64" s="33" t="str">
        <f ca="1">IF(NOTA[ID_H]="","",INDEX(NOTA[TANGGAL],MATCH(,INDIRECT(ADDRESS(ROW(NOTA[TANGGAL]),COLUMN(NOTA[TANGGAL]))&amp;":"&amp;ADDRESS(ROW(),COLUMN(NOTA[TANGGAL]))),-1)))</f>
        <v/>
      </c>
      <c r="AH64" s="28" t="str">
        <f ca="1">IF(NOTA[[#This Row],[NAMA BARANG]]="","",INDEX(NOTA[SUPPLIER],MATCH(,INDIRECT(ADDRESS(ROW(NOTA[ID]),COLUMN(NOTA[ID]))&amp;":"&amp;ADDRESS(ROW(),COLUMN(NOTA[ID]))),-1)))</f>
        <v/>
      </c>
      <c r="AI64" s="28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IF(NOTA[C]="",NOTA[[#This Row],[CONCAT1]]&amp;NOTA[[#This Row],[HARGA SATUAN]],NOTA[[#This Row],[CONCAT1]]&amp;NOTA[[#This Row],[HARGA/ CTN_H]]&amp;NOTA[[#This Row],[DISC 1]]&amp;NOTA[[#This Row],[DISC 2]])</f>
        <v/>
      </c>
      <c r="AN64" s="184" t="str">
        <f>IF(NOTA[[#This Row],[CONCAT1]]="","",MATCH(NOTA[[#This Row],[CONCAT1]],[1]!db[NB NOTA_C],0)+1)</f>
        <v/>
      </c>
    </row>
    <row r="65" spans="1:40" ht="20.100000000000001" customHeight="1" x14ac:dyDescent="0.25">
      <c r="A65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KEN_0501_019-8</v>
      </c>
      <c r="C65" s="29" t="str">
        <f>IF(NOTA[[#This Row],[CEK_EXP]]&lt;D64,"err","")</f>
        <v/>
      </c>
      <c r="D65" s="29">
        <f>IF(NOTA[[#This Row],[TANGGAL]]="",D64,NOTA[[#This Row],[TANGGAL]])</f>
        <v>44931</v>
      </c>
      <c r="E65" s="29">
        <f ca="1">IF(NOTA[[#This Row],[NAMA BARANG]]="","",INDEX(NOTA[ID],MATCH(,INDIRECT(ADDRESS(ROW(NOTA[ID]),COLUMN(NOTA[ID]))&amp;":"&amp;ADDRESS(ROW(),COLUMN(NOTA[ID]))),-1)))</f>
        <v>13</v>
      </c>
      <c r="F65" s="30"/>
      <c r="G65" s="26" t="s">
        <v>23</v>
      </c>
      <c r="H65" s="26" t="s">
        <v>24</v>
      </c>
      <c r="I65" s="31" t="s">
        <v>162</v>
      </c>
      <c r="J65" s="32"/>
      <c r="K65" s="33">
        <v>44928</v>
      </c>
      <c r="L65" s="32"/>
      <c r="M65" s="26" t="s">
        <v>127</v>
      </c>
      <c r="N65" s="34">
        <v>4</v>
      </c>
      <c r="O65" s="32"/>
      <c r="P65" s="26"/>
      <c r="Q65" s="28"/>
      <c r="R65" s="46">
        <v>1860000</v>
      </c>
      <c r="S65" s="56" t="s">
        <v>171</v>
      </c>
      <c r="T65" s="35">
        <v>0.17</v>
      </c>
      <c r="U65" s="35"/>
      <c r="V65" s="36"/>
      <c r="W65" s="37"/>
      <c r="X65" s="36">
        <f>IF(NOTA[[#This Row],[HARGA/ CTN]]="",NOTA[[#This Row],[JUMLAH_H]],NOTA[[#This Row],[HARGA/ CTN]]*IF(NOTA[[#This Row],[C]]="",0,NOTA[[#This Row],[C]]))</f>
        <v>7440000</v>
      </c>
      <c r="Y65" s="36">
        <f>IF(NOTA[[#This Row],[JUMLAH]]="","",NOTA[[#This Row],[JUMLAH]]*NOTA[[#This Row],[DISC 1]])</f>
        <v>1264800</v>
      </c>
      <c r="Z65" s="36">
        <f>IF(NOTA[[#This Row],[JUMLAH]]="","",(NOTA[[#This Row],[JUMLAH]]-NOTA[[#This Row],[DISC 1-]])*NOTA[[#This Row],[DISC 2]])</f>
        <v>0</v>
      </c>
      <c r="AA65" s="36">
        <f>IF(NOTA[[#This Row],[JUMLAH]]="","",NOTA[[#This Row],[DISC 1-]]+NOTA[[#This Row],[DISC 2-]])</f>
        <v>1264800</v>
      </c>
      <c r="AB65" s="36">
        <f>IF(NOTA[[#This Row],[JUMLAH]]="","",NOTA[[#This Row],[JUMLAH]]-NOTA[[#This Row],[DISC]])</f>
        <v>6175200</v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28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65" s="36" t="str">
        <f>IF(OR(NOTA[[#This Row],[QTY]]="",NOTA[[#This Row],[HARGA SATUAN]]="",),"",NOTA[[#This Row],[QTY]]*NOTA[[#This Row],[HARGA SATUAN]])</f>
        <v/>
      </c>
      <c r="AG65" s="33">
        <f ca="1">IF(NOTA[ID_H]="","",INDEX(NOTA[TANGGAL],MATCH(,INDIRECT(ADDRESS(ROW(NOTA[TANGGAL]),COLUMN(NOTA[TANGGAL]))&amp;":"&amp;ADDRESS(ROW(),COLUMN(NOTA[TANGGAL]))),-1)))</f>
        <v>44931</v>
      </c>
      <c r="AH65" s="28" t="str">
        <f ca="1">IF(NOTA[[#This Row],[NAMA BARANG]]="","",INDEX(NOTA[SUPPLIER],MATCH(,INDIRECT(ADDRESS(ROW(NOTA[ID]),COLUMN(NOTA[ID]))&amp;":"&amp;ADDRESS(ROW(),COLUMN(NOTA[ID]))),-1)))</f>
        <v>KENKO SINAR INDONESIA</v>
      </c>
      <c r="AI65" s="28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8</v>
      </c>
      <c r="AK65" s="38">
        <f>IF(NOTA[[#This Row],[TGL.NOTA]]="",IF(NOTA[[#This Row],[SUPPLIER_H]]="","",AK64),MONTH(NOTA[[#This Row],[TGL.NOTA]]))</f>
        <v>1</v>
      </c>
      <c r="AL6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65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N65" s="184">
        <f>IF(NOTA[[#This Row],[CONCAT1]]="","",MATCH(NOTA[[#This Row],[CONCAT1]],[1]!db[NB NOTA_C],0)+1)</f>
        <v>1292</v>
      </c>
    </row>
    <row r="66" spans="1:40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Row],[CEK_EXP]]&lt;D65,"err","")</f>
        <v/>
      </c>
      <c r="D66" s="29">
        <f>IF(NOTA[[#This Row],[TANGGAL]]="",D65,NOTA[[#This Row],[TANGGAL]])</f>
        <v>44931</v>
      </c>
      <c r="E66" s="29">
        <f ca="1">IF(NOTA[[#This Row],[NAMA BARANG]]="","",INDEX(NOTA[ID],MATCH(,INDIRECT(ADDRESS(ROW(NOTA[ID]),COLUMN(NOTA[ID]))&amp;":"&amp;ADDRESS(ROW(),COLUMN(NOTA[ID]))),-1)))</f>
        <v>13</v>
      </c>
      <c r="F66" s="30"/>
      <c r="G66" s="32"/>
      <c r="H66" s="32"/>
      <c r="I66" s="55"/>
      <c r="J66" s="32"/>
      <c r="K66" s="33"/>
      <c r="L66" s="32"/>
      <c r="M66" s="26" t="s">
        <v>163</v>
      </c>
      <c r="N66" s="34">
        <v>2</v>
      </c>
      <c r="O66" s="32"/>
      <c r="P66" s="26"/>
      <c r="Q66" s="28"/>
      <c r="R66" s="46">
        <v>2448000</v>
      </c>
      <c r="S66" s="39" t="s">
        <v>136</v>
      </c>
      <c r="T66" s="35">
        <v>0.17</v>
      </c>
      <c r="U66" s="35"/>
      <c r="V66" s="36"/>
      <c r="W66" s="37"/>
      <c r="X66" s="36">
        <f>IF(NOTA[[#This Row],[HARGA/ CTN]]="",NOTA[[#This Row],[JUMLAH_H]],NOTA[[#This Row],[HARGA/ CTN]]*IF(NOTA[[#This Row],[C]]="",0,NOTA[[#This Row],[C]]))</f>
        <v>4896000</v>
      </c>
      <c r="Y66" s="36">
        <f>IF(NOTA[[#This Row],[JUMLAH]]="","",NOTA[[#This Row],[JUMLAH]]*NOTA[[#This Row],[DISC 1]])</f>
        <v>832320.00000000012</v>
      </c>
      <c r="Z66" s="36">
        <f>IF(NOTA[[#This Row],[JUMLAH]]="","",(NOTA[[#This Row],[JUMLAH]]-NOTA[[#This Row],[DISC 1-]])*NOTA[[#This Row],[DISC 2]])</f>
        <v>0</v>
      </c>
      <c r="AA66" s="36">
        <f>IF(NOTA[[#This Row],[JUMLAH]]="","",NOTA[[#This Row],[DISC 1-]]+NOTA[[#This Row],[DISC 2-]])</f>
        <v>832320.00000000012</v>
      </c>
      <c r="AB66" s="36">
        <f>IF(NOTA[[#This Row],[JUMLAH]]="","",NOTA[[#This Row],[JUMLAH]]-NOTA[[#This Row],[DISC]])</f>
        <v>4063680</v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66" s="36" t="str">
        <f>IF(OR(NOTA[[#This Row],[QTY]]="",NOTA[[#This Row],[HARGA SATUAN]]="",),"",NOTA[[#This Row],[QTY]]*NOTA[[#This Row],[HARGA SATUAN]])</f>
        <v/>
      </c>
      <c r="AG66" s="33">
        <f ca="1">IF(NOTA[ID_H]="","",INDEX(NOTA[TANGGAL],MATCH(,INDIRECT(ADDRESS(ROW(NOTA[TANGGAL]),COLUMN(NOTA[TANGGAL]))&amp;":"&amp;ADDRESS(ROW(),COLUMN(NOTA[TANGGAL]))),-1)))</f>
        <v>44931</v>
      </c>
      <c r="AH66" s="28" t="str">
        <f ca="1">IF(NOTA[[#This Row],[NAMA BARANG]]="","",INDEX(NOTA[SUPPLIER],MATCH(,INDIRECT(ADDRESS(ROW(NOTA[ID]),COLUMN(NOTA[ID]))&amp;":"&amp;ADDRESS(ROW(),COLUMN(NOTA[ID]))),-1)))</f>
        <v>KENKO SINAR INDONESIA</v>
      </c>
      <c r="AI66" s="28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1</v>
      </c>
      <c r="AL66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M66" s="38" t="str">
        <f>IF(NOTA[C]="",NOTA[[#This Row],[CONCAT1]]&amp;NOTA[[#This Row],[HARGA SATUAN]],NOTA[[#This Row],[CONCAT1]]&amp;NOTA[[#This Row],[HARGA/ CTN_H]]&amp;NOTA[[#This Row],[DISC 1]]&amp;NOTA[[#This Row],[DISC 2]])</f>
        <v>kenkopencil2b3282hitambintang24480000.17</v>
      </c>
      <c r="AN66" s="184">
        <f>IF(NOTA[[#This Row],[CONCAT1]]="","",MATCH(NOTA[[#This Row],[CONCAT1]],[1]!db[NB NOTA_C],0)+1)</f>
        <v>1235</v>
      </c>
    </row>
    <row r="67" spans="1:40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Row],[CEK_EXP]]&lt;D66,"err","")</f>
        <v/>
      </c>
      <c r="D67" s="29">
        <f>IF(NOTA[[#This Row],[TANGGAL]]="",D66,NOTA[[#This Row],[TANGGAL]])</f>
        <v>44931</v>
      </c>
      <c r="E67" s="29">
        <f ca="1">IF(NOTA[[#This Row],[NAMA BARANG]]="","",INDEX(NOTA[ID],MATCH(,INDIRECT(ADDRESS(ROW(NOTA[ID]),COLUMN(NOTA[ID]))&amp;":"&amp;ADDRESS(ROW(),COLUMN(NOTA[ID]))),-1)))</f>
        <v>13</v>
      </c>
      <c r="F67" s="30"/>
      <c r="G67" s="32"/>
      <c r="H67" s="32"/>
      <c r="I67" s="55"/>
      <c r="J67" s="32"/>
      <c r="K67" s="33"/>
      <c r="L67" s="32"/>
      <c r="M67" s="26" t="s">
        <v>164</v>
      </c>
      <c r="N67" s="34">
        <v>2</v>
      </c>
      <c r="O67" s="32"/>
      <c r="P67" s="26"/>
      <c r="Q67" s="28"/>
      <c r="R67" s="46">
        <v>2160000</v>
      </c>
      <c r="S67" s="39" t="s">
        <v>136</v>
      </c>
      <c r="T67" s="35">
        <v>0.17</v>
      </c>
      <c r="U67" s="35"/>
      <c r="V67" s="36"/>
      <c r="W67" s="37"/>
      <c r="X67" s="36">
        <f>IF(NOTA[[#This Row],[HARGA/ CTN]]="",NOTA[[#This Row],[JUMLAH_H]],NOTA[[#This Row],[HARGA/ CTN]]*IF(NOTA[[#This Row],[C]]="",0,NOTA[[#This Row],[C]]))</f>
        <v>4320000</v>
      </c>
      <c r="Y67" s="36">
        <f>IF(NOTA[[#This Row],[JUMLAH]]="","",NOTA[[#This Row],[JUMLAH]]*NOTA[[#This Row],[DISC 1]])</f>
        <v>734400</v>
      </c>
      <c r="Z67" s="36">
        <f>IF(NOTA[[#This Row],[JUMLAH]]="","",(NOTA[[#This Row],[JUMLAH]]-NOTA[[#This Row],[DISC 1-]])*NOTA[[#This Row],[DISC 2]])</f>
        <v>0</v>
      </c>
      <c r="AA67" s="36">
        <f>IF(NOTA[[#This Row],[JUMLAH]]="","",NOTA[[#This Row],[DISC 1-]]+NOTA[[#This Row],[DISC 2-]])</f>
        <v>734400</v>
      </c>
      <c r="AB67" s="36">
        <f>IF(NOTA[[#This Row],[JUMLAH]]="","",NOTA[[#This Row],[JUMLAH]]-NOTA[[#This Row],[DISC]])</f>
        <v>3585600</v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7" s="36" t="str">
        <f>IF(OR(NOTA[[#This Row],[QTY]]="",NOTA[[#This Row],[HARGA SATUAN]]="",),"",NOTA[[#This Row],[QTY]]*NOTA[[#This Row],[HARGA SATUAN]])</f>
        <v/>
      </c>
      <c r="AG67" s="33">
        <f ca="1">IF(NOTA[ID_H]="","",INDEX(NOTA[TANGGAL],MATCH(,INDIRECT(ADDRESS(ROW(NOTA[TANGGAL]),COLUMN(NOTA[TANGGAL]))&amp;":"&amp;ADDRESS(ROW(),COLUMN(NOTA[TANGGAL]))),-1)))</f>
        <v>44931</v>
      </c>
      <c r="AH67" s="28" t="str">
        <f ca="1">IF(NOTA[[#This Row],[NAMA BARANG]]="","",INDEX(NOTA[SUPPLIER],MATCH(,INDIRECT(ADDRESS(ROW(NOTA[ID]),COLUMN(NOTA[ID]))&amp;":"&amp;ADDRESS(ROW(),COLUMN(NOTA[ID]))),-1)))</f>
        <v>KENKO SINAR INDONESIA</v>
      </c>
      <c r="AI67" s="28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1</v>
      </c>
      <c r="AL67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M67" s="38" t="str">
        <f>IF(NOTA[C]="",NOTA[[#This Row],[CONCAT1]]&amp;NOTA[[#This Row],[HARGA SATUAN]],NOTA[[#This Row],[CONCAT1]]&amp;NOTA[[#This Row],[HARGA/ CTN_H]]&amp;NOTA[[#This Row],[DISC 1]]&amp;NOTA[[#This Row],[DISC 2]])</f>
        <v>kenkopencil2b6373metallic21600000.17</v>
      </c>
      <c r="AN67" s="184">
        <f>IF(NOTA[[#This Row],[CONCAT1]]="","",MATCH(NOTA[[#This Row],[CONCAT1]],[1]!db[NB NOTA_C],0)+1)</f>
        <v>1240</v>
      </c>
    </row>
    <row r="68" spans="1:40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Row],[CEK_EXP]]&lt;D67,"err","")</f>
        <v/>
      </c>
      <c r="D68" s="29">
        <f>IF(NOTA[[#This Row],[TANGGAL]]="",D67,NOTA[[#This Row],[TANGGAL]])</f>
        <v>44931</v>
      </c>
      <c r="E68" s="29">
        <f ca="1">IF(NOTA[[#This Row],[NAMA BARANG]]="","",INDEX(NOTA[ID],MATCH(,INDIRECT(ADDRESS(ROW(NOTA[ID]),COLUMN(NOTA[ID]))&amp;":"&amp;ADDRESS(ROW(),COLUMN(NOTA[ID]))),-1)))</f>
        <v>13</v>
      </c>
      <c r="F68" s="30"/>
      <c r="G68" s="32"/>
      <c r="H68" s="32"/>
      <c r="I68" s="55"/>
      <c r="J68" s="32"/>
      <c r="K68" s="33"/>
      <c r="L68" s="32"/>
      <c r="M68" s="26" t="s">
        <v>167</v>
      </c>
      <c r="N68" s="34">
        <v>1</v>
      </c>
      <c r="O68" s="32"/>
      <c r="P68" s="26"/>
      <c r="Q68" s="28"/>
      <c r="R68" s="46">
        <v>2448000</v>
      </c>
      <c r="S68" s="39" t="s">
        <v>121</v>
      </c>
      <c r="T68" s="35">
        <v>0.17</v>
      </c>
      <c r="U68" s="35"/>
      <c r="V68" s="36"/>
      <c r="W68" s="37"/>
      <c r="X68" s="36">
        <f>IF(NOTA[[#This Row],[HARGA/ CTN]]="",NOTA[[#This Row],[JUMLAH_H]],NOTA[[#This Row],[HARGA/ CTN]]*IF(NOTA[[#This Row],[C]]="",0,NOTA[[#This Row],[C]]))</f>
        <v>2448000</v>
      </c>
      <c r="Y68" s="36">
        <f>IF(NOTA[[#This Row],[JUMLAH]]="","",NOTA[[#This Row],[JUMLAH]]*NOTA[[#This Row],[DISC 1]])</f>
        <v>416160.00000000006</v>
      </c>
      <c r="Z68" s="36">
        <f>IF(NOTA[[#This Row],[JUMLAH]]="","",(NOTA[[#This Row],[JUMLAH]]-NOTA[[#This Row],[DISC 1-]])*NOTA[[#This Row],[DISC 2]])</f>
        <v>0</v>
      </c>
      <c r="AA68" s="36">
        <f>IF(NOTA[[#This Row],[JUMLAH]]="","",NOTA[[#This Row],[DISC 1-]]+NOTA[[#This Row],[DISC 2-]])</f>
        <v>416160.00000000006</v>
      </c>
      <c r="AB68" s="36">
        <f>IF(NOTA[[#This Row],[JUMLAH]]="","",NOTA[[#This Row],[JUMLAH]]-NOTA[[#This Row],[DISC]])</f>
        <v>2031840</v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68" s="36" t="str">
        <f>IF(OR(NOTA[[#This Row],[QTY]]="",NOTA[[#This Row],[HARGA SATUAN]]="",),"",NOTA[[#This Row],[QTY]]*NOTA[[#This Row],[HARGA SATUAN]])</f>
        <v/>
      </c>
      <c r="AG68" s="33">
        <f ca="1">IF(NOTA[ID_H]="","",INDEX(NOTA[TANGGAL],MATCH(,INDIRECT(ADDRESS(ROW(NOTA[TANGGAL]),COLUMN(NOTA[TANGGAL]))&amp;":"&amp;ADDRESS(ROW(),COLUMN(NOTA[TANGGAL]))),-1)))</f>
        <v>44931</v>
      </c>
      <c r="AH68" s="28" t="str">
        <f ca="1">IF(NOTA[[#This Row],[NAMA BARANG]]="","",INDEX(NOTA[SUPPLIER],MATCH(,INDIRECT(ADDRESS(ROW(NOTA[ID]),COLUMN(NOTA[ID]))&amp;":"&amp;ADDRESS(ROW(),COLUMN(NOTA[ID]))),-1)))</f>
        <v>KENKO SINAR INDONESIA</v>
      </c>
      <c r="AI68" s="28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1</v>
      </c>
      <c r="AL68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M68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N68" s="184">
        <f>IF(NOTA[[#This Row],[CONCAT1]]="","",MATCH(NOTA[[#This Row],[CONCAT1]],[1]!db[NB NOTA_C],0)+1)</f>
        <v>1120</v>
      </c>
    </row>
    <row r="69" spans="1:40" ht="20.100000000000001" customHeight="1" x14ac:dyDescent="0.25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9" t="str">
        <f>IF(NOTA[[#This Row],[CEK_EXP]]&lt;D68,"err","")</f>
        <v/>
      </c>
      <c r="D69" s="29">
        <f>IF(NOTA[[#This Row],[TANGGAL]]="",D68,NOTA[[#This Row],[TANGGAL]])</f>
        <v>44931</v>
      </c>
      <c r="E69" s="29">
        <f ca="1">IF(NOTA[[#This Row],[NAMA BARANG]]="","",INDEX(NOTA[ID],MATCH(,INDIRECT(ADDRESS(ROW(NOTA[ID]),COLUMN(NOTA[ID]))&amp;":"&amp;ADDRESS(ROW(),COLUMN(NOTA[ID]))),-1)))</f>
        <v>13</v>
      </c>
      <c r="F69" s="30"/>
      <c r="G69" s="32"/>
      <c r="H69" s="32"/>
      <c r="I69" s="55"/>
      <c r="J69" s="32"/>
      <c r="K69" s="33"/>
      <c r="L69" s="32"/>
      <c r="M69" s="26" t="s">
        <v>120</v>
      </c>
      <c r="N69" s="34">
        <v>3</v>
      </c>
      <c r="O69" s="32"/>
      <c r="P69" s="26"/>
      <c r="Q69" s="28"/>
      <c r="R69" s="46">
        <v>2880000</v>
      </c>
      <c r="S69" s="39" t="s">
        <v>121</v>
      </c>
      <c r="T69" s="35">
        <v>0.17</v>
      </c>
      <c r="U69" s="35"/>
      <c r="V69" s="36"/>
      <c r="W69" s="37"/>
      <c r="X69" s="36">
        <f>IF(NOTA[[#This Row],[HARGA/ CTN]]="",NOTA[[#This Row],[JUMLAH_H]],NOTA[[#This Row],[HARGA/ CTN]]*IF(NOTA[[#This Row],[C]]="",0,NOTA[[#This Row],[C]]))</f>
        <v>8640000</v>
      </c>
      <c r="Y69" s="36">
        <f>IF(NOTA[[#This Row],[JUMLAH]]="","",NOTA[[#This Row],[JUMLAH]]*NOTA[[#This Row],[DISC 1]])</f>
        <v>1468800</v>
      </c>
      <c r="Z69" s="36">
        <f>IF(NOTA[[#This Row],[JUMLAH]]="","",(NOTA[[#This Row],[JUMLAH]]-NOTA[[#This Row],[DISC 1-]])*NOTA[[#This Row],[DISC 2]])</f>
        <v>0</v>
      </c>
      <c r="AA69" s="36">
        <f>IF(NOTA[[#This Row],[JUMLAH]]="","",NOTA[[#This Row],[DISC 1-]]+NOTA[[#This Row],[DISC 2-]])</f>
        <v>1468800</v>
      </c>
      <c r="AB69" s="36">
        <f>IF(NOTA[[#This Row],[JUMLAH]]="","",NOTA[[#This Row],[JUMLAH]]-NOTA[[#This Row],[DISC]])</f>
        <v>7171200</v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9" s="36" t="str">
        <f>IF(OR(NOTA[[#This Row],[QTY]]="",NOTA[[#This Row],[HARGA SATUAN]]="",),"",NOTA[[#This Row],[QTY]]*NOTA[[#This Row],[HARGA SATUAN]])</f>
        <v/>
      </c>
      <c r="AG69" s="33">
        <f ca="1">IF(NOTA[ID_H]="","",INDEX(NOTA[TANGGAL],MATCH(,INDIRECT(ADDRESS(ROW(NOTA[TANGGAL]),COLUMN(NOTA[TANGGAL]))&amp;":"&amp;ADDRESS(ROW(),COLUMN(NOTA[TANGGAL]))),-1)))</f>
        <v>44931</v>
      </c>
      <c r="AH69" s="28" t="str">
        <f ca="1">IF(NOTA[[#This Row],[NAMA BARANG]]="","",INDEX(NOTA[SUPPLIER],MATCH(,INDIRECT(ADDRESS(ROW(NOTA[ID]),COLUMN(NOTA[ID]))&amp;":"&amp;ADDRESS(ROW(),COLUMN(NOTA[ID]))),-1)))</f>
        <v>KENKO SINAR INDONESIA</v>
      </c>
      <c r="AI69" s="28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1</v>
      </c>
      <c r="AL69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69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N69" s="184">
        <f>IF(NOTA[[#This Row],[CONCAT1]]="","",MATCH(NOTA[[#This Row],[CONCAT1]],[1]!db[NB NOTA_C],0)+1)</f>
        <v>1124</v>
      </c>
    </row>
    <row r="70" spans="1:40" ht="20.100000000000001" customHeight="1" x14ac:dyDescent="0.25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9" t="str">
        <f>IF(NOTA[[#This Row],[CEK_EXP]]&lt;D69,"err","")</f>
        <v/>
      </c>
      <c r="D70" s="29">
        <f>IF(NOTA[[#This Row],[TANGGAL]]="",D69,NOTA[[#This Row],[TANGGAL]])</f>
        <v>44931</v>
      </c>
      <c r="E70" s="29">
        <f ca="1">IF(NOTA[[#This Row],[NAMA BARANG]]="","",INDEX(NOTA[ID],MATCH(,INDIRECT(ADDRESS(ROW(NOTA[ID]),COLUMN(NOTA[ID]))&amp;":"&amp;ADDRESS(ROW(),COLUMN(NOTA[ID]))),-1)))</f>
        <v>13</v>
      </c>
      <c r="F70" s="30"/>
      <c r="G70" s="32"/>
      <c r="H70" s="32"/>
      <c r="I70" s="55"/>
      <c r="J70" s="26" t="s">
        <v>168</v>
      </c>
      <c r="K70" s="33"/>
      <c r="L70" s="32"/>
      <c r="M70" s="26" t="s">
        <v>125</v>
      </c>
      <c r="N70" s="34">
        <v>2</v>
      </c>
      <c r="O70" s="32"/>
      <c r="P70" s="26"/>
      <c r="Q70" s="28"/>
      <c r="R70" s="46">
        <v>5616000</v>
      </c>
      <c r="S70" s="39" t="s">
        <v>117</v>
      </c>
      <c r="T70" s="35">
        <v>0.17</v>
      </c>
      <c r="U70" s="35"/>
      <c r="V70" s="36"/>
      <c r="W70" s="37"/>
      <c r="X70" s="36">
        <f>IF(NOTA[[#This Row],[HARGA/ CTN]]="",NOTA[[#This Row],[JUMLAH_H]],NOTA[[#This Row],[HARGA/ CTN]]*IF(NOTA[[#This Row],[C]]="",0,NOTA[[#This Row],[C]]))</f>
        <v>11232000</v>
      </c>
      <c r="Y70" s="36">
        <f>IF(NOTA[[#This Row],[JUMLAH]]="","",NOTA[[#This Row],[JUMLAH]]*NOTA[[#This Row],[DISC 1]])</f>
        <v>1909440.0000000002</v>
      </c>
      <c r="Z70" s="36">
        <f>IF(NOTA[[#This Row],[JUMLAH]]="","",(NOTA[[#This Row],[JUMLAH]]-NOTA[[#This Row],[DISC 1-]])*NOTA[[#This Row],[DISC 2]])</f>
        <v>0</v>
      </c>
      <c r="AA70" s="36">
        <f>IF(NOTA[[#This Row],[JUMLAH]]="","",NOTA[[#This Row],[DISC 1-]]+NOTA[[#This Row],[DISC 2-]])</f>
        <v>1909440.0000000002</v>
      </c>
      <c r="AB70" s="36">
        <f>IF(NOTA[[#This Row],[JUMLAH]]="","",NOTA[[#This Row],[JUMLAH]]-NOTA[[#This Row],[DISC]])</f>
        <v>9322560</v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0" s="36" t="str">
        <f>IF(OR(NOTA[[#This Row],[QTY]]="",NOTA[[#This Row],[HARGA SATUAN]]="",),"",NOTA[[#This Row],[QTY]]*NOTA[[#This Row],[HARGA SATUAN]])</f>
        <v/>
      </c>
      <c r="AG70" s="33">
        <f ca="1">IF(NOTA[ID_H]="","",INDEX(NOTA[TANGGAL],MATCH(,INDIRECT(ADDRESS(ROW(NOTA[TANGGAL]),COLUMN(NOTA[TANGGAL]))&amp;":"&amp;ADDRESS(ROW(),COLUMN(NOTA[TANGGAL]))),-1)))</f>
        <v>44931</v>
      </c>
      <c r="AH70" s="28" t="str">
        <f ca="1">IF(NOTA[[#This Row],[NAMA BARANG]]="","",INDEX(NOTA[SUPPLIER],MATCH(,INDIRECT(ADDRESS(ROW(NOTA[ID]),COLUMN(NOTA[ID]))&amp;":"&amp;ADDRESS(ROW(),COLUMN(NOTA[ID]))),-1)))</f>
        <v>KENKO SINAR INDONESIA</v>
      </c>
      <c r="AI70" s="28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1</v>
      </c>
      <c r="AL70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70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</v>
      </c>
      <c r="AN70" s="184">
        <f>IF(NOTA[[#This Row],[CONCAT1]]="","",MATCH(NOTA[[#This Row],[CONCAT1]],[1]!db[NB NOTA_C],0)+1)</f>
        <v>1154</v>
      </c>
    </row>
    <row r="71" spans="1:40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Row],[CEK_EXP]]&lt;D70,"err","")</f>
        <v/>
      </c>
      <c r="D71" s="29">
        <f>IF(NOTA[[#This Row],[TANGGAL]]="",D70,NOTA[[#This Row],[TANGGAL]])</f>
        <v>44931</v>
      </c>
      <c r="E71" s="29">
        <f ca="1">IF(NOTA[[#This Row],[NAMA BARANG]]="","",INDEX(NOTA[ID],MATCH(,INDIRECT(ADDRESS(ROW(NOTA[ID]),COLUMN(NOTA[ID]))&amp;":"&amp;ADDRESS(ROW(),COLUMN(NOTA[ID]))),-1)))</f>
        <v>13</v>
      </c>
      <c r="F71" s="30"/>
      <c r="G71" s="26"/>
      <c r="H71" s="26"/>
      <c r="I71" s="31"/>
      <c r="J71" s="32"/>
      <c r="K71" s="33"/>
      <c r="L71" s="32"/>
      <c r="M71" s="26" t="s">
        <v>165</v>
      </c>
      <c r="N71" s="34">
        <v>3</v>
      </c>
      <c r="O71" s="32"/>
      <c r="P71" s="26"/>
      <c r="Q71" s="28"/>
      <c r="R71" s="46">
        <v>3456000</v>
      </c>
      <c r="S71" s="39" t="s">
        <v>117</v>
      </c>
      <c r="T71" s="35">
        <v>0.17</v>
      </c>
      <c r="U71" s="35"/>
      <c r="V71" s="36"/>
      <c r="W71" s="37"/>
      <c r="X71" s="36">
        <f>IF(NOTA[[#This Row],[HARGA/ CTN]]="",NOTA[[#This Row],[JUMLAH_H]],NOTA[[#This Row],[HARGA/ CTN]]*IF(NOTA[[#This Row],[C]]="",0,NOTA[[#This Row],[C]]))</f>
        <v>10368000</v>
      </c>
      <c r="Y71" s="36">
        <f>IF(NOTA[[#This Row],[JUMLAH]]="","",NOTA[[#This Row],[JUMLAH]]*NOTA[[#This Row],[DISC 1]])</f>
        <v>1762560.0000000002</v>
      </c>
      <c r="Z71" s="36">
        <f>IF(NOTA[[#This Row],[JUMLAH]]="","",(NOTA[[#This Row],[JUMLAH]]-NOTA[[#This Row],[DISC 1-]])*NOTA[[#This Row],[DISC 2]])</f>
        <v>0</v>
      </c>
      <c r="AA71" s="36">
        <f>IF(NOTA[[#This Row],[JUMLAH]]="","",NOTA[[#This Row],[DISC 1-]]+NOTA[[#This Row],[DISC 2-]])</f>
        <v>1762560.0000000002</v>
      </c>
      <c r="AB71" s="36">
        <f>IF(NOTA[[#This Row],[JUMLAH]]="","",NOTA[[#This Row],[JUMLAH]]-NOTA[[#This Row],[DISC]])</f>
        <v>8605440</v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71" s="36" t="str">
        <f>IF(OR(NOTA[[#This Row],[QTY]]="",NOTA[[#This Row],[HARGA SATUAN]]="",),"",NOTA[[#This Row],[QTY]]*NOTA[[#This Row],[HARGA SATUAN]])</f>
        <v/>
      </c>
      <c r="AG71" s="33">
        <f ca="1">IF(NOTA[ID_H]="","",INDEX(NOTA[TANGGAL],MATCH(,INDIRECT(ADDRESS(ROW(NOTA[TANGGAL]),COLUMN(NOTA[TANGGAL]))&amp;":"&amp;ADDRESS(ROW(),COLUMN(NOTA[TANGGAL]))),-1)))</f>
        <v>44931</v>
      </c>
      <c r="AH71" s="28" t="str">
        <f ca="1">IF(NOTA[[#This Row],[NAMA BARANG]]="","",INDEX(NOTA[SUPPLIER],MATCH(,INDIRECT(ADDRESS(ROW(NOTA[ID]),COLUMN(NOTA[ID]))&amp;":"&amp;ADDRESS(ROW(),COLUMN(NOTA[ID]))),-1)))</f>
        <v>KENKO SINAR INDONESIA</v>
      </c>
      <c r="AI71" s="28" t="str">
        <f ca="1">IF(NOTA[[#This Row],[ID_H]]="","",IF(NOTA[[#This Row],[FAKTUR]]="",INDIRECT(ADDRESS(ROW()-1,COLUMN())),NOTA[[#This Row],[FAKTUR]]))</f>
        <v>ARTO MORO</v>
      </c>
      <c r="AJ71" s="38" t="str">
        <f ca="1">IF(NOTA[[#This Row],[ID]]="","",COUNTIF(NOTA[ID_H],NOTA[[#This Row],[ID_H]]))</f>
        <v/>
      </c>
      <c r="AK71" s="38">
        <f ca="1">IF(NOTA[[#This Row],[TGL.NOTA]]="",IF(NOTA[[#This Row],[SUPPLIER_H]]="","",AK70),MONTH(NOTA[[#This Row],[TGL.NOTA]]))</f>
        <v>1</v>
      </c>
      <c r="AL71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M71" s="38" t="str">
        <f>IF(NOTA[C]="",NOTA[[#This Row],[CONCAT1]]&amp;NOTA[[#This Row],[HARGA SATUAN]],NOTA[[#This Row],[CONCAT1]]&amp;NOTA[[#This Row],[HARGA/ CTN_H]]&amp;NOTA[[#This Row],[DISC 1]]&amp;NOTA[[#This Row],[DISC 2]])</f>
        <v>kenkogelpentgelerasableke303erblack34560000.17</v>
      </c>
      <c r="AN71" s="184">
        <f>IF(NOTA[[#This Row],[CONCAT1]]="","",MATCH(NOTA[[#This Row],[CONCAT1]],[1]!db[NB NOTA_C],0)+1)</f>
        <v>1184</v>
      </c>
    </row>
    <row r="72" spans="1:40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Row],[CEK_EXP]]&lt;D71,"err","")</f>
        <v/>
      </c>
      <c r="D72" s="29">
        <f>IF(NOTA[[#This Row],[TANGGAL]]="",D71,NOTA[[#This Row],[TANGGAL]])</f>
        <v>44931</v>
      </c>
      <c r="E72" s="29">
        <f ca="1">IF(NOTA[[#This Row],[NAMA BARANG]]="","",INDEX(NOTA[ID],MATCH(,INDIRECT(ADDRESS(ROW(NOTA[ID]),COLUMN(NOTA[ID]))&amp;":"&amp;ADDRESS(ROW(),COLUMN(NOTA[ID]))),-1)))</f>
        <v>13</v>
      </c>
      <c r="F72" s="30"/>
      <c r="G72" s="26"/>
      <c r="H72" s="26"/>
      <c r="I72" s="31"/>
      <c r="J72" s="32"/>
      <c r="K72" s="33"/>
      <c r="L72" s="32"/>
      <c r="M72" s="26" t="s">
        <v>166</v>
      </c>
      <c r="N72" s="34">
        <v>5</v>
      </c>
      <c r="O72" s="32"/>
      <c r="P72" s="26"/>
      <c r="Q72" s="28"/>
      <c r="R72" s="46">
        <v>3110400</v>
      </c>
      <c r="S72" s="39" t="s">
        <v>117</v>
      </c>
      <c r="T72" s="35">
        <v>0.17</v>
      </c>
      <c r="U72" s="35"/>
      <c r="V72" s="36"/>
      <c r="W72" s="37"/>
      <c r="X72" s="36">
        <f>IF(NOTA[[#This Row],[HARGA/ CTN]]="",NOTA[[#This Row],[JUMLAH_H]],NOTA[[#This Row],[HARGA/ CTN]]*IF(NOTA[[#This Row],[C]]="",0,NOTA[[#This Row],[C]]))</f>
        <v>15552000</v>
      </c>
      <c r="Y72" s="36">
        <f>IF(NOTA[[#This Row],[JUMLAH]]="","",NOTA[[#This Row],[JUMLAH]]*NOTA[[#This Row],[DISC 1]])</f>
        <v>2643840</v>
      </c>
      <c r="Z72" s="36">
        <f>IF(NOTA[[#This Row],[JUMLAH]]="","",(NOTA[[#This Row],[JUMLAH]]-NOTA[[#This Row],[DISC 1-]])*NOTA[[#This Row],[DISC 2]])</f>
        <v>0</v>
      </c>
      <c r="AA72" s="36">
        <f>IF(NOTA[[#This Row],[JUMLAH]]="","",NOTA[[#This Row],[DISC 1-]]+NOTA[[#This Row],[DISC 2-]])</f>
        <v>2643840</v>
      </c>
      <c r="AB72" s="36">
        <f>IF(NOTA[[#This Row],[JUMLAH]]="","",NOTA[[#This Row],[JUMLAH]]-NOTA[[#This Row],[DISC]])</f>
        <v>12908160</v>
      </c>
      <c r="AC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11032320</v>
      </c>
      <c r="AD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53863680</v>
      </c>
      <c r="AE7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2" s="36" t="str">
        <f>IF(OR(NOTA[[#This Row],[QTY]]="",NOTA[[#This Row],[HARGA SATUAN]]="",),"",NOTA[[#This Row],[QTY]]*NOTA[[#This Row],[HARGA SATUAN]])</f>
        <v/>
      </c>
      <c r="AG72" s="33">
        <f ca="1">IF(NOTA[ID_H]="","",INDEX(NOTA[TANGGAL],MATCH(,INDIRECT(ADDRESS(ROW(NOTA[TANGGAL]),COLUMN(NOTA[TANGGAL]))&amp;":"&amp;ADDRESS(ROW(),COLUMN(NOTA[TANGGAL]))),-1)))</f>
        <v>44931</v>
      </c>
      <c r="AH72" s="28" t="str">
        <f ca="1">IF(NOTA[[#This Row],[NAMA BARANG]]="","",INDEX(NOTA[SUPPLIER],MATCH(,INDIRECT(ADDRESS(ROW(NOTA[ID]),COLUMN(NOTA[ID]))&amp;":"&amp;ADDRESS(ROW(),COLUMN(NOTA[ID]))),-1)))</f>
        <v>KENKO SINAR INDONESIA</v>
      </c>
      <c r="AI72" s="28" t="str">
        <f ca="1">IF(NOTA[[#This Row],[ID_H]]="","",IF(NOTA[[#This Row],[FAKTUR]]="",INDIRECT(ADDRESS(ROW()-1,COLUMN())),NOTA[[#This Row],[FAKTUR]]))</f>
        <v>ARTO MORO</v>
      </c>
      <c r="AJ72" s="38" t="str">
        <f ca="1">IF(NOTA[[#This Row],[ID]]="","",COUNTIF(NOTA[ID_H],NOTA[[#This Row],[ID_H]]))</f>
        <v/>
      </c>
      <c r="AK72" s="38">
        <f ca="1">IF(NOTA[[#This Row],[TGL.NOTA]]="",IF(NOTA[[#This Row],[SUPPLIER_H]]="","",AK71),MONTH(NOTA[[#This Row],[TGL.NOTA]]))</f>
        <v>1</v>
      </c>
      <c r="AL72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72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N72" s="184">
        <f>IF(NOTA[[#This Row],[CONCAT1]]="","",MATCH(NOTA[[#This Row],[CONCAT1]],[1]!db[NB NOTA_C],0)+1)</f>
        <v>1172</v>
      </c>
    </row>
    <row r="73" spans="1:40" ht="20.100000000000001" customHeight="1" x14ac:dyDescent="0.25">
      <c r="A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8" t="str">
        <f>IF(NOTA[[#This Row],[CEK_EXP]]&lt;D72,"err","")</f>
        <v/>
      </c>
      <c r="D73" s="58">
        <f>IF(NOTA[[#This Row],[TANGGAL]]="",D72,NOTA[[#This Row],[TANGGAL]])</f>
        <v>44931</v>
      </c>
      <c r="E73" s="58" t="str">
        <f ca="1">IF(NOTA[[#This Row],[NAMA BARANG]]="","",INDEX(NOTA[ID],MATCH(,INDIRECT(ADDRESS(ROW(NOTA[ID]),COLUMN(NOTA[ID]))&amp;":"&amp;ADDRESS(ROW(),COLUMN(NOTA[ID]))),-1)))</f>
        <v/>
      </c>
      <c r="F73" s="23"/>
      <c r="G73" s="26"/>
      <c r="H73" s="26"/>
      <c r="I73" s="31"/>
      <c r="J73" s="26"/>
      <c r="K73" s="51"/>
      <c r="L73" s="26"/>
      <c r="M73" s="26"/>
      <c r="N73" s="39"/>
      <c r="O73" s="26"/>
      <c r="P73" s="26"/>
      <c r="Q73" s="49"/>
      <c r="R73" s="52"/>
      <c r="S73" s="39"/>
      <c r="T73" s="53"/>
      <c r="U73" s="53"/>
      <c r="V73" s="54"/>
      <c r="W73" s="37"/>
      <c r="X73" s="59" t="str">
        <f>IF(NOTA[[#This Row],[HARGA/ CTN]]="",NOTA[[#This Row],[JUMLAH_H]],NOTA[[#This Row],[HARGA/ CTN]]*IF(NOTA[[#This Row],[C]]="",0,NOTA[[#This Row],[C]]))</f>
        <v/>
      </c>
      <c r="Y73" s="59" t="str">
        <f>IF(NOTA[[#This Row],[JUMLAH]]="","",NOTA[[#This Row],[JUMLAH]]*NOTA[[#This Row],[DISC 1]])</f>
        <v/>
      </c>
      <c r="Z73" s="59" t="str">
        <f>IF(NOTA[[#This Row],[JUMLAH]]="","",(NOTA[[#This Row],[JUMLAH]]-NOTA[[#This Row],[DISC 1-]])*NOTA[[#This Row],[DISC 2]])</f>
        <v/>
      </c>
      <c r="AA73" s="59" t="str">
        <f>IF(NOTA[[#This Row],[JUMLAH]]="","",NOTA[[#This Row],[DISC 1-]]+NOTA[[#This Row],[DISC 2-]])</f>
        <v/>
      </c>
      <c r="AB73" s="59" t="str">
        <f>IF(NOTA[[#This Row],[JUMLAH]]="","",NOTA[[#This Row],[JUMLAH]]-NOTA[[#This Row],[DISC]])</f>
        <v/>
      </c>
      <c r="AC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" s="59" t="str">
        <f>IF(OR(NOTA[[#This Row],[QTY]]="",NOTA[[#This Row],[HARGA SATUAN]]="",),"",NOTA[[#This Row],[QTY]]*NOTA[[#This Row],[HARGA SATUAN]])</f>
        <v/>
      </c>
      <c r="AG73" s="60" t="str">
        <f ca="1">IF(NOTA[ID_H]="","",INDEX(NOTA[TANGGAL],MATCH(,INDIRECT(ADDRESS(ROW(NOTA[TANGGAL]),COLUMN(NOTA[TANGGAL]))&amp;":"&amp;ADDRESS(ROW(),COLUMN(NOTA[TANGGAL]))),-1)))</f>
        <v/>
      </c>
      <c r="AH73" s="57" t="str">
        <f ca="1">IF(NOTA[[#This Row],[NAMA BARANG]]="","",INDEX(NOTA[SUPPLIER],MATCH(,INDIRECT(ADDRESS(ROW(NOTA[ID]),COLUMN(NOTA[ID]))&amp;":"&amp;ADDRESS(ROW(),COLUMN(NOTA[ID]))),-1)))</f>
        <v/>
      </c>
      <c r="AI73" s="57" t="str">
        <f ca="1">IF(NOTA[[#This Row],[ID_H]]="","",IF(NOTA[[#This Row],[FAKTUR]]="",INDIRECT(ADDRESS(ROW()-1,COLUMN())),NOTA[[#This Row],[FAKTUR]]))</f>
        <v/>
      </c>
      <c r="AJ73" s="38" t="str">
        <f ca="1">IF(NOTA[[#This Row],[ID]]="","",COUNTIF(NOTA[ID_H],NOTA[[#This Row],[ID_H]]))</f>
        <v/>
      </c>
      <c r="AK73" s="38" t="str">
        <f ca="1">IF(NOTA[[#This Row],[TGL.NOTA]]="",IF(NOTA[[#This Row],[SUPPLIER_H]]="","",AK72),MONTH(NOTA[[#This Row],[TGL.NOTA]]))</f>
        <v/>
      </c>
      <c r="AL73" s="38" t="str">
        <f>LOWER(SUBSTITUTE(SUBSTITUTE(SUBSTITUTE(SUBSTITUTE(SUBSTITUTE(SUBSTITUTE(SUBSTITUTE(SUBSTITUTE(SUBSTITUTE(NOTA[NAMA BARANG]," ",),".",""),"-",""),"(",""),")",""),",",""),"/",""),"""",""),"+",""))</f>
        <v/>
      </c>
      <c r="AM73" s="38" t="str">
        <f>IF(NOTA[C]="",NOTA[[#This Row],[CONCAT1]]&amp;NOTA[[#This Row],[HARGA SATUAN]],NOTA[[#This Row],[CONCAT1]]&amp;NOTA[[#This Row],[HARGA/ CTN_H]]&amp;NOTA[[#This Row],[DISC 1]]&amp;NOTA[[#This Row],[DISC 2]])</f>
        <v/>
      </c>
      <c r="AN73" s="184" t="str">
        <f>IF(NOTA[[#This Row],[CONCAT1]]="","",MATCH(NOTA[[#This Row],[CONCAT1]],[1]!db[NB NOTA_C],0)+1)</f>
        <v/>
      </c>
    </row>
    <row r="74" spans="1:40" ht="20.100000000000001" customHeight="1" x14ac:dyDescent="0.25">
      <c r="A74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7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DUT_0501_23H-2</v>
      </c>
      <c r="C74" s="50" t="str">
        <f>IF(NOTA[[#This Row],[CEK_EXP]]&lt;D73,"err","")</f>
        <v/>
      </c>
      <c r="D74" s="50">
        <f>IF(NOTA[[#This Row],[TANGGAL]]="",D73,NOTA[[#This Row],[TANGGAL]])</f>
        <v>44931</v>
      </c>
      <c r="E74" s="50">
        <f ca="1">IF(NOTA[[#This Row],[NAMA BARANG]]="","",INDEX(NOTA[ID],MATCH(,INDIRECT(ADDRESS(ROW(NOTA[ID]),COLUMN(NOTA[ID]))&amp;":"&amp;ADDRESS(ROW(),COLUMN(NOTA[ID]))),-1)))</f>
        <v>14</v>
      </c>
      <c r="F74" s="23"/>
      <c r="G74" s="26" t="s">
        <v>237</v>
      </c>
      <c r="H74" s="26" t="s">
        <v>87</v>
      </c>
      <c r="I74" s="31" t="s">
        <v>238</v>
      </c>
      <c r="J74" s="26"/>
      <c r="K74" s="51">
        <v>44928</v>
      </c>
      <c r="L74" s="26"/>
      <c r="M74" s="26" t="s">
        <v>239</v>
      </c>
      <c r="N74" s="39">
        <v>1</v>
      </c>
      <c r="O74" s="26">
        <v>200</v>
      </c>
      <c r="P74" s="26" t="s">
        <v>90</v>
      </c>
      <c r="Q74" s="49">
        <v>10000</v>
      </c>
      <c r="R74" s="52"/>
      <c r="S74" s="39" t="s">
        <v>240</v>
      </c>
      <c r="T74" s="53"/>
      <c r="U74" s="53"/>
      <c r="V74" s="54"/>
      <c r="W74" s="37"/>
      <c r="X74" s="54">
        <f>IF(NOTA[[#This Row],[HARGA/ CTN]]="",NOTA[[#This Row],[JUMLAH_H]],NOTA[[#This Row],[HARGA/ CTN]]*IF(NOTA[[#This Row],[C]]="",0,NOTA[[#This Row],[C]]))</f>
        <v>2000000</v>
      </c>
      <c r="Y74" s="54">
        <f>IF(NOTA[[#This Row],[JUMLAH]]="","",NOTA[[#This Row],[JUMLAH]]*NOTA[[#This Row],[DISC 1]])</f>
        <v>0</v>
      </c>
      <c r="Z74" s="54">
        <f>IF(NOTA[[#This Row],[JUMLAH]]="","",(NOTA[[#This Row],[JUMLAH]]-NOTA[[#This Row],[DISC 1-]])*NOTA[[#This Row],[DISC 2]])</f>
        <v>0</v>
      </c>
      <c r="AA74" s="54">
        <f>IF(NOTA[[#This Row],[JUMLAH]]="","",NOTA[[#This Row],[DISC 1-]]+NOTA[[#This Row],[DISC 2-]])</f>
        <v>0</v>
      </c>
      <c r="AB74" s="54">
        <f>IF(NOTA[[#This Row],[JUMLAH]]="","",NOTA[[#This Row],[JUMLAH]]-NOTA[[#This Row],[DISC]])</f>
        <v>2000000</v>
      </c>
      <c r="AC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74" s="54">
        <f>IF(OR(NOTA[[#This Row],[QTY]]="",NOTA[[#This Row],[HARGA SATUAN]]="",),"",NOTA[[#This Row],[QTY]]*NOTA[[#This Row],[HARGA SATUAN]])</f>
        <v>2000000</v>
      </c>
      <c r="AG74" s="51">
        <f ca="1">IF(NOTA[ID_H]="","",INDEX(NOTA[TANGGAL],MATCH(,INDIRECT(ADDRESS(ROW(NOTA[TANGGAL]),COLUMN(NOTA[TANGGAL]))&amp;":"&amp;ADDRESS(ROW(),COLUMN(NOTA[TANGGAL]))),-1)))</f>
        <v>44931</v>
      </c>
      <c r="AH74" s="65" t="str">
        <f ca="1">IF(NOTA[[#This Row],[NAMA BARANG]]="","",INDEX(NOTA[SUPPLIER],MATCH(,INDIRECT(ADDRESS(ROW(NOTA[ID]),COLUMN(NOTA[ID]))&amp;":"&amp;ADDRESS(ROW(),COLUMN(NOTA[ID]))),-1)))</f>
        <v>DUTA BUANA</v>
      </c>
      <c r="AI74" s="65" t="str">
        <f ca="1">IF(NOTA[[#This Row],[ID_H]]="","",IF(NOTA[[#This Row],[FAKTUR]]="",INDIRECT(ADDRESS(ROW()-1,COLUMN())),NOTA[[#This Row],[FAKTUR]]))</f>
        <v>UNTANA</v>
      </c>
      <c r="AJ74" s="38">
        <f ca="1">IF(NOTA[[#This Row],[ID]]="","",COUNTIF(NOTA[ID_H],NOTA[[#This Row],[ID_H]]))</f>
        <v>2</v>
      </c>
      <c r="AK74" s="38">
        <f>IF(NOTA[[#This Row],[TGL.NOTA]]="",IF(NOTA[[#This Row],[SUPPLIER_H]]="","",AK109),MONTH(NOTA[[#This Row],[TGL.NOTA]]))</f>
        <v>1</v>
      </c>
      <c r="AL74" s="38" t="str">
        <f>LOWER(SUBSTITUTE(SUBSTITUTE(SUBSTITUTE(SUBSTITUTE(SUBSTITUTE(SUBSTITUTE(SUBSTITUTE(SUBSTITUTE(SUBSTITUTE(NOTA[NAMA BARANG]," ",),".",""),"-",""),"(",""),")",""),",",""),"/",""),"""",""),"+",""))</f>
        <v>garisantf1990busurbolong180degree</v>
      </c>
      <c r="AM74" s="38" t="str">
        <f>IF(NOTA[C]="",NOTA[[#This Row],[CONCAT1]]&amp;NOTA[[#This Row],[HARGA SATUAN]],NOTA[[#This Row],[CONCAT1]]&amp;NOTA[[#This Row],[HARGA/ CTN_H]]&amp;NOTA[[#This Row],[DISC 1]]&amp;NOTA[[#This Row],[DISC 2]])</f>
        <v>garisantf1990busurbolong180degree2000000</v>
      </c>
      <c r="AN74" s="184">
        <f>IF(NOTA[[#This Row],[CONCAT1]]="","",MATCH(NOTA[[#This Row],[CONCAT1]],[1]!db[NB NOTA_C],0)+1)</f>
        <v>704</v>
      </c>
    </row>
    <row r="75" spans="1:40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Row],[CEK_EXP]]&lt;D74,"err","")</f>
        <v/>
      </c>
      <c r="D75" s="50">
        <f>IF(NOTA[[#This Row],[TANGGAL]]="",D74,NOTA[[#This Row],[TANGGAL]])</f>
        <v>44931</v>
      </c>
      <c r="E75" s="50">
        <f ca="1">IF(NOTA[[#This Row],[NAMA BARANG]]="","",INDEX(NOTA[ID],MATCH(,INDIRECT(ADDRESS(ROW(NOTA[ID]),COLUMN(NOTA[ID]))&amp;":"&amp;ADDRESS(ROW(),COLUMN(NOTA[ID]))),-1)))</f>
        <v>14</v>
      </c>
      <c r="F75" s="23"/>
      <c r="G75" s="26"/>
      <c r="H75" s="26"/>
      <c r="I75" s="31"/>
      <c r="J75" s="26"/>
      <c r="K75" s="51"/>
      <c r="L75" s="26"/>
      <c r="M75" s="26" t="s">
        <v>254</v>
      </c>
      <c r="N75" s="39">
        <v>1</v>
      </c>
      <c r="O75" s="26">
        <v>48</v>
      </c>
      <c r="P75" s="26" t="s">
        <v>90</v>
      </c>
      <c r="Q75" s="49">
        <v>25000</v>
      </c>
      <c r="R75" s="52"/>
      <c r="S75" s="39" t="s">
        <v>241</v>
      </c>
      <c r="T75" s="53"/>
      <c r="U75" s="53"/>
      <c r="V75" s="54"/>
      <c r="W75" s="37"/>
      <c r="X75" s="54">
        <f>IF(NOTA[[#This Row],[HARGA/ CTN]]="",NOTA[[#This Row],[JUMLAH_H]],NOTA[[#This Row],[HARGA/ CTN]]*IF(NOTA[[#This Row],[C]]="",0,NOTA[[#This Row],[C]]))</f>
        <v>1200000</v>
      </c>
      <c r="Y75" s="54">
        <f>IF(NOTA[[#This Row],[JUMLAH]]="","",NOTA[[#This Row],[JUMLAH]]*NOTA[[#This Row],[DISC 1]])</f>
        <v>0</v>
      </c>
      <c r="Z75" s="54">
        <f>IF(NOTA[[#This Row],[JUMLAH]]="","",(NOTA[[#This Row],[JUMLAH]]-NOTA[[#This Row],[DISC 1-]])*NOTA[[#This Row],[DISC 2]])</f>
        <v>0</v>
      </c>
      <c r="AA75" s="54">
        <f>IF(NOTA[[#This Row],[JUMLAH]]="","",NOTA[[#This Row],[DISC 1-]]+NOTA[[#This Row],[DISC 2-]])</f>
        <v>0</v>
      </c>
      <c r="AB75" s="54">
        <f>IF(NOTA[[#This Row],[JUMLAH]]="","",NOTA[[#This Row],[JUMLAH]]-NOTA[[#This Row],[DISC]])</f>
        <v>1200000</v>
      </c>
      <c r="AC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E75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5" s="54">
        <f>IF(OR(NOTA[[#This Row],[QTY]]="",NOTA[[#This Row],[HARGA SATUAN]]="",),"",NOTA[[#This Row],[QTY]]*NOTA[[#This Row],[HARGA SATUAN]])</f>
        <v>1200000</v>
      </c>
      <c r="AG75" s="51">
        <f ca="1">IF(NOTA[ID_H]="","",INDEX(NOTA[TANGGAL],MATCH(,INDIRECT(ADDRESS(ROW(NOTA[TANGGAL]),COLUMN(NOTA[TANGGAL]))&amp;":"&amp;ADDRESS(ROW(),COLUMN(NOTA[TANGGAL]))),-1)))</f>
        <v>44931</v>
      </c>
      <c r="AH75" s="65" t="str">
        <f ca="1">IF(NOTA[[#This Row],[NAMA BARANG]]="","",INDEX(NOTA[SUPPLIER],MATCH(,INDIRECT(ADDRESS(ROW(NOTA[ID]),COLUMN(NOTA[ID]))&amp;":"&amp;ADDRESS(ROW(),COLUMN(NOTA[ID]))),-1)))</f>
        <v>DUTA BUANA</v>
      </c>
      <c r="AI75" s="65" t="str">
        <f ca="1">IF(NOTA[[#This Row],[ID_H]]="","",IF(NOTA[[#This Row],[FAKTUR]]="",INDIRECT(ADDRESS(ROW()-1,COLUMN())),NOTA[[#This Row],[FAKTUR]]))</f>
        <v>UNTANA</v>
      </c>
      <c r="AJ75" s="38" t="str">
        <f ca="1">IF(NOTA[[#This Row],[ID]]="","",COUNTIF(NOTA[ID_H],NOTA[[#This Row],[ID_H]]))</f>
        <v/>
      </c>
      <c r="AK75" s="38">
        <f ca="1">IF(NOTA[[#This Row],[TGL.NOTA]]="",IF(NOTA[[#This Row],[SUPPLIER_H]]="","",AK74),MONTH(NOTA[[#This Row],[TGL.NOTA]]))</f>
        <v>1</v>
      </c>
      <c r="AL75" s="38" t="str">
        <f>LOWER(SUBSTITUTE(SUBSTITUTE(SUBSTITUTE(SUBSTITUTE(SUBSTITUTE(SUBSTITUTE(SUBSTITUTE(SUBSTITUTE(SUBSTITUTE(NOTA[NAMA BARANG]," ",),".",""),"-",""),"(",""),")",""),",",""),"/",""),"""",""),"+",""))</f>
        <v>garisantf1991busur360degreek</v>
      </c>
      <c r="AM75" s="38" t="str">
        <f>IF(NOTA[C]="",NOTA[[#This Row],[CONCAT1]]&amp;NOTA[[#This Row],[HARGA SATUAN]],NOTA[[#This Row],[CONCAT1]]&amp;NOTA[[#This Row],[HARGA/ CTN_H]]&amp;NOTA[[#This Row],[DISC 1]]&amp;NOTA[[#This Row],[DISC 2]])</f>
        <v>garisantf1991busur360degreek1200000</v>
      </c>
      <c r="AN75" s="184">
        <f>IF(NOTA[[#This Row],[CONCAT1]]="","",MATCH(NOTA[[#This Row],[CONCAT1]],[1]!db[NB NOTA_C],0)+1)</f>
        <v>705</v>
      </c>
    </row>
    <row r="76" spans="1:40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Row],[CEK_EXP]]&lt;D75,"err","")</f>
        <v/>
      </c>
      <c r="D76" s="50">
        <f>IF(NOTA[[#This Row],[TANGGAL]]="",D75,NOTA[[#This Row],[TANGGAL]])</f>
        <v>44931</v>
      </c>
      <c r="E76" s="50" t="str">
        <f ca="1">IF(NOTA[[#This Row],[NAMA BARANG]]="","",INDEX(NOTA[ID],MATCH(,INDIRECT(ADDRESS(ROW(NOTA[ID]),COLUMN(NOTA[ID]))&amp;":"&amp;ADDRESS(ROW(),COLUMN(NOTA[ID]))),-1)))</f>
        <v/>
      </c>
      <c r="F76" s="23"/>
      <c r="G76" s="26"/>
      <c r="H76" s="26"/>
      <c r="I76" s="31"/>
      <c r="J76" s="26"/>
      <c r="K76" s="51"/>
      <c r="L76" s="26"/>
      <c r="M76" s="26"/>
      <c r="N76" s="39"/>
      <c r="O76" s="26"/>
      <c r="P76" s="26"/>
      <c r="Q76" s="49"/>
      <c r="R76" s="52"/>
      <c r="S76" s="39"/>
      <c r="T76" s="53"/>
      <c r="U76" s="53"/>
      <c r="V76" s="54"/>
      <c r="W76" s="37"/>
      <c r="X76" s="54" t="str">
        <f>IF(NOTA[[#This Row],[HARGA/ CTN]]="",NOTA[[#This Row],[JUMLAH_H]],NOTA[[#This Row],[HARGA/ CTN]]*IF(NOTA[[#This Row],[C]]="",0,NOTA[[#This Row],[C]]))</f>
        <v/>
      </c>
      <c r="Y76" s="54" t="str">
        <f>IF(NOTA[[#This Row],[JUMLAH]]="","",NOTA[[#This Row],[JUMLAH]]*NOTA[[#This Row],[DISC 1]])</f>
        <v/>
      </c>
      <c r="Z76" s="54" t="str">
        <f>IF(NOTA[[#This Row],[JUMLAH]]="","",(NOTA[[#This Row],[JUMLAH]]-NOTA[[#This Row],[DISC 1-]])*NOTA[[#This Row],[DISC 2]])</f>
        <v/>
      </c>
      <c r="AA76" s="54" t="str">
        <f>IF(NOTA[[#This Row],[JUMLAH]]="","",NOTA[[#This Row],[DISC 1-]]+NOTA[[#This Row],[DISC 2-]])</f>
        <v/>
      </c>
      <c r="AB76" s="54" t="str">
        <f>IF(NOTA[[#This Row],[JUMLAH]]="","",NOTA[[#This Row],[JUMLAH]]-NOTA[[#This Row],[DISC]])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" s="54" t="str">
        <f>IF(OR(NOTA[[#This Row],[QTY]]="",NOTA[[#This Row],[HARGA SATUAN]]="",),"",NOTA[[#This Row],[QTY]]*NOTA[[#This Row],[HARGA SATUAN]])</f>
        <v/>
      </c>
      <c r="AG76" s="51" t="str">
        <f ca="1">IF(NOTA[ID_H]="","",INDEX(NOTA[TANGGAL],MATCH(,INDIRECT(ADDRESS(ROW(NOTA[TANGGAL]),COLUMN(NOTA[TANGGAL]))&amp;":"&amp;ADDRESS(ROW(),COLUMN(NOTA[TANGGAL]))),-1)))</f>
        <v/>
      </c>
      <c r="AH76" s="65" t="str">
        <f ca="1">IF(NOTA[[#This Row],[NAMA BARANG]]="","",INDEX(NOTA[SUPPLIER],MATCH(,INDIRECT(ADDRESS(ROW(NOTA[ID]),COLUMN(NOTA[ID]))&amp;":"&amp;ADDRESS(ROW(),COLUMN(NOTA[ID]))),-1)))</f>
        <v/>
      </c>
      <c r="AI76" s="65" t="str">
        <f ca="1">IF(NOTA[[#This Row],[ID_H]]="","",IF(NOTA[[#This Row],[FAKTUR]]="",INDIRECT(ADDRESS(ROW()-1,COLUMN())),NOTA[[#This Row],[FAKTUR]]))</f>
        <v/>
      </c>
      <c r="AJ76" s="38" t="str">
        <f ca="1">IF(NOTA[[#This Row],[ID]]="","",COUNTIF(NOTA[ID_H],NOTA[[#This Row],[ID_H]]))</f>
        <v/>
      </c>
      <c r="AK76" s="38" t="str">
        <f ca="1">IF(NOTA[[#This Row],[TGL.NOTA]]="",IF(NOTA[[#This Row],[SUPPLIER_H]]="","",AK75),MONTH(NOTA[[#This Row],[TGL.NOTA]]))</f>
        <v/>
      </c>
      <c r="AL76" s="38" t="str">
        <f>LOWER(SUBSTITUTE(SUBSTITUTE(SUBSTITUTE(SUBSTITUTE(SUBSTITUTE(SUBSTITUTE(SUBSTITUTE(SUBSTITUTE(SUBSTITUTE(NOTA[NAMA BARANG]," ",),".",""),"-",""),"(",""),")",""),",",""),"/",""),"""",""),"+",""))</f>
        <v/>
      </c>
      <c r="AM76" s="38" t="str">
        <f>IF(NOTA[C]="",NOTA[[#This Row],[CONCAT1]]&amp;NOTA[[#This Row],[HARGA SATUAN]],NOTA[[#This Row],[CONCAT1]]&amp;NOTA[[#This Row],[HARGA/ CTN_H]]&amp;NOTA[[#This Row],[DISC 1]]&amp;NOTA[[#This Row],[DISC 2]])</f>
        <v/>
      </c>
      <c r="AN76" s="184" t="str">
        <f>IF(NOTA[[#This Row],[CONCAT1]]="","",MATCH(NOTA[[#This Row],[CONCAT1]],[1]!db[NB NOTA_C],0)+1)</f>
        <v/>
      </c>
    </row>
    <row r="77" spans="1:40" ht="20.100000000000001" customHeight="1" x14ac:dyDescent="0.25">
      <c r="A77" s="49">
        <f ca="1">IF(INDIRECT(ADDRESS(ROW()-1,COLUMN(NOTA[[#Headers],[ID]])))="ID",1,IF(NOTA[[#This Row],[FAKTUR]]="","",COUNT(INDIRECT(ADDRESS(ROW(NOTA[ID]),COLUMN(NOTA[ID]))&amp;":"&amp;ADDRESS(ROW()-1,COLUMN(NOTA[ID]))))+1))</f>
        <v>15</v>
      </c>
      <c r="B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DUT_0501_23H-1</v>
      </c>
      <c r="C77" s="50" t="str">
        <f>IF(NOTA[[#This Row],[CEK_EXP]]&lt;D76,"err","")</f>
        <v/>
      </c>
      <c r="D77" s="50">
        <f>IF(NOTA[[#This Row],[TANGGAL]]="",D76,NOTA[[#This Row],[TANGGAL]])</f>
        <v>44931</v>
      </c>
      <c r="E77" s="50">
        <f ca="1">IF(NOTA[[#This Row],[NAMA BARANG]]="","",INDEX(NOTA[ID],MATCH(,INDIRECT(ADDRESS(ROW(NOTA[ID]),COLUMN(NOTA[ID]))&amp;":"&amp;ADDRESS(ROW(),COLUMN(NOTA[ID]))),-1)))</f>
        <v>15</v>
      </c>
      <c r="F77" s="23"/>
      <c r="G77" s="26" t="s">
        <v>237</v>
      </c>
      <c r="H77" s="26" t="s">
        <v>87</v>
      </c>
      <c r="I77" s="31" t="s">
        <v>242</v>
      </c>
      <c r="J77" s="26"/>
      <c r="K77" s="51">
        <v>44930</v>
      </c>
      <c r="L77" s="26"/>
      <c r="M77" s="26" t="s">
        <v>255</v>
      </c>
      <c r="N77" s="39">
        <v>5</v>
      </c>
      <c r="O77" s="26">
        <v>480</v>
      </c>
      <c r="P77" s="26" t="s">
        <v>90</v>
      </c>
      <c r="Q77" s="49">
        <v>30500</v>
      </c>
      <c r="R77" s="52"/>
      <c r="S77" s="39" t="s">
        <v>223</v>
      </c>
      <c r="T77" s="53"/>
      <c r="U77" s="53"/>
      <c r="V77" s="54"/>
      <c r="W77" s="37"/>
      <c r="X77" s="54">
        <f>IF(NOTA[[#This Row],[HARGA/ CTN]]="",NOTA[[#This Row],[JUMLAH_H]],NOTA[[#This Row],[HARGA/ CTN]]*IF(NOTA[[#This Row],[C]]="",0,NOTA[[#This Row],[C]]))</f>
        <v>14640000</v>
      </c>
      <c r="Y77" s="54">
        <f>IF(NOTA[[#This Row],[JUMLAH]]="","",NOTA[[#This Row],[JUMLAH]]*NOTA[[#This Row],[DISC 1]])</f>
        <v>0</v>
      </c>
      <c r="Z77" s="54">
        <f>IF(NOTA[[#This Row],[JUMLAH]]="","",(NOTA[[#This Row],[JUMLAH]]-NOTA[[#This Row],[DISC 1-]])*NOTA[[#This Row],[DISC 2]])</f>
        <v>0</v>
      </c>
      <c r="AA77" s="54">
        <f>IF(NOTA[[#This Row],[JUMLAH]]="","",NOTA[[#This Row],[DISC 1-]]+NOTA[[#This Row],[DISC 2-]])</f>
        <v>0</v>
      </c>
      <c r="AB77" s="54">
        <f>IF(NOTA[[#This Row],[JUMLAH]]="","",NOTA[[#This Row],[JUMLAH]]-NOTA[[#This Row],[DISC]])</f>
        <v>14640000</v>
      </c>
      <c r="AC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77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77" s="54">
        <f>IF(OR(NOTA[[#This Row],[QTY]]="",NOTA[[#This Row],[HARGA SATUAN]]="",),"",NOTA[[#This Row],[QTY]]*NOTA[[#This Row],[HARGA SATUAN]])</f>
        <v>14640000</v>
      </c>
      <c r="AG77" s="51">
        <f ca="1">IF(NOTA[ID_H]="","",INDEX(NOTA[TANGGAL],MATCH(,INDIRECT(ADDRESS(ROW(NOTA[TANGGAL]),COLUMN(NOTA[TANGGAL]))&amp;":"&amp;ADDRESS(ROW(),COLUMN(NOTA[TANGGAL]))),-1)))</f>
        <v>44931</v>
      </c>
      <c r="AH77" s="65" t="str">
        <f ca="1">IF(NOTA[[#This Row],[NAMA BARANG]]="","",INDEX(NOTA[SUPPLIER],MATCH(,INDIRECT(ADDRESS(ROW(NOTA[ID]),COLUMN(NOTA[ID]))&amp;":"&amp;ADDRESS(ROW(),COLUMN(NOTA[ID]))),-1)))</f>
        <v>DUTA BUANA</v>
      </c>
      <c r="AI77" s="65" t="str">
        <f ca="1">IF(NOTA[[#This Row],[ID_H]]="","",IF(NOTA[[#This Row],[FAKTUR]]="",INDIRECT(ADDRESS(ROW()-1,COLUMN())),NOTA[[#This Row],[FAKTUR]]))</f>
        <v>UNTANA</v>
      </c>
      <c r="AJ77" s="38">
        <f ca="1">IF(NOTA[[#This Row],[ID]]="","",COUNTIF(NOTA[ID_H],NOTA[[#This Row],[ID_H]]))</f>
        <v>1</v>
      </c>
      <c r="AK77" s="38">
        <f>IF(NOTA[[#This Row],[TGL.NOTA]]="",IF(NOTA[[#This Row],[SUPPLIER_H]]="","",AK76),MONTH(NOTA[[#This Row],[TGL.NOTA]]))</f>
        <v>1</v>
      </c>
      <c r="AL77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77" s="38" t="str">
        <f>IF(NOTA[C]="",NOTA[[#This Row],[CONCAT1]]&amp;NOTA[[#This Row],[HARGA SATUAN]],NOTA[[#This Row],[CONCAT1]]&amp;NOTA[[#This Row],[HARGA/ CTN_H]]&amp;NOTA[[#This Row],[DISC 1]]&amp;NOTA[[#This Row],[DISC 2]])</f>
        <v>ballpengeltf311503mmhightechknock2928000</v>
      </c>
      <c r="AN77" s="184">
        <f>IF(NOTA[[#This Row],[CONCAT1]]="","",MATCH(NOTA[[#This Row],[CONCAT1]],[1]!db[NB NOTA_C],0)+1)</f>
        <v>92</v>
      </c>
    </row>
    <row r="78" spans="1:40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Row],[CEK_EXP]]&lt;D77,"err","")</f>
        <v/>
      </c>
      <c r="D78" s="50">
        <f>IF(NOTA[[#This Row],[TANGGAL]]="",D77,NOTA[[#This Row],[TANGGAL]])</f>
        <v>44931</v>
      </c>
      <c r="E78" s="50" t="str">
        <f ca="1">IF(NOTA[[#This Row],[NAMA BARANG]]="","",INDEX(NOTA[ID],MATCH(,INDIRECT(ADDRESS(ROW(NOTA[ID]),COLUMN(NOTA[ID]))&amp;":"&amp;ADDRESS(ROW(),COLUMN(NOTA[ID]))),-1)))</f>
        <v/>
      </c>
      <c r="F78" s="23"/>
      <c r="G78" s="26"/>
      <c r="H78" s="26"/>
      <c r="I78" s="31"/>
      <c r="J78" s="26"/>
      <c r="K78" s="51"/>
      <c r="L78" s="26"/>
      <c r="M78" s="26"/>
      <c r="N78" s="39"/>
      <c r="O78" s="26"/>
      <c r="P78" s="26"/>
      <c r="Q78" s="49"/>
      <c r="R78" s="52"/>
      <c r="S78" s="39"/>
      <c r="T78" s="53"/>
      <c r="U78" s="53"/>
      <c r="V78" s="66"/>
      <c r="W78" s="37"/>
      <c r="X78" s="54" t="str">
        <f>IF(NOTA[[#This Row],[HARGA/ CTN]]="",NOTA[[#This Row],[JUMLAH_H]],NOTA[[#This Row],[HARGA/ CTN]]*IF(NOTA[[#This Row],[C]]="",0,NOTA[[#This Row],[C]]))</f>
        <v/>
      </c>
      <c r="Y78" s="54" t="str">
        <f>IF(NOTA[[#This Row],[JUMLAH]]="","",NOTA[[#This Row],[JUMLAH]]*NOTA[[#This Row],[DISC 1]])</f>
        <v/>
      </c>
      <c r="Z78" s="54" t="str">
        <f>IF(NOTA[[#This Row],[JUMLAH]]="","",(NOTA[[#This Row],[JUMLAH]]-NOTA[[#This Row],[DISC 1-]])*NOTA[[#This Row],[DISC 2]])</f>
        <v/>
      </c>
      <c r="AA78" s="54" t="str">
        <f>IF(NOTA[[#This Row],[JUMLAH]]="","",NOTA[[#This Row],[DISC 1-]]+NOTA[[#This Row],[DISC 2-]])</f>
        <v/>
      </c>
      <c r="AB78" s="54" t="str">
        <f>IF(NOTA[[#This Row],[JUMLAH]]="","",NOTA[[#This Row],[JUMLAH]]-NOTA[[#This Row],[DISC]])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54" t="str">
        <f>IF(OR(NOTA[[#This Row],[QTY]]="",NOTA[[#This Row],[HARGA SATUAN]]="",),"",NOTA[[#This Row],[QTY]]*NOTA[[#This Row],[HARGA SATUAN]])</f>
        <v/>
      </c>
      <c r="AG78" s="51" t="str">
        <f ca="1">IF(NOTA[ID_H]="","",INDEX(NOTA[TANGGAL],MATCH(,INDIRECT(ADDRESS(ROW(NOTA[TANGGAL]),COLUMN(NOTA[TANGGAL]))&amp;":"&amp;ADDRESS(ROW(),COLUMN(NOTA[TANGGAL]))),-1)))</f>
        <v/>
      </c>
      <c r="AH78" s="65" t="str">
        <f ca="1">IF(NOTA[[#This Row],[NAMA BARANG]]="","",INDEX(NOTA[SUPPLIER],MATCH(,INDIRECT(ADDRESS(ROW(NOTA[ID]),COLUMN(NOTA[ID]))&amp;":"&amp;ADDRESS(ROW(),COLUMN(NOTA[ID]))),-1)))</f>
        <v/>
      </c>
      <c r="AI78" s="65" t="str">
        <f ca="1">IF(NOTA[[#This Row],[ID_H]]="","",IF(NOTA[[#This Row],[FAKTUR]]="",INDIRECT(ADDRESS(ROW()-1,COLUMN())),NOTA[[#This Row],[FAKTUR]]))</f>
        <v/>
      </c>
      <c r="AJ78" s="38" t="str">
        <f ca="1">IF(NOTA[[#This Row],[ID]]="","",COUNTIF(NOTA[ID_H],NOTA[[#This Row],[ID_H]]))</f>
        <v/>
      </c>
      <c r="AK78" s="38" t="str">
        <f ca="1">IF(NOTA[[#This Row],[TGL.NOTA]]="",IF(NOTA[[#This Row],[SUPPLIER_H]]="","",AK77),MONTH(NOTA[[#This Row],[TGL.NOTA]]))</f>
        <v/>
      </c>
      <c r="AL78" s="38" t="str">
        <f>LOWER(SUBSTITUTE(SUBSTITUTE(SUBSTITUTE(SUBSTITUTE(SUBSTITUTE(SUBSTITUTE(SUBSTITUTE(SUBSTITUTE(SUBSTITUTE(NOTA[NAMA BARANG]," ",),".",""),"-",""),"(",""),")",""),",",""),"/",""),"""",""),"+",""))</f>
        <v/>
      </c>
      <c r="AM78" s="38" t="str">
        <f>IF(NOTA[C]="",NOTA[[#This Row],[CONCAT1]]&amp;NOTA[[#This Row],[HARGA SATUAN]],NOTA[[#This Row],[CONCAT1]]&amp;NOTA[[#This Row],[HARGA/ CTN_H]]&amp;NOTA[[#This Row],[DISC 1]]&amp;NOTA[[#This Row],[DISC 2]])</f>
        <v/>
      </c>
      <c r="AN78" s="184" t="str">
        <f>IF(NOTA[[#This Row],[CONCAT1]]="","",MATCH(NOTA[[#This Row],[CONCAT1]],[1]!db[NB NOTA_C],0)+1)</f>
        <v/>
      </c>
    </row>
    <row r="79" spans="1:40" ht="20.100000000000001" customHeight="1" x14ac:dyDescent="0.25">
      <c r="A79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SUR_0501_039-2</v>
      </c>
      <c r="C79" s="50" t="str">
        <f>IF(NOTA[[#This Row],[CEK_EXP]]&lt;D78,"err","")</f>
        <v/>
      </c>
      <c r="D79" s="50">
        <f>IF(NOTA[[#This Row],[TANGGAL]]="",D78,NOTA[[#This Row],[TANGGAL]])</f>
        <v>44931</v>
      </c>
      <c r="E79" s="50">
        <f ca="1">IF(NOTA[[#This Row],[NAMA BARANG]]="","",INDEX(NOTA[ID],MATCH(,INDIRECT(ADDRESS(ROW(NOTA[ID]),COLUMN(NOTA[ID]))&amp;":"&amp;ADDRESS(ROW(),COLUMN(NOTA[ID]))),-1)))</f>
        <v>16</v>
      </c>
      <c r="F79" s="23"/>
      <c r="G79" s="26" t="s">
        <v>243</v>
      </c>
      <c r="H79" s="26" t="s">
        <v>87</v>
      </c>
      <c r="I79" s="31" t="s">
        <v>244</v>
      </c>
      <c r="J79" s="26"/>
      <c r="K79" s="51">
        <v>44928</v>
      </c>
      <c r="L79" s="26"/>
      <c r="M79" s="26" t="s">
        <v>256</v>
      </c>
      <c r="N79" s="39">
        <v>25</v>
      </c>
      <c r="O79" s="26">
        <f>25*216</f>
        <v>5400</v>
      </c>
      <c r="P79" s="26" t="s">
        <v>131</v>
      </c>
      <c r="Q79" s="49">
        <v>9000</v>
      </c>
      <c r="R79" s="52"/>
      <c r="S79" s="39" t="s">
        <v>247</v>
      </c>
      <c r="T79" s="53">
        <v>0.2</v>
      </c>
      <c r="U79" s="53">
        <v>2.5000000000000001E-2</v>
      </c>
      <c r="V79" s="54"/>
      <c r="W79" s="37"/>
      <c r="X79" s="54">
        <f>IF(NOTA[[#This Row],[HARGA/ CTN]]="",NOTA[[#This Row],[JUMLAH_H]],NOTA[[#This Row],[HARGA/ CTN]]*IF(NOTA[[#This Row],[C]]="",0,NOTA[[#This Row],[C]]))</f>
        <v>48600000</v>
      </c>
      <c r="Y79" s="54">
        <f>IF(NOTA[[#This Row],[JUMLAH]]="","",NOTA[[#This Row],[JUMLAH]]*NOTA[[#This Row],[DISC 1]])</f>
        <v>9720000</v>
      </c>
      <c r="Z79" s="54">
        <f>IF(NOTA[[#This Row],[JUMLAH]]="","",(NOTA[[#This Row],[JUMLAH]]-NOTA[[#This Row],[DISC 1-]])*NOTA[[#This Row],[DISC 2]])</f>
        <v>972000</v>
      </c>
      <c r="AA79" s="54">
        <f>IF(NOTA[[#This Row],[JUMLAH]]="","",NOTA[[#This Row],[DISC 1-]]+NOTA[[#This Row],[DISC 2-]])</f>
        <v>10692000</v>
      </c>
      <c r="AB79" s="54">
        <f>IF(NOTA[[#This Row],[JUMLAH]]="","",NOTA[[#This Row],[JUMLAH]]-NOTA[[#This Row],[DISC]])</f>
        <v>37908000</v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79" s="54">
        <f>IF(OR(NOTA[[#This Row],[QTY]]="",NOTA[[#This Row],[HARGA SATUAN]]="",),"",NOTA[[#This Row],[QTY]]*NOTA[[#This Row],[HARGA SATUAN]])</f>
        <v>48600000</v>
      </c>
      <c r="AG79" s="51">
        <f ca="1">IF(NOTA[ID_H]="","",INDEX(NOTA[TANGGAL],MATCH(,INDIRECT(ADDRESS(ROW(NOTA[TANGGAL]),COLUMN(NOTA[TANGGAL]))&amp;":"&amp;ADDRESS(ROW(),COLUMN(NOTA[TANGGAL]))),-1)))</f>
        <v>44931</v>
      </c>
      <c r="AH79" s="65" t="str">
        <f ca="1">IF(NOTA[[#This Row],[NAMA BARANG]]="","",INDEX(NOTA[SUPPLIER],MATCH(,INDIRECT(ADDRESS(ROW(NOTA[ID]),COLUMN(NOTA[ID]))&amp;":"&amp;ADDRESS(ROW(),COLUMN(NOTA[ID]))),-1)))</f>
        <v>SURYA PRATAMA</v>
      </c>
      <c r="AI79" s="65" t="str">
        <f ca="1">IF(NOTA[[#This Row],[ID_H]]="","",IF(NOTA[[#This Row],[FAKTUR]]="",INDIRECT(ADDRESS(ROW()-1,COLUMN())),NOTA[[#This Row],[FAKTUR]]))</f>
        <v>UNTANA</v>
      </c>
      <c r="AJ79" s="38">
        <f ca="1">IF(NOTA[[#This Row],[ID]]="","",COUNTIF(NOTA[ID_H],NOTA[[#This Row],[ID_H]]))</f>
        <v>2</v>
      </c>
      <c r="AK79" s="38">
        <f>IF(NOTA[[#This Row],[TGL.NOTA]]="",IF(NOTA[[#This Row],[SUPPLIER_H]]="","",AK78),MONTH(NOTA[[#This Row],[TGL.NOTA]]))</f>
        <v>1</v>
      </c>
      <c r="AL79" s="38" t="str">
        <f>LOWER(SUBSTITUTE(SUBSTITUTE(SUBSTITUTE(SUBSTITUTE(SUBSTITUTE(SUBSTITUTE(SUBSTITUTE(SUBSTITUTE(SUBSTITUTE(NOTA[NAMA BARANG]," ",),".",""),"-",""),"(",""),")",""),",",""),"/",""),"""",""),"+",""))</f>
        <v>catairopini110@216</v>
      </c>
      <c r="AM79" s="38" t="str">
        <f>IF(NOTA[C]="",NOTA[[#This Row],[CONCAT1]]&amp;NOTA[[#This Row],[HARGA SATUAN]],NOTA[[#This Row],[CONCAT1]]&amp;NOTA[[#This Row],[HARGA/ CTN_H]]&amp;NOTA[[#This Row],[DISC 1]]&amp;NOTA[[#This Row],[DISC 2]])</f>
        <v>catairopini110@21619440000.20.025</v>
      </c>
      <c r="AN79" s="184">
        <f>IF(NOTA[[#This Row],[CONCAT1]]="","",MATCH(NOTA[[#This Row],[CONCAT1]],[1]!db[NB NOTA_C],0)+1)</f>
        <v>445</v>
      </c>
    </row>
    <row r="80" spans="1:40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0" t="str">
        <f>IF(NOTA[[#This Row],[CEK_EXP]]&lt;D79,"err","")</f>
        <v/>
      </c>
      <c r="D80" s="50">
        <f>IF(NOTA[[#This Row],[TANGGAL]]="",D79,NOTA[[#This Row],[TANGGAL]])</f>
        <v>44931</v>
      </c>
      <c r="E80" s="50">
        <f ca="1">IF(NOTA[[#This Row],[NAMA BARANG]]="","",INDEX(NOTA[ID],MATCH(,INDIRECT(ADDRESS(ROW(NOTA[ID]),COLUMN(NOTA[ID]))&amp;":"&amp;ADDRESS(ROW(),COLUMN(NOTA[ID]))),-1)))</f>
        <v>16</v>
      </c>
      <c r="F80" s="23"/>
      <c r="G80" s="26"/>
      <c r="H80" s="26"/>
      <c r="I80" s="31"/>
      <c r="J80" s="26"/>
      <c r="K80" s="51"/>
      <c r="L80" s="26"/>
      <c r="M80" s="26" t="s">
        <v>257</v>
      </c>
      <c r="N80" s="39">
        <v>15</v>
      </c>
      <c r="O80" s="26">
        <f>15*144</f>
        <v>2160</v>
      </c>
      <c r="P80" s="26" t="s">
        <v>245</v>
      </c>
      <c r="Q80" s="49">
        <v>9400</v>
      </c>
      <c r="R80" s="52"/>
      <c r="S80" s="39" t="s">
        <v>246</v>
      </c>
      <c r="T80" s="53">
        <v>0.2</v>
      </c>
      <c r="U80" s="53">
        <v>2.5000000000000001E-2</v>
      </c>
      <c r="V80" s="54"/>
      <c r="W80" s="37"/>
      <c r="X80" s="54">
        <f>IF(NOTA[[#This Row],[HARGA/ CTN]]="",NOTA[[#This Row],[JUMLAH_H]],NOTA[[#This Row],[HARGA/ CTN]]*IF(NOTA[[#This Row],[C]]="",0,NOTA[[#This Row],[C]]))</f>
        <v>20304000</v>
      </c>
      <c r="Y80" s="54">
        <f>IF(NOTA[[#This Row],[JUMLAH]]="","",NOTA[[#This Row],[JUMLAH]]*NOTA[[#This Row],[DISC 1]])</f>
        <v>4060800</v>
      </c>
      <c r="Z80" s="54">
        <f>IF(NOTA[[#This Row],[JUMLAH]]="","",(NOTA[[#This Row],[JUMLAH]]-NOTA[[#This Row],[DISC 1-]])*NOTA[[#This Row],[DISC 2]])</f>
        <v>406080</v>
      </c>
      <c r="AA80" s="54">
        <f>IF(NOTA[[#This Row],[JUMLAH]]="","",NOTA[[#This Row],[DISC 1-]]+NOTA[[#This Row],[DISC 2-]])</f>
        <v>4466880</v>
      </c>
      <c r="AB80" s="54">
        <f>IF(NOTA[[#This Row],[JUMLAH]]="","",NOTA[[#This Row],[JUMLAH]]-NOTA[[#This Row],[DISC]])</f>
        <v>15837120</v>
      </c>
      <c r="AC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15158880</v>
      </c>
      <c r="AD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53745120</v>
      </c>
      <c r="AE80" s="49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F80" s="54">
        <f>IF(OR(NOTA[[#This Row],[QTY]]="",NOTA[[#This Row],[HARGA SATUAN]]="",),"",NOTA[[#This Row],[QTY]]*NOTA[[#This Row],[HARGA SATUAN]])</f>
        <v>20304000</v>
      </c>
      <c r="AG80" s="51">
        <f ca="1">IF(NOTA[ID_H]="","",INDEX(NOTA[TANGGAL],MATCH(,INDIRECT(ADDRESS(ROW(NOTA[TANGGAL]),COLUMN(NOTA[TANGGAL]))&amp;":"&amp;ADDRESS(ROW(),COLUMN(NOTA[TANGGAL]))),-1)))</f>
        <v>44931</v>
      </c>
      <c r="AH80" s="65" t="str">
        <f ca="1">IF(NOTA[[#This Row],[NAMA BARANG]]="","",INDEX(NOTA[SUPPLIER],MATCH(,INDIRECT(ADDRESS(ROW(NOTA[ID]),COLUMN(NOTA[ID]))&amp;":"&amp;ADDRESS(ROW(),COLUMN(NOTA[ID]))),-1)))</f>
        <v>SURYA PRATAMA</v>
      </c>
      <c r="AI80" s="65" t="str">
        <f ca="1">IF(NOTA[[#This Row],[ID_H]]="","",IF(NOTA[[#This Row],[FAKTUR]]="",INDIRECT(ADDRESS(ROW()-1,COLUMN())),NOTA[[#This Row],[FAKTUR]]))</f>
        <v>UNTANA</v>
      </c>
      <c r="AJ80" s="38" t="str">
        <f ca="1">IF(NOTA[[#This Row],[ID]]="","",COUNTIF(NOTA[ID_H],NOTA[[#This Row],[ID_H]]))</f>
        <v/>
      </c>
      <c r="AK80" s="38">
        <f ca="1">IF(NOTA[[#This Row],[TGL.NOTA]]="",IF(NOTA[[#This Row],[SUPPLIER_H]]="","",AK79),MONTH(NOTA[[#This Row],[TGL.NOTA]]))</f>
        <v>1</v>
      </c>
      <c r="AL80" s="38" t="str">
        <f>LOWER(SUBSTITUTE(SUBSTITUTE(SUBSTITUTE(SUBSTITUTE(SUBSTITUTE(SUBSTITUTE(SUBSTITUTE(SUBSTITUTE(SUBSTITUTE(NOTA[NAMA BARANG]," ",),".",""),"-",""),"(",""),")",""),",",""),"/",""),"""",""),"+",""))</f>
        <v>catairopini120@144</v>
      </c>
      <c r="AM80" s="38" t="str">
        <f>IF(NOTA[C]="",NOTA[[#This Row],[CONCAT1]]&amp;NOTA[[#This Row],[HARGA SATUAN]],NOTA[[#This Row],[CONCAT1]]&amp;NOTA[[#This Row],[HARGA/ CTN_H]]&amp;NOTA[[#This Row],[DISC 1]]&amp;NOTA[[#This Row],[DISC 2]])</f>
        <v>catairopini120@14413536000.20.025</v>
      </c>
      <c r="AN80" s="184">
        <f>IF(NOTA[[#This Row],[CONCAT1]]="","",MATCH(NOTA[[#This Row],[CONCAT1]],[1]!db[NB NOTA_C],0)+1)</f>
        <v>446</v>
      </c>
    </row>
    <row r="81" spans="1:40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Row],[CEK_EXP]]&lt;D80,"err","")</f>
        <v/>
      </c>
      <c r="D81" s="50">
        <f>IF(NOTA[[#This Row],[TANGGAL]]="",D80,NOTA[[#This Row],[TANGGAL]])</f>
        <v>44931</v>
      </c>
      <c r="E81" s="50" t="str">
        <f ca="1">IF(NOTA[[#This Row],[NAMA BARANG]]="","",INDEX(NOTA[ID],MATCH(,INDIRECT(ADDRESS(ROW(NOTA[ID]),COLUMN(NOTA[ID]))&amp;":"&amp;ADDRESS(ROW(),COLUMN(NOTA[ID]))),-1)))</f>
        <v/>
      </c>
      <c r="F81" s="23"/>
      <c r="G81" s="26"/>
      <c r="H81" s="26"/>
      <c r="I81" s="31"/>
      <c r="J81" s="26"/>
      <c r="K81" s="51"/>
      <c r="L81" s="26"/>
      <c r="M81" s="26"/>
      <c r="N81" s="39"/>
      <c r="O81" s="26"/>
      <c r="P81" s="26"/>
      <c r="Q81" s="49"/>
      <c r="R81" s="52"/>
      <c r="S81" s="39"/>
      <c r="T81" s="53"/>
      <c r="U81" s="53"/>
      <c r="V81" s="54"/>
      <c r="W81" s="37"/>
      <c r="X81" s="54" t="str">
        <f>IF(NOTA[[#This Row],[HARGA/ CTN]]="",NOTA[[#This Row],[JUMLAH_H]],NOTA[[#This Row],[HARGA/ CTN]]*IF(NOTA[[#This Row],[C]]="",0,NOTA[[#This Row],[C]]))</f>
        <v/>
      </c>
      <c r="Y81" s="54" t="str">
        <f>IF(NOTA[[#This Row],[JUMLAH]]="","",NOTA[[#This Row],[JUMLAH]]*NOTA[[#This Row],[DISC 1]])</f>
        <v/>
      </c>
      <c r="Z81" s="54" t="str">
        <f>IF(NOTA[[#This Row],[JUMLAH]]="","",(NOTA[[#This Row],[JUMLAH]]-NOTA[[#This Row],[DISC 1-]])*NOTA[[#This Row],[DISC 2]])</f>
        <v/>
      </c>
      <c r="AA81" s="54" t="str">
        <f>IF(NOTA[[#This Row],[JUMLAH]]="","",NOTA[[#This Row],[DISC 1-]]+NOTA[[#This Row],[DISC 2-]])</f>
        <v/>
      </c>
      <c r="AB81" s="54" t="str">
        <f>IF(NOTA[[#This Row],[JUMLAH]]="","",NOTA[[#This Row],[JUMLAH]]-NOTA[[#This Row],[DISC]])</f>
        <v/>
      </c>
      <c r="AC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4" t="str">
        <f>IF(OR(NOTA[[#This Row],[QTY]]="",NOTA[[#This Row],[HARGA SATUAN]]="",),"",NOTA[[#This Row],[QTY]]*NOTA[[#This Row],[HARGA SATUAN]])</f>
        <v/>
      </c>
      <c r="AG81" s="51" t="str">
        <f ca="1">IF(NOTA[ID_H]="","",INDEX(NOTA[TANGGAL],MATCH(,INDIRECT(ADDRESS(ROW(NOTA[TANGGAL]),COLUMN(NOTA[TANGGAL]))&amp;":"&amp;ADDRESS(ROW(),COLUMN(NOTA[TANGGAL]))),-1)))</f>
        <v/>
      </c>
      <c r="AH81" s="65" t="str">
        <f ca="1">IF(NOTA[[#This Row],[NAMA BARANG]]="","",INDEX(NOTA[SUPPLIER],MATCH(,INDIRECT(ADDRESS(ROW(NOTA[ID]),COLUMN(NOTA[ID]))&amp;":"&amp;ADDRESS(ROW(),COLUMN(NOTA[ID]))),-1)))</f>
        <v/>
      </c>
      <c r="AI81" s="65" t="str">
        <f ca="1">IF(NOTA[[#This Row],[ID_H]]="","",IF(NOTA[[#This Row],[FAKTUR]]="",INDIRECT(ADDRESS(ROW()-1,COLUMN())),NOTA[[#This Row],[FAKTUR]]))</f>
        <v/>
      </c>
      <c r="AJ81" s="38" t="str">
        <f ca="1">IF(NOTA[[#This Row],[ID]]="","",COUNTIF(NOTA[ID_H],NOTA[[#This Row],[ID_H]]))</f>
        <v/>
      </c>
      <c r="AK81" s="38" t="str">
        <f ca="1">IF(NOTA[[#This Row],[TGL.NOTA]]="",IF(NOTA[[#This Row],[SUPPLIER_H]]="","",AK80),MONTH(NOTA[[#This Row],[TGL.NOTA]]))</f>
        <v/>
      </c>
      <c r="AL81" s="38" t="str">
        <f>LOWER(SUBSTITUTE(SUBSTITUTE(SUBSTITUTE(SUBSTITUTE(SUBSTITUTE(SUBSTITUTE(SUBSTITUTE(SUBSTITUTE(SUBSTITUTE(NOTA[NAMA BARANG]," ",),".",""),"-",""),"(",""),")",""),",",""),"/",""),"""",""),"+",""))</f>
        <v/>
      </c>
      <c r="AM81" s="38" t="str">
        <f>IF(NOTA[C]="",NOTA[[#This Row],[CONCAT1]]&amp;NOTA[[#This Row],[HARGA SATUAN]],NOTA[[#This Row],[CONCAT1]]&amp;NOTA[[#This Row],[HARGA/ CTN_H]]&amp;NOTA[[#This Row],[DISC 1]]&amp;NOTA[[#This Row],[DISC 2]])</f>
        <v/>
      </c>
      <c r="AN81" s="184" t="str">
        <f>IF(NOTA[[#This Row],[CONCAT1]]="","",MATCH(NOTA[[#This Row],[CONCAT1]],[1]!db[NB NOTA_C],0)+1)</f>
        <v/>
      </c>
    </row>
    <row r="82" spans="1:40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PMJ_0601_ 40-2</v>
      </c>
      <c r="C82" s="29" t="str">
        <f>IF(NOTA[[#This Row],[CEK_EXP]]&lt;D81,"err","")</f>
        <v/>
      </c>
      <c r="D82" s="29">
        <f>IF(NOTA[[#This Row],[TANGGAL]]="",D81,NOTA[[#This Row],[TANGGAL]])</f>
        <v>44932</v>
      </c>
      <c r="E82" s="29">
        <f ca="1">IF(NOTA[[#This Row],[NAMA BARANG]]="","",INDEX(NOTA[ID],MATCH(,INDIRECT(ADDRESS(ROW(NOTA[ID]),COLUMN(NOTA[ID]))&amp;":"&amp;ADDRESS(ROW(),COLUMN(NOTA[ID]))),-1)))</f>
        <v>17</v>
      </c>
      <c r="F82" s="180">
        <v>44932</v>
      </c>
      <c r="G82" s="26" t="s">
        <v>172</v>
      </c>
      <c r="H82" s="26" t="s">
        <v>87</v>
      </c>
      <c r="I82" s="31" t="s">
        <v>173</v>
      </c>
      <c r="J82" s="26"/>
      <c r="K82" s="51">
        <v>44929</v>
      </c>
      <c r="L82" s="26"/>
      <c r="M82" s="26" t="s">
        <v>174</v>
      </c>
      <c r="N82" s="39">
        <v>2</v>
      </c>
      <c r="O82" s="26">
        <v>20</v>
      </c>
      <c r="P82" s="26" t="s">
        <v>90</v>
      </c>
      <c r="Q82" s="49">
        <v>72000</v>
      </c>
      <c r="R82" s="52"/>
      <c r="S82" s="39" t="s">
        <v>176</v>
      </c>
      <c r="T82" s="53"/>
      <c r="U82" s="53"/>
      <c r="V82" s="54"/>
      <c r="W82" s="37"/>
      <c r="X82" s="36">
        <f>IF(NOTA[[#This Row],[HARGA/ CTN]]="",NOTA[[#This Row],[JUMLAH_H]],NOTA[[#This Row],[HARGA/ CTN]]*IF(NOTA[[#This Row],[C]]="",0,NOTA[[#This Row],[C]]))</f>
        <v>1440000</v>
      </c>
      <c r="Y82" s="36">
        <f>IF(NOTA[[#This Row],[JUMLAH]]="","",NOTA[[#This Row],[JUMLAH]]*NOTA[[#This Row],[DISC 1]])</f>
        <v>0</v>
      </c>
      <c r="Z82" s="36">
        <f>IF(NOTA[[#This Row],[JUMLAH]]="","",(NOTA[[#This Row],[JUMLAH]]-NOTA[[#This Row],[DISC 1-]])*NOTA[[#This Row],[DISC 2]])</f>
        <v>0</v>
      </c>
      <c r="AA82" s="36">
        <f>IF(NOTA[[#This Row],[JUMLAH]]="","",NOTA[[#This Row],[DISC 1-]]+NOTA[[#This Row],[DISC 2-]])</f>
        <v>0</v>
      </c>
      <c r="AB82" s="36">
        <f>IF(NOTA[[#This Row],[JUMLAH]]="","",NOTA[[#This Row],[JUMLAH]]-NOTA[[#This Row],[DISC]])</f>
        <v>1440000</v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82" s="36">
        <f>IF(OR(NOTA[[#This Row],[QTY]]="",NOTA[[#This Row],[HARGA SATUAN]]="",),"",NOTA[[#This Row],[QTY]]*NOTA[[#This Row],[HARGA SATUAN]])</f>
        <v>1440000</v>
      </c>
      <c r="AG82" s="33">
        <f ca="1">IF(NOTA[ID_H]="","",INDEX(NOTA[TANGGAL],MATCH(,INDIRECT(ADDRESS(ROW(NOTA[TANGGAL]),COLUMN(NOTA[TANGGAL]))&amp;":"&amp;ADDRESS(ROW(),COLUMN(NOTA[TANGGAL]))),-1)))</f>
        <v>44932</v>
      </c>
      <c r="AH82" s="28" t="str">
        <f ca="1">IF(NOTA[[#This Row],[NAMA BARANG]]="","",INDEX(NOTA[SUPPLIER],MATCH(,INDIRECT(ADDRESS(ROW(NOTA[ID]),COLUMN(NOTA[ID]))&amp;":"&amp;ADDRESS(ROW(),COLUMN(NOTA[ID]))),-1)))</f>
        <v>PMJP</v>
      </c>
      <c r="AI82" s="28" t="str">
        <f ca="1">IF(NOTA[[#This Row],[ID_H]]="","",IF(NOTA[[#This Row],[FAKTUR]]="",INDIRECT(ADDRESS(ROW()-1,COLUMN())),NOTA[[#This Row],[FAKTUR]]))</f>
        <v>UNTANA</v>
      </c>
      <c r="AJ82" s="38">
        <f ca="1">IF(NOTA[[#This Row],[ID]]="","",COUNTIF(NOTA[ID_H],NOTA[[#This Row],[ID_H]]))</f>
        <v>2</v>
      </c>
      <c r="AK82" s="38">
        <f>IF(NOTA[[#This Row],[TGL.NOTA]]="",IF(NOTA[[#This Row],[SUPPLIER_H]]="","",AK73),MONTH(NOTA[[#This Row],[TGL.NOTA]]))</f>
        <v>1</v>
      </c>
      <c r="AL82" s="38" t="str">
        <f>LOWER(SUBSTITUTE(SUBSTITUTE(SUBSTITUTE(SUBSTITUTE(SUBSTITUTE(SUBSTITUTE(SUBSTITUTE(SUBSTITUTE(SUBSTITUTE(NOTA[NAMA BARANG]," ",),".",""),"-",""),"(",""),")",""),",",""),"/",""),"""",""),"+",""))</f>
        <v>celenganl</v>
      </c>
      <c r="AM82" s="38" t="str">
        <f>IF(NOTA[C]="",NOTA[[#This Row],[CONCAT1]]&amp;NOTA[[#This Row],[HARGA SATUAN]],NOTA[[#This Row],[CONCAT1]]&amp;NOTA[[#This Row],[HARGA/ CTN_H]]&amp;NOTA[[#This Row],[DISC 1]]&amp;NOTA[[#This Row],[DISC 2]])</f>
        <v>celenganl720000</v>
      </c>
      <c r="AN82" s="184">
        <f>IF(NOTA[[#This Row],[CONCAT1]]="","",MATCH(NOTA[[#This Row],[CONCAT1]],[1]!db[NB NOTA_C],0)+1)</f>
        <v>449</v>
      </c>
    </row>
    <row r="83" spans="1:40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Row],[CEK_EXP]]&lt;D82,"err","")</f>
        <v/>
      </c>
      <c r="D83" s="29">
        <f>IF(NOTA[[#This Row],[TANGGAL]]="",D82,NOTA[[#This Row],[TANGGAL]])</f>
        <v>44932</v>
      </c>
      <c r="E83" s="29">
        <f ca="1">IF(NOTA[[#This Row],[NAMA BARANG]]="","",INDEX(NOTA[ID],MATCH(,INDIRECT(ADDRESS(ROW(NOTA[ID]),COLUMN(NOTA[ID]))&amp;":"&amp;ADDRESS(ROW(),COLUMN(NOTA[ID]))),-1)))</f>
        <v>17</v>
      </c>
      <c r="F83" s="180"/>
      <c r="G83" s="26"/>
      <c r="H83" s="26"/>
      <c r="I83" s="31"/>
      <c r="J83" s="26"/>
      <c r="K83" s="51"/>
      <c r="L83" s="26"/>
      <c r="M83" s="26" t="s">
        <v>175</v>
      </c>
      <c r="N83" s="39">
        <v>2</v>
      </c>
      <c r="O83" s="26">
        <v>12</v>
      </c>
      <c r="P83" s="26" t="s">
        <v>90</v>
      </c>
      <c r="Q83" s="49">
        <v>87000</v>
      </c>
      <c r="R83" s="52"/>
      <c r="S83" s="39" t="s">
        <v>177</v>
      </c>
      <c r="T83" s="53"/>
      <c r="U83" s="53"/>
      <c r="V83" s="54"/>
      <c r="W83" s="37"/>
      <c r="X83" s="36">
        <f>IF(NOTA[[#This Row],[HARGA/ CTN]]="",NOTA[[#This Row],[JUMLAH_H]],NOTA[[#This Row],[HARGA/ CTN]]*IF(NOTA[[#This Row],[C]]="",0,NOTA[[#This Row],[C]]))</f>
        <v>1044000</v>
      </c>
      <c r="Y83" s="36">
        <f>IF(NOTA[[#This Row],[JUMLAH]]="","",NOTA[[#This Row],[JUMLAH]]*NOTA[[#This Row],[DISC 1]])</f>
        <v>0</v>
      </c>
      <c r="Z83" s="36">
        <f>IF(NOTA[[#This Row],[JUMLAH]]="","",(NOTA[[#This Row],[JUMLAH]]-NOTA[[#This Row],[DISC 1-]])*NOTA[[#This Row],[DISC 2]])</f>
        <v>0</v>
      </c>
      <c r="AA83" s="36">
        <f>IF(NOTA[[#This Row],[JUMLAH]]="","",NOTA[[#This Row],[DISC 1-]]+NOTA[[#This Row],[DISC 2-]])</f>
        <v>0</v>
      </c>
      <c r="AB83" s="36">
        <f>IF(NOTA[[#This Row],[JUMLAH]]="","",NOTA[[#This Row],[JUMLAH]]-NOTA[[#This Row],[DISC]])</f>
        <v>1044000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</v>
      </c>
      <c r="AE83" s="28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F83" s="36">
        <f>IF(OR(NOTA[[#This Row],[QTY]]="",NOTA[[#This Row],[HARGA SATUAN]]="",),"",NOTA[[#This Row],[QTY]]*NOTA[[#This Row],[HARGA SATUAN]])</f>
        <v>1044000</v>
      </c>
      <c r="AG83" s="33">
        <f ca="1">IF(NOTA[ID_H]="","",INDEX(NOTA[TANGGAL],MATCH(,INDIRECT(ADDRESS(ROW(NOTA[TANGGAL]),COLUMN(NOTA[TANGGAL]))&amp;":"&amp;ADDRESS(ROW(),COLUMN(NOTA[TANGGAL]))),-1)))</f>
        <v>44932</v>
      </c>
      <c r="AH83" s="28" t="str">
        <f ca="1">IF(NOTA[[#This Row],[NAMA BARANG]]="","",INDEX(NOTA[SUPPLIER],MATCH(,INDIRECT(ADDRESS(ROW(NOTA[ID]),COLUMN(NOTA[ID]))&amp;":"&amp;ADDRESS(ROW(),COLUMN(NOTA[ID]))),-1)))</f>
        <v>PMJP</v>
      </c>
      <c r="AI83" s="28" t="str">
        <f ca="1">IF(NOTA[[#This Row],[ID_H]]="","",IF(NOTA[[#This Row],[FAKTUR]]="",INDIRECT(ADDRESS(ROW()-1,COLUMN())),NOTA[[#This Row],[FAKTUR]]))</f>
        <v>UNTANA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1</v>
      </c>
      <c r="AL83" s="38" t="str">
        <f>LOWER(SUBSTITUTE(SUBSTITUTE(SUBSTITUTE(SUBSTITUTE(SUBSTITUTE(SUBSTITUTE(SUBSTITUTE(SUBSTITUTE(SUBSTITUTE(NOTA[NAMA BARANG]," ",),".",""),"-",""),"(",""),")",""),",",""),"/",""),"""",""),"+",""))</f>
        <v>celenganxl</v>
      </c>
      <c r="AM83" s="38" t="str">
        <f>IF(NOTA[C]="",NOTA[[#This Row],[CONCAT1]]&amp;NOTA[[#This Row],[HARGA SATUAN]],NOTA[[#This Row],[CONCAT1]]&amp;NOTA[[#This Row],[HARGA/ CTN_H]]&amp;NOTA[[#This Row],[DISC 1]]&amp;NOTA[[#This Row],[DISC 2]])</f>
        <v>celenganxl522000</v>
      </c>
      <c r="AN83" s="184">
        <f>IF(NOTA[[#This Row],[CONCAT1]]="","",MATCH(NOTA[[#This Row],[CONCAT1]],[1]!db[NB NOTA_C],0)+1)</f>
        <v>452</v>
      </c>
    </row>
    <row r="84" spans="1:40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Row],[CEK_EXP]]&lt;D83,"err","")</f>
        <v/>
      </c>
      <c r="D84" s="29">
        <f>IF(NOTA[[#This Row],[TANGGAL]]="",D83,NOTA[[#This Row],[TANGGAL]])</f>
        <v>44932</v>
      </c>
      <c r="E84" s="29" t="str">
        <f ca="1">IF(NOTA[[#This Row],[NAMA BARANG]]="","",INDEX(NOTA[ID],MATCH(,INDIRECT(ADDRESS(ROW(NOTA[ID]),COLUMN(NOTA[ID]))&amp;":"&amp;ADDRESS(ROW(),COLUMN(NOTA[ID]))),-1)))</f>
        <v/>
      </c>
      <c r="F84" s="180"/>
      <c r="G84" s="26"/>
      <c r="H84" s="26"/>
      <c r="I84" s="31"/>
      <c r="J84" s="26"/>
      <c r="K84" s="51"/>
      <c r="L84" s="26"/>
      <c r="M84" s="26"/>
      <c r="N84" s="39"/>
      <c r="O84" s="26"/>
      <c r="P84" s="26"/>
      <c r="Q84" s="49"/>
      <c r="R84" s="52"/>
      <c r="S84" s="39"/>
      <c r="T84" s="53"/>
      <c r="U84" s="53"/>
      <c r="V84" s="54"/>
      <c r="W84" s="37"/>
      <c r="X84" s="36" t="str">
        <f>IF(NOTA[[#This Row],[HARGA/ CTN]]="",NOTA[[#This Row],[JUMLAH_H]],NOTA[[#This Row],[HARGA/ CTN]]*IF(NOTA[[#This Row],[C]]="",0,NOTA[[#This Row],[C]]))</f>
        <v/>
      </c>
      <c r="Y84" s="36" t="str">
        <f>IF(NOTA[[#This Row],[JUMLAH]]="","",NOTA[[#This Row],[JUMLAH]]*NOTA[[#This Row],[DISC 1]])</f>
        <v/>
      </c>
      <c r="Z84" s="36" t="str">
        <f>IF(NOTA[[#This Row],[JUMLAH]]="","",(NOTA[[#This Row],[JUMLAH]]-NOTA[[#This Row],[DISC 1-]])*NOTA[[#This Row],[DISC 2]])</f>
        <v/>
      </c>
      <c r="AA84" s="36" t="str">
        <f>IF(NOTA[[#This Row],[JUMLAH]]="","",NOTA[[#This Row],[DISC 1-]]+NOTA[[#This Row],[DISC 2-]])</f>
        <v/>
      </c>
      <c r="AB84" s="36" t="str">
        <f>IF(NOTA[[#This Row],[JUMLAH]]="","",NOTA[[#This Row],[JUMLAH]]-NOTA[[#This Row],[DISC]])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36" t="str">
        <f>IF(OR(NOTA[[#This Row],[QTY]]="",NOTA[[#This Row],[HARGA SATUAN]]="",),"",NOTA[[#This Row],[QTY]]*NOTA[[#This Row],[HARGA SATUAN]])</f>
        <v/>
      </c>
      <c r="AG84" s="33" t="str">
        <f ca="1">IF(NOTA[ID_H]="","",INDEX(NOTA[TANGGAL],MATCH(,INDIRECT(ADDRESS(ROW(NOTA[TANGGAL]),COLUMN(NOTA[TANGGAL]))&amp;":"&amp;ADDRESS(ROW(),COLUMN(NOTA[TANGGAL]))),-1)))</f>
        <v/>
      </c>
      <c r="AH84" s="28" t="str">
        <f ca="1">IF(NOTA[[#This Row],[NAMA BARANG]]="","",INDEX(NOTA[SUPPLIER],MATCH(,INDIRECT(ADDRESS(ROW(NOTA[ID]),COLUMN(NOTA[ID]))&amp;":"&amp;ADDRESS(ROW(),COLUMN(NOTA[ID]))),-1)))</f>
        <v/>
      </c>
      <c r="AI84" s="28" t="str">
        <f ca="1">IF(NOTA[[#This Row],[ID_H]]="","",IF(NOTA[[#This Row],[FAKTUR]]="",INDIRECT(ADDRESS(ROW()-1,COLUMN())),NOTA[[#This Row],[FAKTUR]]))</f>
        <v/>
      </c>
      <c r="AJ84" s="38" t="str">
        <f ca="1">IF(NOTA[[#This Row],[ID]]="","",COUNTIF(NOTA[ID_H],NOTA[[#This Row],[ID_H]]))</f>
        <v/>
      </c>
      <c r="AK84" s="38" t="str">
        <f ca="1">IF(NOTA[[#This Row],[TGL.NOTA]]="",IF(NOTA[[#This Row],[SUPPLIER_H]]="","",AK83),MONTH(NOTA[[#This Row],[TGL.NOTA]]))</f>
        <v/>
      </c>
      <c r="AL84" s="38" t="str">
        <f>LOWER(SUBSTITUTE(SUBSTITUTE(SUBSTITUTE(SUBSTITUTE(SUBSTITUTE(SUBSTITUTE(SUBSTITUTE(SUBSTITUTE(SUBSTITUTE(NOTA[NAMA BARANG]," ",),".",""),"-",""),"(",""),")",""),",",""),"/",""),"""",""),"+",""))</f>
        <v/>
      </c>
      <c r="AM8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4" s="184" t="str">
        <f>IF(NOTA[[#This Row],[CONCAT1]]="","",MATCH(NOTA[[#This Row],[CONCAT1]],[1]!db[NB NOTA_C],0)+1)</f>
        <v/>
      </c>
    </row>
    <row r="85" spans="1:40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ETJ_0601_223-9</v>
      </c>
      <c r="C85" s="29" t="str">
        <f>IF(NOTA[[#This Row],[CEK_EXP]]&lt;D84,"err","")</f>
        <v/>
      </c>
      <c r="D85" s="29">
        <f>IF(NOTA[[#This Row],[TANGGAL]]="",D84,NOTA[[#This Row],[TANGGAL]])</f>
        <v>44932</v>
      </c>
      <c r="E85" s="29">
        <f ca="1">IF(NOTA[[#This Row],[NAMA BARANG]]="","",INDEX(NOTA[ID],MATCH(,INDIRECT(ADDRESS(ROW(NOTA[ID]),COLUMN(NOTA[ID]))&amp;":"&amp;ADDRESS(ROW(),COLUMN(NOTA[ID]))),-1)))</f>
        <v>18</v>
      </c>
      <c r="F85" s="180"/>
      <c r="G85" s="26" t="s">
        <v>144</v>
      </c>
      <c r="H85" s="26" t="s">
        <v>87</v>
      </c>
      <c r="I85" s="31" t="s">
        <v>178</v>
      </c>
      <c r="J85" s="26"/>
      <c r="K85" s="51">
        <v>44930</v>
      </c>
      <c r="L85" s="26"/>
      <c r="M85" s="26" t="s">
        <v>179</v>
      </c>
      <c r="N85" s="39">
        <v>25</v>
      </c>
      <c r="O85" s="26">
        <v>5000</v>
      </c>
      <c r="P85" s="26" t="s">
        <v>90</v>
      </c>
      <c r="Q85" s="49">
        <v>8750</v>
      </c>
      <c r="R85" s="52"/>
      <c r="S85" s="39" t="s">
        <v>180</v>
      </c>
      <c r="T85" s="53"/>
      <c r="U85" s="53"/>
      <c r="V85" s="54"/>
      <c r="W85" s="37"/>
      <c r="X85" s="36">
        <f>IF(NOTA[[#This Row],[HARGA/ CTN]]="",NOTA[[#This Row],[JUMLAH_H]],NOTA[[#This Row],[HARGA/ CTN]]*IF(NOTA[[#This Row],[C]]="",0,NOTA[[#This Row],[C]]))</f>
        <v>43750000</v>
      </c>
      <c r="Y85" s="36">
        <f>IF(NOTA[[#This Row],[JUMLAH]]="","",NOTA[[#This Row],[JUMLAH]]*NOTA[[#This Row],[DISC 1]])</f>
        <v>0</v>
      </c>
      <c r="Z85" s="36">
        <f>IF(NOTA[[#This Row],[JUMLAH]]="","",(NOTA[[#This Row],[JUMLAH]]-NOTA[[#This Row],[DISC 1-]])*NOTA[[#This Row],[DISC 2]])</f>
        <v>0</v>
      </c>
      <c r="AA85" s="36">
        <f>IF(NOTA[[#This Row],[JUMLAH]]="","",NOTA[[#This Row],[DISC 1-]]+NOTA[[#This Row],[DISC 2-]])</f>
        <v>0</v>
      </c>
      <c r="AB85" s="36">
        <f>IF(NOTA[[#This Row],[JUMLAH]]="","",NOTA[[#This Row],[JUMLAH]]-NOTA[[#This Row],[DISC]])</f>
        <v>43750000</v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85" s="36">
        <f>IF(OR(NOTA[[#This Row],[QTY]]="",NOTA[[#This Row],[HARGA SATUAN]]="",),"",NOTA[[#This Row],[QTY]]*NOTA[[#This Row],[HARGA SATUAN]])</f>
        <v>43750000</v>
      </c>
      <c r="AG85" s="33">
        <f ca="1">IF(NOTA[ID_H]="","",INDEX(NOTA[TANGGAL],MATCH(,INDIRECT(ADDRESS(ROW(NOTA[TANGGAL]),COLUMN(NOTA[TANGGAL]))&amp;":"&amp;ADDRESS(ROW(),COLUMN(NOTA[TANGGAL]))),-1)))</f>
        <v>44932</v>
      </c>
      <c r="AH85" s="28" t="str">
        <f ca="1">IF(NOTA[[#This Row],[NAMA BARANG]]="","",INDEX(NOTA[SUPPLIER],MATCH(,INDIRECT(ADDRESS(ROW(NOTA[ID]),COLUMN(NOTA[ID]))&amp;":"&amp;ADDRESS(ROW(),COLUMN(NOTA[ID]))),-1)))</f>
        <v>ETJ</v>
      </c>
      <c r="AI85" s="28" t="str">
        <f ca="1">IF(NOTA[[#This Row],[ID_H]]="","",IF(NOTA[[#This Row],[FAKTUR]]="",INDIRECT(ADDRESS(ROW()-1,COLUMN())),NOTA[[#This Row],[FAKTUR]]))</f>
        <v>UNTANA</v>
      </c>
      <c r="AJ85" s="38">
        <f ca="1">IF(NOTA[[#This Row],[ID]]="","",COUNTIF(NOTA[ID_H],NOTA[[#This Row],[ID_H]]))</f>
        <v>9</v>
      </c>
      <c r="AK85" s="38">
        <f>IF(NOTA[[#This Row],[TGL.NOTA]]="",IF(NOTA[[#This Row],[SUPPLIER_H]]="","",AK84),MONTH(NOTA[[#This Row],[TGL.NOTA]]))</f>
        <v>1</v>
      </c>
      <c r="AL85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M85" s="38" t="str">
        <f>IF(NOTA[C]="",NOTA[[#This Row],[CONCAT1]]&amp;NOTA[[#This Row],[HARGA SATUAN]],NOTA[[#This Row],[CONCAT1]]&amp;NOTA[[#This Row],[HARGA/ CTN_H]]&amp;NOTA[[#This Row],[DISC 1]]&amp;NOTA[[#This Row],[DISC 2]])</f>
        <v>enter30cm6751750000</v>
      </c>
      <c r="AN85" s="184">
        <f>IF(NOTA[[#This Row],[CONCAT1]]="","",MATCH(NOTA[[#This Row],[CONCAT1]],[1]!db[NB NOTA_C],0)+1)</f>
        <v>652</v>
      </c>
    </row>
    <row r="86" spans="1:40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Row],[CEK_EXP]]&lt;D85,"err","")</f>
        <v/>
      </c>
      <c r="D86" s="29">
        <f>IF(NOTA[[#This Row],[TANGGAL]]="",D85,NOTA[[#This Row],[TANGGAL]])</f>
        <v>44932</v>
      </c>
      <c r="E86" s="29">
        <f ca="1">IF(NOTA[[#This Row],[NAMA BARANG]]="","",INDEX(NOTA[ID],MATCH(,INDIRECT(ADDRESS(ROW(NOTA[ID]),COLUMN(NOTA[ID]))&amp;":"&amp;ADDRESS(ROW(),COLUMN(NOTA[ID]))),-1)))</f>
        <v>18</v>
      </c>
      <c r="F86" s="180"/>
      <c r="G86" s="26"/>
      <c r="H86" s="26"/>
      <c r="I86" s="31"/>
      <c r="J86" s="26"/>
      <c r="K86" s="51"/>
      <c r="L86" s="26"/>
      <c r="M86" s="26" t="s">
        <v>146</v>
      </c>
      <c r="N86" s="39">
        <v>3</v>
      </c>
      <c r="O86" s="26">
        <v>180</v>
      </c>
      <c r="P86" s="26" t="s">
        <v>90</v>
      </c>
      <c r="Q86" s="49">
        <v>17500</v>
      </c>
      <c r="R86" s="52"/>
      <c r="S86" s="39" t="s">
        <v>91</v>
      </c>
      <c r="T86" s="53"/>
      <c r="U86" s="53"/>
      <c r="V86" s="54"/>
      <c r="W86" s="37"/>
      <c r="X86" s="36">
        <f>IF(NOTA[[#This Row],[HARGA/ CTN]]="",NOTA[[#This Row],[JUMLAH_H]],NOTA[[#This Row],[HARGA/ CTN]]*IF(NOTA[[#This Row],[C]]="",0,NOTA[[#This Row],[C]]))</f>
        <v>3150000</v>
      </c>
      <c r="Y86" s="36">
        <f>IF(NOTA[[#This Row],[JUMLAH]]="","",NOTA[[#This Row],[JUMLAH]]*NOTA[[#This Row],[DISC 1]])</f>
        <v>0</v>
      </c>
      <c r="Z86" s="36">
        <f>IF(NOTA[[#This Row],[JUMLAH]]="","",(NOTA[[#This Row],[JUMLAH]]-NOTA[[#This Row],[DISC 1-]])*NOTA[[#This Row],[DISC 2]])</f>
        <v>0</v>
      </c>
      <c r="AA86" s="36">
        <f>IF(NOTA[[#This Row],[JUMLAH]]="","",NOTA[[#This Row],[DISC 1-]]+NOTA[[#This Row],[DISC 2-]])</f>
        <v>0</v>
      </c>
      <c r="AB86" s="36">
        <f>IF(NOTA[[#This Row],[JUMLAH]]="","",NOTA[[#This Row],[JUMLAH]]-NOTA[[#This Row],[DISC]])</f>
        <v>3150000</v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28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86" s="36">
        <f>IF(OR(NOTA[[#This Row],[QTY]]="",NOTA[[#This Row],[HARGA SATUAN]]="",),"",NOTA[[#This Row],[QTY]]*NOTA[[#This Row],[HARGA SATUAN]])</f>
        <v>3150000</v>
      </c>
      <c r="AG86" s="33">
        <f ca="1">IF(NOTA[ID_H]="","",INDEX(NOTA[TANGGAL],MATCH(,INDIRECT(ADDRESS(ROW(NOTA[TANGGAL]),COLUMN(NOTA[TANGGAL]))&amp;":"&amp;ADDRESS(ROW(),COLUMN(NOTA[TANGGAL]))),-1)))</f>
        <v>44932</v>
      </c>
      <c r="AH86" s="28" t="str">
        <f ca="1">IF(NOTA[[#This Row],[NAMA BARANG]]="","",INDEX(NOTA[SUPPLIER],MATCH(,INDIRECT(ADDRESS(ROW(NOTA[ID]),COLUMN(NOTA[ID]))&amp;":"&amp;ADDRESS(ROW(),COLUMN(NOTA[ID]))),-1)))</f>
        <v>ETJ</v>
      </c>
      <c r="AI86" s="28" t="str">
        <f ca="1">IF(NOTA[[#This Row],[ID_H]]="","",IF(NOTA[[#This Row],[FAKTUR]]="",INDIRECT(ADDRESS(ROW()-1,COLUMN())),NOTA[[#This Row],[FAKTUR]]))</f>
        <v>UNTANA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1</v>
      </c>
      <c r="AL86" s="38" t="str">
        <f>LOWER(SUBSTITUTE(SUBSTITUTE(SUBSTITUTE(SUBSTITUTE(SUBSTITUTE(SUBSTITUTE(SUBSTITUTE(SUBSTITUTE(SUBSTITUTE(NOTA[NAMA BARANG]," ",),".",""),"-",""),"(",""),")",""),",",""),"/",""),"""",""),"+",""))</f>
        <v>enterwbk802</v>
      </c>
      <c r="AM86" s="38" t="str">
        <f>IF(NOTA[C]="",NOTA[[#This Row],[CONCAT1]]&amp;NOTA[[#This Row],[HARGA SATUAN]],NOTA[[#This Row],[CONCAT1]]&amp;NOTA[[#This Row],[HARGA/ CTN_H]]&amp;NOTA[[#This Row],[DISC 1]]&amp;NOTA[[#This Row],[DISC 2]])</f>
        <v>enterwbk8021050000</v>
      </c>
      <c r="AN86" s="184">
        <f>IF(NOTA[[#This Row],[CONCAT1]]="","",MATCH(NOTA[[#This Row],[CONCAT1]],[1]!db[NB NOTA_C],0)+1)</f>
        <v>674</v>
      </c>
    </row>
    <row r="87" spans="1:40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Row],[CEK_EXP]]&lt;D86,"err","")</f>
        <v/>
      </c>
      <c r="D87" s="29">
        <f>IF(NOTA[[#This Row],[TANGGAL]]="",D86,NOTA[[#This Row],[TANGGAL]])</f>
        <v>44932</v>
      </c>
      <c r="E87" s="29">
        <f ca="1">IF(NOTA[[#This Row],[NAMA BARANG]]="","",INDEX(NOTA[ID],MATCH(,INDIRECT(ADDRESS(ROW(NOTA[ID]),COLUMN(NOTA[ID]))&amp;":"&amp;ADDRESS(ROW(),COLUMN(NOTA[ID]))),-1)))</f>
        <v>18</v>
      </c>
      <c r="F87" s="181"/>
      <c r="G87" s="26"/>
      <c r="H87" s="26"/>
      <c r="I87" s="31"/>
      <c r="J87" s="32"/>
      <c r="K87" s="33"/>
      <c r="L87" s="32"/>
      <c r="M87" s="26" t="s">
        <v>181</v>
      </c>
      <c r="N87" s="34">
        <v>3</v>
      </c>
      <c r="O87" s="32">
        <v>144</v>
      </c>
      <c r="P87" s="26" t="s">
        <v>90</v>
      </c>
      <c r="Q87" s="28">
        <v>27500</v>
      </c>
      <c r="R87" s="46"/>
      <c r="S87" s="39" t="s">
        <v>105</v>
      </c>
      <c r="T87" s="35"/>
      <c r="U87" s="35"/>
      <c r="V87" s="36"/>
      <c r="W87" s="37"/>
      <c r="X87" s="36">
        <f>IF(NOTA[[#This Row],[HARGA/ CTN]]="",NOTA[[#This Row],[JUMLAH_H]],NOTA[[#This Row],[HARGA/ CTN]]*IF(NOTA[[#This Row],[C]]="",0,NOTA[[#This Row],[C]]))</f>
        <v>3960000</v>
      </c>
      <c r="Y87" s="36">
        <f>IF(NOTA[[#This Row],[JUMLAH]]="","",NOTA[[#This Row],[JUMLAH]]*NOTA[[#This Row],[DISC 1]])</f>
        <v>0</v>
      </c>
      <c r="Z87" s="36">
        <f>IF(NOTA[[#This Row],[JUMLAH]]="","",(NOTA[[#This Row],[JUMLAH]]-NOTA[[#This Row],[DISC 1-]])*NOTA[[#This Row],[DISC 2]])</f>
        <v>0</v>
      </c>
      <c r="AA87" s="36">
        <f>IF(NOTA[[#This Row],[JUMLAH]]="","",NOTA[[#This Row],[DISC 1-]]+NOTA[[#This Row],[DISC 2-]])</f>
        <v>0</v>
      </c>
      <c r="AB87" s="36">
        <f>IF(NOTA[[#This Row],[JUMLAH]]="","",NOTA[[#This Row],[JUMLAH]]-NOTA[[#This Row],[DISC]])</f>
        <v>3960000</v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28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7" s="36">
        <f>IF(OR(NOTA[[#This Row],[QTY]]="",NOTA[[#This Row],[HARGA SATUAN]]="",),"",NOTA[[#This Row],[QTY]]*NOTA[[#This Row],[HARGA SATUAN]])</f>
        <v>3960000</v>
      </c>
      <c r="AG87" s="33">
        <f ca="1">IF(NOTA[ID_H]="","",INDEX(NOTA[TANGGAL],MATCH(,INDIRECT(ADDRESS(ROW(NOTA[TANGGAL]),COLUMN(NOTA[TANGGAL]))&amp;":"&amp;ADDRESS(ROW(),COLUMN(NOTA[TANGGAL]))),-1)))</f>
        <v>44932</v>
      </c>
      <c r="AH87" s="28" t="str">
        <f ca="1">IF(NOTA[[#This Row],[NAMA BARANG]]="","",INDEX(NOTA[SUPPLIER],MATCH(,INDIRECT(ADDRESS(ROW(NOTA[ID]),COLUMN(NOTA[ID]))&amp;":"&amp;ADDRESS(ROW(),COLUMN(NOTA[ID]))),-1)))</f>
        <v>ETJ</v>
      </c>
      <c r="AI87" s="28" t="str">
        <f ca="1">IF(NOTA[[#This Row],[ID_H]]="","",IF(NOTA[[#This Row],[FAKTUR]]="",INDIRECT(ADDRESS(ROW()-1,COLUMN())),NOTA[[#This Row],[FAKTUR]]))</f>
        <v>UNTANA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1</v>
      </c>
      <c r="AL87" s="38" t="str">
        <f>LOWER(SUBSTITUTE(SUBSTITUTE(SUBSTITUTE(SUBSTITUTE(SUBSTITUTE(SUBSTITUTE(SUBSTITUTE(SUBSTITUTE(SUBSTITUTE(NOTA[NAMA BARANG]," ",),".",""),"-",""),"(",""),")",""),",",""),"/",""),"""",""),"+",""))</f>
        <v>enterwbb803</v>
      </c>
      <c r="AM87" s="38" t="str">
        <f>IF(NOTA[C]="",NOTA[[#This Row],[CONCAT1]]&amp;NOTA[[#This Row],[HARGA SATUAN]],NOTA[[#This Row],[CONCAT1]]&amp;NOTA[[#This Row],[HARGA/ CTN_H]]&amp;NOTA[[#This Row],[DISC 1]]&amp;NOTA[[#This Row],[DISC 2]])</f>
        <v>enterwbb8031320000</v>
      </c>
      <c r="AN87" s="184">
        <f>IF(NOTA[[#This Row],[CONCAT1]]="","",MATCH(NOTA[[#This Row],[CONCAT1]],[1]!db[NB NOTA_C],0)+1)</f>
        <v>673</v>
      </c>
    </row>
    <row r="88" spans="1:40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Row],[CEK_EXP]]&lt;D87,"err","")</f>
        <v/>
      </c>
      <c r="D88" s="29">
        <f>IF(NOTA[[#This Row],[TANGGAL]]="",D87,NOTA[[#This Row],[TANGGAL]])</f>
        <v>44932</v>
      </c>
      <c r="E88" s="29">
        <f ca="1">IF(NOTA[[#This Row],[NAMA BARANG]]="","",INDEX(NOTA[ID],MATCH(,INDIRECT(ADDRESS(ROW(NOTA[ID]),COLUMN(NOTA[ID]))&amp;":"&amp;ADDRESS(ROW(),COLUMN(NOTA[ID]))),-1)))</f>
        <v>18</v>
      </c>
      <c r="F88" s="181"/>
      <c r="G88" s="32"/>
      <c r="H88" s="32"/>
      <c r="I88" s="55"/>
      <c r="J88" s="32"/>
      <c r="K88" s="33"/>
      <c r="L88" s="32"/>
      <c r="M88" s="26" t="s">
        <v>249</v>
      </c>
      <c r="N88" s="34">
        <v>2</v>
      </c>
      <c r="O88" s="32">
        <v>16</v>
      </c>
      <c r="P88" s="26" t="s">
        <v>90</v>
      </c>
      <c r="Q88" s="28">
        <v>120000</v>
      </c>
      <c r="R88" s="46"/>
      <c r="S88" s="39" t="s">
        <v>182</v>
      </c>
      <c r="T88" s="35"/>
      <c r="U88" s="35"/>
      <c r="V88" s="36"/>
      <c r="W88" s="37" t="s">
        <v>96</v>
      </c>
      <c r="X88" s="36">
        <f>IF(NOTA[[#This Row],[HARGA/ CTN]]="",NOTA[[#This Row],[JUMLAH_H]],NOTA[[#This Row],[HARGA/ CTN]]*IF(NOTA[[#This Row],[C]]="",0,NOTA[[#This Row],[C]]))</f>
        <v>1920000</v>
      </c>
      <c r="Y88" s="36">
        <f>IF(NOTA[[#This Row],[JUMLAH]]="","",NOTA[[#This Row],[JUMLAH]]*NOTA[[#This Row],[DISC 1]])</f>
        <v>0</v>
      </c>
      <c r="Z88" s="36">
        <f>IF(NOTA[[#This Row],[JUMLAH]]="","",(NOTA[[#This Row],[JUMLAH]]-NOTA[[#This Row],[DISC 1-]])*NOTA[[#This Row],[DISC 2]])</f>
        <v>0</v>
      </c>
      <c r="AA88" s="36">
        <f>IF(NOTA[[#This Row],[JUMLAH]]="","",NOTA[[#This Row],[DISC 1-]]+NOTA[[#This Row],[DISC 2-]])</f>
        <v>0</v>
      </c>
      <c r="AB88" s="36">
        <f>IF(NOTA[[#This Row],[JUMLAH]]="","",NOTA[[#This Row],[JUMLAH]]-NOTA[[#This Row],[DISC]])</f>
        <v>1920000</v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88" s="36">
        <f>IF(OR(NOTA[[#This Row],[QTY]]="",NOTA[[#This Row],[HARGA SATUAN]]="",),"",NOTA[[#This Row],[QTY]]*NOTA[[#This Row],[HARGA SATUAN]])</f>
        <v>1920000</v>
      </c>
      <c r="AG88" s="33">
        <f ca="1">IF(NOTA[ID_H]="","",INDEX(NOTA[TANGGAL],MATCH(,INDIRECT(ADDRESS(ROW(NOTA[TANGGAL]),COLUMN(NOTA[TANGGAL]))&amp;":"&amp;ADDRESS(ROW(),COLUMN(NOTA[TANGGAL]))),-1)))</f>
        <v>44932</v>
      </c>
      <c r="AH88" s="28" t="str">
        <f ca="1">IF(NOTA[[#This Row],[NAMA BARANG]]="","",INDEX(NOTA[SUPPLIER],MATCH(,INDIRECT(ADDRESS(ROW(NOTA[ID]),COLUMN(NOTA[ID]))&amp;":"&amp;ADDRESS(ROW(),COLUMN(NOTA[ID]))),-1)))</f>
        <v>ETJ</v>
      </c>
      <c r="AI88" s="28" t="str">
        <f ca="1">IF(NOTA[[#This Row],[ID_H]]="","",IF(NOTA[[#This Row],[FAKTUR]]="",INDIRECT(ADDRESS(ROW()-1,COLUMN())),NOTA[[#This Row],[FAKTUR]]))</f>
        <v>UNTANA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1</v>
      </c>
      <c r="AL88" s="38" t="str">
        <f>LOWER(SUBSTITUTE(SUBSTITUTE(SUBSTITUTE(SUBSTITUTE(SUBSTITUTE(SUBSTITUTE(SUBSTITUTE(SUBSTITUTE(SUBSTITUTE(NOTA[NAMA BARANG]," ",),".",""),"-",""),"(",""),")",""),",",""),"/",""),"""",""),"+",""))</f>
        <v>enterboxfilebentuk</v>
      </c>
      <c r="AM88" s="38" t="str">
        <f>IF(NOTA[C]="",NOTA[[#This Row],[CONCAT1]]&amp;NOTA[[#This Row],[HARGA SATUAN]],NOTA[[#This Row],[CONCAT1]]&amp;NOTA[[#This Row],[HARGA/ CTN_H]]&amp;NOTA[[#This Row],[DISC 1]]&amp;NOTA[[#This Row],[DISC 2]])</f>
        <v>enterboxfilebentuk960000</v>
      </c>
      <c r="AN88" s="184">
        <f>IF(NOTA[[#This Row],[CONCAT1]]="","",MATCH(NOTA[[#This Row],[CONCAT1]],[1]!db[NB NOTA_C],0)+1)</f>
        <v>656</v>
      </c>
    </row>
    <row r="89" spans="1:40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Row],[CEK_EXP]]&lt;D88,"err","")</f>
        <v/>
      </c>
      <c r="D89" s="29">
        <f>IF(NOTA[[#This Row],[TANGGAL]]="",D88,NOTA[[#This Row],[TANGGAL]])</f>
        <v>44932</v>
      </c>
      <c r="E89" s="29">
        <f ca="1">IF(NOTA[[#This Row],[NAMA BARANG]]="","",INDEX(NOTA[ID],MATCH(,INDIRECT(ADDRESS(ROW(NOTA[ID]),COLUMN(NOTA[ID]))&amp;":"&amp;ADDRESS(ROW(),COLUMN(NOTA[ID]))),-1)))</f>
        <v>18</v>
      </c>
      <c r="F89" s="181"/>
      <c r="G89" s="32"/>
      <c r="H89" s="32"/>
      <c r="I89" s="55"/>
      <c r="J89" s="32"/>
      <c r="K89" s="33"/>
      <c r="L89" s="32"/>
      <c r="M89" s="26" t="s">
        <v>183</v>
      </c>
      <c r="N89" s="34">
        <v>5</v>
      </c>
      <c r="O89" s="32">
        <v>300</v>
      </c>
      <c r="P89" s="26" t="s">
        <v>104</v>
      </c>
      <c r="Q89" s="28">
        <v>12000</v>
      </c>
      <c r="R89" s="46"/>
      <c r="S89" s="39" t="s">
        <v>185</v>
      </c>
      <c r="T89" s="35"/>
      <c r="U89" s="35"/>
      <c r="V89" s="36"/>
      <c r="W89" s="37" t="s">
        <v>184</v>
      </c>
      <c r="X89" s="36">
        <f>IF(NOTA[[#This Row],[HARGA/ CTN]]="",NOTA[[#This Row],[JUMLAH_H]],NOTA[[#This Row],[HARGA/ CTN]]*IF(NOTA[[#This Row],[C]]="",0,NOTA[[#This Row],[C]]))</f>
        <v>3600000</v>
      </c>
      <c r="Y89" s="36">
        <f>IF(NOTA[[#This Row],[JUMLAH]]="","",NOTA[[#This Row],[JUMLAH]]*NOTA[[#This Row],[DISC 1]])</f>
        <v>0</v>
      </c>
      <c r="Z89" s="36">
        <f>IF(NOTA[[#This Row],[JUMLAH]]="","",(NOTA[[#This Row],[JUMLAH]]-NOTA[[#This Row],[DISC 1-]])*NOTA[[#This Row],[DISC 2]])</f>
        <v>0</v>
      </c>
      <c r="AA89" s="36">
        <f>IF(NOTA[[#This Row],[JUMLAH]]="","",NOTA[[#This Row],[DISC 1-]]+NOTA[[#This Row],[DISC 2-]])</f>
        <v>0</v>
      </c>
      <c r="AB89" s="36">
        <f>IF(NOTA[[#This Row],[JUMLAH]]="","",NOTA[[#This Row],[JUMLAH]]-NOTA[[#This Row],[DISC]])</f>
        <v>3600000</v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89" s="36">
        <f>IF(OR(NOTA[[#This Row],[QTY]]="",NOTA[[#This Row],[HARGA SATUAN]]="",),"",NOTA[[#This Row],[QTY]]*NOTA[[#This Row],[HARGA SATUAN]])</f>
        <v>3600000</v>
      </c>
      <c r="AG89" s="33">
        <f ca="1">IF(NOTA[ID_H]="","",INDEX(NOTA[TANGGAL],MATCH(,INDIRECT(ADDRESS(ROW(NOTA[TANGGAL]),COLUMN(NOTA[TANGGAL]))&amp;":"&amp;ADDRESS(ROW(),COLUMN(NOTA[TANGGAL]))),-1)))</f>
        <v>44932</v>
      </c>
      <c r="AH89" s="28" t="str">
        <f ca="1">IF(NOTA[[#This Row],[NAMA BARANG]]="","",INDEX(NOTA[SUPPLIER],MATCH(,INDIRECT(ADDRESS(ROW(NOTA[ID]),COLUMN(NOTA[ID]))&amp;":"&amp;ADDRESS(ROW(),COLUMN(NOTA[ID]))),-1)))</f>
        <v>ETJ</v>
      </c>
      <c r="AI89" s="28" t="str">
        <f ca="1">IF(NOTA[[#This Row],[ID_H]]="","",IF(NOTA[[#This Row],[FAKTUR]]="",INDIRECT(ADDRESS(ROW()-1,COLUMN())),NOTA[[#This Row],[FAKTUR]]))</f>
        <v>UNTANA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1</v>
      </c>
      <c r="AL89" s="38" t="str">
        <f>LOWER(SUBSTITUTE(SUBSTITUTE(SUBSTITUTE(SUBSTITUTE(SUBSTITUTE(SUBSTITUTE(SUBSTITUTE(SUBSTITUTE(SUBSTITUTE(NOTA[NAMA BARANG]," ",),".",""),"-",""),"(",""),")",""),",",""),"/",""),"""",""),"+",""))</f>
        <v>enterboxfilekcgbf567</v>
      </c>
      <c r="AM89" s="38" t="str">
        <f>IF(NOTA[C]="",NOTA[[#This Row],[CONCAT1]]&amp;NOTA[[#This Row],[HARGA SATUAN]],NOTA[[#This Row],[CONCAT1]]&amp;NOTA[[#This Row],[HARGA/ CTN_H]]&amp;NOTA[[#This Row],[DISC 1]]&amp;NOTA[[#This Row],[DISC 2]])</f>
        <v>enterboxfilekcgbf567720000</v>
      </c>
      <c r="AN89" s="184">
        <f>IF(NOTA[[#This Row],[CONCAT1]]="","",MATCH(NOTA[[#This Row],[CONCAT1]],[1]!db[NB NOTA_C],0)+1)</f>
        <v>657</v>
      </c>
    </row>
    <row r="90" spans="1:40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Row],[CEK_EXP]]&lt;D89,"err","")</f>
        <v/>
      </c>
      <c r="D90" s="29">
        <f>IF(NOTA[[#This Row],[TANGGAL]]="",D89,NOTA[[#This Row],[TANGGAL]])</f>
        <v>44932</v>
      </c>
      <c r="E90" s="29">
        <f ca="1">IF(NOTA[[#This Row],[NAMA BARANG]]="","",INDEX(NOTA[ID],MATCH(,INDIRECT(ADDRESS(ROW(NOTA[ID]),COLUMN(NOTA[ID]))&amp;":"&amp;ADDRESS(ROW(),COLUMN(NOTA[ID]))),-1)))</f>
        <v>18</v>
      </c>
      <c r="F90" s="181"/>
      <c r="G90" s="32"/>
      <c r="H90" s="32"/>
      <c r="I90" s="55"/>
      <c r="J90" s="32"/>
      <c r="K90" s="33"/>
      <c r="L90" s="32"/>
      <c r="M90" s="26" t="s">
        <v>186</v>
      </c>
      <c r="N90" s="34">
        <v>2</v>
      </c>
      <c r="O90" s="32">
        <v>7200</v>
      </c>
      <c r="P90" s="26" t="s">
        <v>104</v>
      </c>
      <c r="Q90" s="28">
        <v>550</v>
      </c>
      <c r="R90" s="46"/>
      <c r="S90" s="39" t="s">
        <v>187</v>
      </c>
      <c r="T90" s="35"/>
      <c r="U90" s="35"/>
      <c r="V90" s="36"/>
      <c r="W90" s="37"/>
      <c r="X90" s="36">
        <f>IF(NOTA[[#This Row],[HARGA/ CTN]]="",NOTA[[#This Row],[JUMLAH_H]],NOTA[[#This Row],[HARGA/ CTN]]*IF(NOTA[[#This Row],[C]]="",0,NOTA[[#This Row],[C]]))</f>
        <v>3960000</v>
      </c>
      <c r="Y90" s="36">
        <f>IF(NOTA[[#This Row],[JUMLAH]]="","",NOTA[[#This Row],[JUMLAH]]*NOTA[[#This Row],[DISC 1]])</f>
        <v>0</v>
      </c>
      <c r="Z90" s="36">
        <f>IF(NOTA[[#This Row],[JUMLAH]]="","",(NOTA[[#This Row],[JUMLAH]]-NOTA[[#This Row],[DISC 1-]])*NOTA[[#This Row],[DISC 2]])</f>
        <v>0</v>
      </c>
      <c r="AA90" s="36">
        <f>IF(NOTA[[#This Row],[JUMLAH]]="","",NOTA[[#This Row],[DISC 1-]]+NOTA[[#This Row],[DISC 2-]])</f>
        <v>0</v>
      </c>
      <c r="AB90" s="36">
        <f>IF(NOTA[[#This Row],[JUMLAH]]="","",NOTA[[#This Row],[JUMLAH]]-NOTA[[#This Row],[DISC]])</f>
        <v>3960000</v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90" s="36">
        <f>IF(OR(NOTA[[#This Row],[QTY]]="",NOTA[[#This Row],[HARGA SATUAN]]="",),"",NOTA[[#This Row],[QTY]]*NOTA[[#This Row],[HARGA SATUAN]])</f>
        <v>3960000</v>
      </c>
      <c r="AG90" s="33">
        <f ca="1">IF(NOTA[ID_H]="","",INDEX(NOTA[TANGGAL],MATCH(,INDIRECT(ADDRESS(ROW(NOTA[TANGGAL]),COLUMN(NOTA[TANGGAL]))&amp;":"&amp;ADDRESS(ROW(),COLUMN(NOTA[TANGGAL]))),-1)))</f>
        <v>44932</v>
      </c>
      <c r="AH90" s="28" t="str">
        <f ca="1">IF(NOTA[[#This Row],[NAMA BARANG]]="","",INDEX(NOTA[SUPPLIER],MATCH(,INDIRECT(ADDRESS(ROW(NOTA[ID]),COLUMN(NOTA[ID]))&amp;":"&amp;ADDRESS(ROW(),COLUMN(NOTA[ID]))),-1)))</f>
        <v>ETJ</v>
      </c>
      <c r="AI90" s="28" t="str">
        <f ca="1">IF(NOTA[[#This Row],[ID_H]]="","",IF(NOTA[[#This Row],[FAKTUR]]="",INDIRECT(ADDRESS(ROW()-1,COLUMN())),NOTA[[#This Row],[FAKTUR]]))</f>
        <v>UNTANA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1</v>
      </c>
      <c r="AL90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M90" s="38" t="str">
        <f>IF(NOTA[C]="",NOTA[[#This Row],[CONCAT1]]&amp;NOTA[[#This Row],[HARGA SATUAN]],NOTA[[#This Row],[CONCAT1]]&amp;NOTA[[#This Row],[HARGA/ CTN_H]]&amp;NOTA[[#This Row],[DISC 1]]&amp;NOTA[[#This Row],[DISC 2]])</f>
        <v>enterbktabungan1980000</v>
      </c>
      <c r="AN90" s="184">
        <f>IF(NOTA[[#This Row],[CONCAT1]]="","",MATCH(NOTA[[#This Row],[CONCAT1]],[1]!db[NB NOTA_C],0)+1)</f>
        <v>655</v>
      </c>
    </row>
    <row r="91" spans="1:40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Row],[CEK_EXP]]&lt;D90,"err","")</f>
        <v/>
      </c>
      <c r="D91" s="29">
        <f>IF(NOTA[[#This Row],[TANGGAL]]="",D90,NOTA[[#This Row],[TANGGAL]])</f>
        <v>44932</v>
      </c>
      <c r="E91" s="29">
        <f ca="1">IF(NOTA[[#This Row],[NAMA BARANG]]="","",INDEX(NOTA[ID],MATCH(,INDIRECT(ADDRESS(ROW(NOTA[ID]),COLUMN(NOTA[ID]))&amp;":"&amp;ADDRESS(ROW(),COLUMN(NOTA[ID]))),-1)))</f>
        <v>18</v>
      </c>
      <c r="F91" s="181"/>
      <c r="G91" s="32"/>
      <c r="H91" s="32"/>
      <c r="I91" s="55"/>
      <c r="J91" s="32"/>
      <c r="K91" s="33"/>
      <c r="L91" s="32"/>
      <c r="M91" s="26" t="s">
        <v>190</v>
      </c>
      <c r="N91" s="34">
        <v>1</v>
      </c>
      <c r="O91" s="32">
        <v>120</v>
      </c>
      <c r="P91" s="26" t="s">
        <v>90</v>
      </c>
      <c r="Q91" s="28">
        <v>7500</v>
      </c>
      <c r="R91" s="46"/>
      <c r="S91" s="39" t="s">
        <v>188</v>
      </c>
      <c r="T91" s="35"/>
      <c r="U91" s="35"/>
      <c r="V91" s="36"/>
      <c r="W91" s="37"/>
      <c r="X91" s="36">
        <f>IF(NOTA[[#This Row],[HARGA/ CTN]]="",NOTA[[#This Row],[JUMLAH_H]],NOTA[[#This Row],[HARGA/ CTN]]*IF(NOTA[[#This Row],[C]]="",0,NOTA[[#This Row],[C]]))</f>
        <v>900000</v>
      </c>
      <c r="Y91" s="36">
        <f>IF(NOTA[[#This Row],[JUMLAH]]="","",NOTA[[#This Row],[JUMLAH]]*NOTA[[#This Row],[DISC 1]])</f>
        <v>0</v>
      </c>
      <c r="Z91" s="36">
        <f>IF(NOTA[[#This Row],[JUMLAH]]="","",(NOTA[[#This Row],[JUMLAH]]-NOTA[[#This Row],[DISC 1-]])*NOTA[[#This Row],[DISC 2]])</f>
        <v>0</v>
      </c>
      <c r="AA91" s="36">
        <f>IF(NOTA[[#This Row],[JUMLAH]]="","",NOTA[[#This Row],[DISC 1-]]+NOTA[[#This Row],[DISC 2-]])</f>
        <v>0</v>
      </c>
      <c r="AB91" s="36">
        <f>IF(NOTA[[#This Row],[JUMLAH]]="","",NOTA[[#This Row],[JUMLAH]]-NOTA[[#This Row],[DISC]])</f>
        <v>900000</v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91" s="36">
        <f>IF(OR(NOTA[[#This Row],[QTY]]="",NOTA[[#This Row],[HARGA SATUAN]]="",),"",NOTA[[#This Row],[QTY]]*NOTA[[#This Row],[HARGA SATUAN]])</f>
        <v>900000</v>
      </c>
      <c r="AG91" s="33">
        <f ca="1">IF(NOTA[ID_H]="","",INDEX(NOTA[TANGGAL],MATCH(,INDIRECT(ADDRESS(ROW(NOTA[TANGGAL]),COLUMN(NOTA[TANGGAL]))&amp;":"&amp;ADDRESS(ROW(),COLUMN(NOTA[TANGGAL]))),-1)))</f>
        <v>44932</v>
      </c>
      <c r="AH91" s="28" t="str">
        <f ca="1">IF(NOTA[[#This Row],[NAMA BARANG]]="","",INDEX(NOTA[SUPPLIER],MATCH(,INDIRECT(ADDRESS(ROW(NOTA[ID]),COLUMN(NOTA[ID]))&amp;":"&amp;ADDRESS(ROW(),COLUMN(NOTA[ID]))),-1)))</f>
        <v>ETJ</v>
      </c>
      <c r="AI91" s="28" t="str">
        <f ca="1">IF(NOTA[[#This Row],[ID_H]]="","",IF(NOTA[[#This Row],[FAKTUR]]="",INDIRECT(ADDRESS(ROW()-1,COLUMN())),NOTA[[#This Row],[FAKTUR]]))</f>
        <v>UNTANA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1</v>
      </c>
      <c r="AL91" s="38" t="str">
        <f>LOWER(SUBSTITUTE(SUBSTITUTE(SUBSTITUTE(SUBSTITUTE(SUBSTITUTE(SUBSTITUTE(SUBSTITUTE(SUBSTITUTE(SUBSTITUTE(NOTA[NAMA BARANG]," ",),".",""),"-",""),"(",""),")",""),",",""),"/",""),"""",""),"+",""))</f>
        <v>palletdopsakura201</v>
      </c>
      <c r="AM91" s="38" t="str">
        <f>IF(NOTA[C]="",NOTA[[#This Row],[CONCAT1]]&amp;NOTA[[#This Row],[HARGA SATUAN]],NOTA[[#This Row],[CONCAT1]]&amp;NOTA[[#This Row],[HARGA/ CTN_H]]&amp;NOTA[[#This Row],[DISC 1]]&amp;NOTA[[#This Row],[DISC 2]])</f>
        <v>palletdopsakura201900000</v>
      </c>
      <c r="AN91" s="184">
        <f>IF(NOTA[[#This Row],[CONCAT1]]="","",MATCH(NOTA[[#This Row],[CONCAT1]],[1]!db[NB NOTA_C],0)+1)</f>
        <v>1619</v>
      </c>
    </row>
    <row r="92" spans="1:40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Row],[CEK_EXP]]&lt;D91,"err","")</f>
        <v/>
      </c>
      <c r="D92" s="29">
        <f>IF(NOTA[[#This Row],[TANGGAL]]="",D91,NOTA[[#This Row],[TANGGAL]])</f>
        <v>44932</v>
      </c>
      <c r="E92" s="29">
        <f ca="1">IF(NOTA[[#This Row],[NAMA BARANG]]="","",INDEX(NOTA[ID],MATCH(,INDIRECT(ADDRESS(ROW(NOTA[ID]),COLUMN(NOTA[ID]))&amp;":"&amp;ADDRESS(ROW(),COLUMN(NOTA[ID]))),-1)))</f>
        <v>18</v>
      </c>
      <c r="F92" s="181"/>
      <c r="G92" s="32"/>
      <c r="H92" s="32"/>
      <c r="I92" s="55"/>
      <c r="J92" s="32"/>
      <c r="K92" s="33"/>
      <c r="L92" s="32"/>
      <c r="M92" s="26" t="s">
        <v>189</v>
      </c>
      <c r="N92" s="34">
        <v>1</v>
      </c>
      <c r="O92" s="32">
        <v>120</v>
      </c>
      <c r="P92" s="26" t="s">
        <v>90</v>
      </c>
      <c r="Q92" s="28">
        <v>7500</v>
      </c>
      <c r="R92" s="46"/>
      <c r="S92" s="39" t="s">
        <v>188</v>
      </c>
      <c r="T92" s="35"/>
      <c r="U92" s="35"/>
      <c r="V92" s="36"/>
      <c r="W92" s="37"/>
      <c r="X92" s="36">
        <f>IF(NOTA[[#This Row],[HARGA/ CTN]]="",NOTA[[#This Row],[JUMLAH_H]],NOTA[[#This Row],[HARGA/ CTN]]*IF(NOTA[[#This Row],[C]]="",0,NOTA[[#This Row],[C]]))</f>
        <v>900000</v>
      </c>
      <c r="Y92" s="36">
        <f>IF(NOTA[[#This Row],[JUMLAH]]="","",NOTA[[#This Row],[JUMLAH]]*NOTA[[#This Row],[DISC 1]])</f>
        <v>0</v>
      </c>
      <c r="Z92" s="36">
        <f>IF(NOTA[[#This Row],[JUMLAH]]="","",(NOTA[[#This Row],[JUMLAH]]-NOTA[[#This Row],[DISC 1-]])*NOTA[[#This Row],[DISC 2]])</f>
        <v>0</v>
      </c>
      <c r="AA92" s="36">
        <f>IF(NOTA[[#This Row],[JUMLAH]]="","",NOTA[[#This Row],[DISC 1-]]+NOTA[[#This Row],[DISC 2-]])</f>
        <v>0</v>
      </c>
      <c r="AB92" s="36">
        <f>IF(NOTA[[#This Row],[JUMLAH]]="","",NOTA[[#This Row],[JUMLAH]]-NOTA[[#This Row],[DISC]])</f>
        <v>900000</v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92" s="36">
        <f>IF(OR(NOTA[[#This Row],[QTY]]="",NOTA[[#This Row],[HARGA SATUAN]]="",),"",NOTA[[#This Row],[QTY]]*NOTA[[#This Row],[HARGA SATUAN]])</f>
        <v>900000</v>
      </c>
      <c r="AG92" s="33">
        <f ca="1">IF(NOTA[ID_H]="","",INDEX(NOTA[TANGGAL],MATCH(,INDIRECT(ADDRESS(ROW(NOTA[TANGGAL]),COLUMN(NOTA[TANGGAL]))&amp;":"&amp;ADDRESS(ROW(),COLUMN(NOTA[TANGGAL]))),-1)))</f>
        <v>44932</v>
      </c>
      <c r="AH92" s="28" t="str">
        <f ca="1">IF(NOTA[[#This Row],[NAMA BARANG]]="","",INDEX(NOTA[SUPPLIER],MATCH(,INDIRECT(ADDRESS(ROW(NOTA[ID]),COLUMN(NOTA[ID]))&amp;":"&amp;ADDRESS(ROW(),COLUMN(NOTA[ID]))),-1)))</f>
        <v>ETJ</v>
      </c>
      <c r="AI92" s="28" t="str">
        <f ca="1">IF(NOTA[[#This Row],[ID_H]]="","",IF(NOTA[[#This Row],[FAKTUR]]="",INDIRECT(ADDRESS(ROW()-1,COLUMN())),NOTA[[#This Row],[FAKTUR]]))</f>
        <v>UNTANA</v>
      </c>
      <c r="AJ92" s="38" t="str">
        <f ca="1">IF(NOTA[[#This Row],[ID]]="","",COUNTIF(NOTA[ID_H],NOTA[[#This Row],[ID_H]]))</f>
        <v/>
      </c>
      <c r="AK92" s="38">
        <f ca="1">IF(NOTA[[#This Row],[TGL.NOTA]]="",IF(NOTA[[#This Row],[SUPPLIER_H]]="","",AK91),MONTH(NOTA[[#This Row],[TGL.NOTA]]))</f>
        <v>1</v>
      </c>
      <c r="AL92" s="38" t="str">
        <f>LOWER(SUBSTITUTE(SUBSTITUTE(SUBSTITUTE(SUBSTITUTE(SUBSTITUTE(SUBSTITUTE(SUBSTITUTE(SUBSTITUTE(SUBSTITUTE(NOTA[NAMA BARANG]," ",),".",""),"-",""),"(",""),")",""),",",""),"/",""),"""",""),"+",""))</f>
        <v>palletdopkepiting202</v>
      </c>
      <c r="AM92" s="38" t="str">
        <f>IF(NOTA[C]="",NOTA[[#This Row],[CONCAT1]]&amp;NOTA[[#This Row],[HARGA SATUAN]],NOTA[[#This Row],[CONCAT1]]&amp;NOTA[[#This Row],[HARGA/ CTN_H]]&amp;NOTA[[#This Row],[DISC 1]]&amp;NOTA[[#This Row],[DISC 2]])</f>
        <v>palletdopkepiting202900000</v>
      </c>
      <c r="AN92" s="184">
        <f>IF(NOTA[[#This Row],[CONCAT1]]="","",MATCH(NOTA[[#This Row],[CONCAT1]],[1]!db[NB NOTA_C],0)+1)</f>
        <v>1618</v>
      </c>
    </row>
    <row r="93" spans="1:40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Row],[CEK_EXP]]&lt;D92,"err","")</f>
        <v/>
      </c>
      <c r="D93" s="29">
        <f>IF(NOTA[[#This Row],[TANGGAL]]="",D92,NOTA[[#This Row],[TANGGAL]])</f>
        <v>44932</v>
      </c>
      <c r="E93" s="29">
        <f ca="1">IF(NOTA[[#This Row],[NAMA BARANG]]="","",INDEX(NOTA[ID],MATCH(,INDIRECT(ADDRESS(ROW(NOTA[ID]),COLUMN(NOTA[ID]))&amp;":"&amp;ADDRESS(ROW(),COLUMN(NOTA[ID]))),-1)))</f>
        <v>18</v>
      </c>
      <c r="F93" s="181"/>
      <c r="G93" s="26"/>
      <c r="H93" s="26"/>
      <c r="I93" s="31"/>
      <c r="J93" s="32"/>
      <c r="K93" s="33"/>
      <c r="L93" s="32"/>
      <c r="M93" s="26" t="s">
        <v>191</v>
      </c>
      <c r="N93" s="34">
        <v>1</v>
      </c>
      <c r="O93" s="32">
        <v>8</v>
      </c>
      <c r="P93" s="26" t="s">
        <v>90</v>
      </c>
      <c r="Q93" s="28">
        <v>115000</v>
      </c>
      <c r="R93" s="46"/>
      <c r="S93" s="39" t="s">
        <v>182</v>
      </c>
      <c r="T93" s="35"/>
      <c r="U93" s="35"/>
      <c r="V93" s="36"/>
      <c r="W93" s="37"/>
      <c r="X93" s="36">
        <f>IF(NOTA[[#This Row],[HARGA/ CTN]]="",NOTA[[#This Row],[JUMLAH_H]],NOTA[[#This Row],[HARGA/ CTN]]*IF(NOTA[[#This Row],[C]]="",0,NOTA[[#This Row],[C]]))</f>
        <v>920000</v>
      </c>
      <c r="Y93" s="36">
        <f>IF(NOTA[[#This Row],[JUMLAH]]="","",NOTA[[#This Row],[JUMLAH]]*NOTA[[#This Row],[DISC 1]])</f>
        <v>0</v>
      </c>
      <c r="Z93" s="36">
        <f>IF(NOTA[[#This Row],[JUMLAH]]="","",(NOTA[[#This Row],[JUMLAH]]-NOTA[[#This Row],[DISC 1-]])*NOTA[[#This Row],[DISC 2]])</f>
        <v>0</v>
      </c>
      <c r="AA93" s="36">
        <f>IF(NOTA[[#This Row],[JUMLAH]]="","",NOTA[[#This Row],[DISC 1-]]+NOTA[[#This Row],[DISC 2-]])</f>
        <v>0</v>
      </c>
      <c r="AB93" s="36">
        <f>IF(NOTA[[#This Row],[JUMLAH]]="","",NOTA[[#This Row],[JUMLAH]]-NOTA[[#This Row],[DISC]])</f>
        <v>920000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63060000</v>
      </c>
      <c r="AE93" s="28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93" s="36">
        <f>IF(OR(NOTA[[#This Row],[QTY]]="",NOTA[[#This Row],[HARGA SATUAN]]="",),"",NOTA[[#This Row],[QTY]]*NOTA[[#This Row],[HARGA SATUAN]])</f>
        <v>920000</v>
      </c>
      <c r="AG93" s="33">
        <f ca="1">IF(NOTA[ID_H]="","",INDEX(NOTA[TANGGAL],MATCH(,INDIRECT(ADDRESS(ROW(NOTA[TANGGAL]),COLUMN(NOTA[TANGGAL]))&amp;":"&amp;ADDRESS(ROW(),COLUMN(NOTA[TANGGAL]))),-1)))</f>
        <v>44932</v>
      </c>
      <c r="AH93" s="28" t="str">
        <f ca="1">IF(NOTA[[#This Row],[NAMA BARANG]]="","",INDEX(NOTA[SUPPLIER],MATCH(,INDIRECT(ADDRESS(ROW(NOTA[ID]),COLUMN(NOTA[ID]))&amp;":"&amp;ADDRESS(ROW(),COLUMN(NOTA[ID]))),-1)))</f>
        <v>ETJ</v>
      </c>
      <c r="AI93" s="28" t="str">
        <f ca="1">IF(NOTA[[#This Row],[ID_H]]="","",IF(NOTA[[#This Row],[FAKTUR]]="",INDIRECT(ADDRESS(ROW()-1,COLUMN())),NOTA[[#This Row],[FAKTUR]]))</f>
        <v>UNTANA</v>
      </c>
      <c r="AJ93" s="38" t="str">
        <f ca="1">IF(NOTA[[#This Row],[ID]]="","",COUNTIF(NOTA[ID_H],NOTA[[#This Row],[ID_H]]))</f>
        <v/>
      </c>
      <c r="AK93" s="38">
        <f ca="1">IF(NOTA[[#This Row],[TGL.NOTA]]="",IF(NOTA[[#This Row],[SUPPLIER_H]]="","",AK92),MONTH(NOTA[[#This Row],[TGL.NOTA]]))</f>
        <v>1</v>
      </c>
      <c r="AL93" s="3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93" s="38" t="str">
        <f>IF(NOTA[C]="",NOTA[[#This Row],[CONCAT1]]&amp;NOTA[[#This Row],[HARGA SATUAN]],NOTA[[#This Row],[CONCAT1]]&amp;NOTA[[#This Row],[HARGA/ CTN_H]]&amp;NOTA[[#This Row],[DISC 1]]&amp;NOTA[[#This Row],[DISC 2]])</f>
        <v>entercboard03antipecah920000</v>
      </c>
      <c r="AN93" s="184">
        <f>IF(NOTA[[#This Row],[CONCAT1]]="","",MATCH(NOTA[[#This Row],[CONCAT1]],[1]!db[NB NOTA_C],0)+1)</f>
        <v>661</v>
      </c>
    </row>
    <row r="94" spans="1:40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Row],[CEK_EXP]]&lt;D93,"err","")</f>
        <v/>
      </c>
      <c r="D94" s="26">
        <f>IF(NOTA[[#This Row],[TANGGAL]]="",D93,NOTA[[#This Row],[TANGGAL]])</f>
        <v>44932</v>
      </c>
      <c r="E94" s="26" t="str">
        <f ca="1">IF(NOTA[[#This Row],[NAMA BARANG]]="","",INDEX(NOTA[ID],MATCH(,INDIRECT(ADDRESS(ROW(NOTA[ID]),COLUMN(NOTA[ID]))&amp;":"&amp;ADDRESS(ROW(),COLUMN(NOTA[ID]))),-1)))</f>
        <v/>
      </c>
      <c r="F94" s="180"/>
      <c r="G94" s="26"/>
      <c r="H94" s="26"/>
      <c r="I94" s="31"/>
      <c r="J94" s="51"/>
      <c r="K94" s="51"/>
      <c r="L94" s="26"/>
      <c r="M94" s="26"/>
      <c r="N94" s="39"/>
      <c r="O94" s="26"/>
      <c r="P94" s="26"/>
      <c r="Q94" s="49"/>
      <c r="R94" s="52"/>
      <c r="S94" s="39"/>
      <c r="T94" s="53"/>
      <c r="U94" s="53"/>
      <c r="V94" s="54"/>
      <c r="W94" s="37"/>
      <c r="X94" s="54" t="str">
        <f>IF(NOTA[[#This Row],[HARGA/ CTN]]="",NOTA[[#This Row],[JUMLAH_H]],NOTA[[#This Row],[HARGA/ CTN]]*IF(NOTA[[#This Row],[C]]="",0,NOTA[[#This Row],[C]]))</f>
        <v/>
      </c>
      <c r="Y94" s="54" t="str">
        <f>IF(NOTA[[#This Row],[JUMLAH]]="","",NOTA[[#This Row],[JUMLAH]]*NOTA[[#This Row],[DISC 1]])</f>
        <v/>
      </c>
      <c r="Z94" s="54" t="str">
        <f>IF(NOTA[[#This Row],[JUMLAH]]="","",(NOTA[[#This Row],[JUMLAH]]-NOTA[[#This Row],[DISC 1-]])*NOTA[[#This Row],[DISC 2]])</f>
        <v/>
      </c>
      <c r="AA94" s="54" t="str">
        <f>IF(NOTA[[#This Row],[JUMLAH]]="","",NOTA[[#This Row],[DISC 1-]]+NOTA[[#This Row],[DISC 2-]])</f>
        <v/>
      </c>
      <c r="AB94" s="54" t="str">
        <f>IF(NOTA[[#This Row],[JUMLAH]]="","",NOTA[[#This Row],[JUMLAH]]-NOTA[[#This Row],[DISC]])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4" t="str">
        <f>IF(OR(NOTA[[#This Row],[QTY]]="",NOTA[[#This Row],[HARGA SATUAN]]="",),"",NOTA[[#This Row],[QTY]]*NOTA[[#This Row],[HARGA SATUAN]])</f>
        <v/>
      </c>
      <c r="AG94" s="51" t="str">
        <f ca="1">IF(NOTA[ID_H]="","",INDEX(NOTA[TANGGAL],MATCH(,INDIRECT(ADDRESS(ROW(NOTA[TANGGAL]),COLUMN(NOTA[TANGGAL]))&amp;":"&amp;ADDRESS(ROW(),COLUMN(NOTA[TANGGAL]))),-1)))</f>
        <v/>
      </c>
      <c r="AH94" s="65" t="str">
        <f ca="1">IF(NOTA[[#This Row],[NAMA BARANG]]="","",INDEX(NOTA[SUPPLIER],MATCH(,INDIRECT(ADDRESS(ROW(NOTA[ID]),COLUMN(NOTA[ID]))&amp;":"&amp;ADDRESS(ROW(),COLUMN(NOTA[ID]))),-1)))</f>
        <v/>
      </c>
      <c r="AI94" s="65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" s="184" t="str">
        <f>IF(NOTA[[#This Row],[CONCAT1]]="","",MATCH(NOTA[[#This Row],[CONCAT1]],[1]!db[NB NOTA_C],0)+1)</f>
        <v/>
      </c>
    </row>
    <row r="95" spans="1:40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DBS_0601_723-2</v>
      </c>
      <c r="C95" s="50" t="str">
        <f>IF(NOTA[[#This Row],[CEK_EXP]]&lt;D94,"err","")</f>
        <v/>
      </c>
      <c r="D95" s="50">
        <f>IF(NOTA[[#This Row],[TANGGAL]]="",D94,NOTA[[#This Row],[TANGGAL]])</f>
        <v>44932</v>
      </c>
      <c r="E95" s="50">
        <f ca="1">IF(NOTA[[#This Row],[NAMA BARANG]]="","",INDEX(NOTA[ID],MATCH(,INDIRECT(ADDRESS(ROW(NOTA[ID]),COLUMN(NOTA[ID]))&amp;":"&amp;ADDRESS(ROW(),COLUMN(NOTA[ID]))),-1)))</f>
        <v>19</v>
      </c>
      <c r="F95" s="23">
        <v>44932</v>
      </c>
      <c r="G95" s="26" t="s">
        <v>220</v>
      </c>
      <c r="H95" s="26" t="s">
        <v>87</v>
      </c>
      <c r="I95" s="31" t="s">
        <v>221</v>
      </c>
      <c r="J95" s="26"/>
      <c r="K95" s="51">
        <v>44565</v>
      </c>
      <c r="L95" s="26"/>
      <c r="M95" s="26" t="s">
        <v>222</v>
      </c>
      <c r="N95" s="39">
        <v>7</v>
      </c>
      <c r="O95" s="26">
        <v>672</v>
      </c>
      <c r="P95" s="26" t="s">
        <v>90</v>
      </c>
      <c r="Q95" s="49">
        <v>31500</v>
      </c>
      <c r="R95" s="52"/>
      <c r="S95" s="39" t="s">
        <v>223</v>
      </c>
      <c r="T95" s="53"/>
      <c r="U95" s="53"/>
      <c r="V95" s="54"/>
      <c r="W95" s="37"/>
      <c r="X95" s="54">
        <f>IF(NOTA[[#This Row],[HARGA/ CTN]]="",NOTA[[#This Row],[JUMLAH_H]],NOTA[[#This Row],[HARGA/ CTN]]*IF(NOTA[[#This Row],[C]]="",0,NOTA[[#This Row],[C]]))</f>
        <v>21168000</v>
      </c>
      <c r="Y95" s="54">
        <f>IF(NOTA[[#This Row],[JUMLAH]]="","",NOTA[[#This Row],[JUMLAH]]*NOTA[[#This Row],[DISC 1]])</f>
        <v>0</v>
      </c>
      <c r="Z95" s="54">
        <f>IF(NOTA[[#This Row],[JUMLAH]]="","",(NOTA[[#This Row],[JUMLAH]]-NOTA[[#This Row],[DISC 1-]])*NOTA[[#This Row],[DISC 2]])</f>
        <v>0</v>
      </c>
      <c r="AA95" s="54">
        <f>IF(NOTA[[#This Row],[JUMLAH]]="","",NOTA[[#This Row],[DISC 1-]]+NOTA[[#This Row],[DISC 2-]])</f>
        <v>0</v>
      </c>
      <c r="AB95" s="54">
        <f>IF(NOTA[[#This Row],[JUMLAH]]="","",NOTA[[#This Row],[JUMLAH]]-NOTA[[#This Row],[DISC]])</f>
        <v>21168000</v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5" s="54">
        <f>IF(OR(NOTA[[#This Row],[QTY]]="",NOTA[[#This Row],[HARGA SATUAN]]="",),"",NOTA[[#This Row],[QTY]]*NOTA[[#This Row],[HARGA SATUAN]])</f>
        <v>21168000</v>
      </c>
      <c r="AG95" s="51">
        <f ca="1">IF(NOTA[ID_H]="","",INDEX(NOTA[TANGGAL],MATCH(,INDIRECT(ADDRESS(ROW(NOTA[TANGGAL]),COLUMN(NOTA[TANGGAL]))&amp;":"&amp;ADDRESS(ROW(),COLUMN(NOTA[TANGGAL]))),-1)))</f>
        <v>44932</v>
      </c>
      <c r="AH95" s="65" t="str">
        <f ca="1">IF(NOTA[[#This Row],[NAMA BARANG]]="","",INDEX(NOTA[SUPPLIER],MATCH(,INDIRECT(ADDRESS(ROW(NOTA[ID]),COLUMN(NOTA[ID]))&amp;":"&amp;ADDRESS(ROW(),COLUMN(NOTA[ID]))),-1)))</f>
        <v>DB STATIONERY</v>
      </c>
      <c r="AI95" s="65" t="str">
        <f ca="1">IF(NOTA[[#This Row],[ID_H]]="","",IF(NOTA[[#This Row],[FAKTUR]]="",INDIRECT(ADDRESS(ROW()-1,COLUMN())),NOTA[[#This Row],[FAKTUR]]))</f>
        <v>UNTANA</v>
      </c>
      <c r="AJ95" s="38">
        <f ca="1">IF(NOTA[[#This Row],[ID]]="","",COUNTIF(NOTA[ID_H],NOTA[[#This Row],[ID_H]]))</f>
        <v>2</v>
      </c>
      <c r="AK95" s="38">
        <f>IF(NOTA[[#This Row],[TGL.NOTA]]="",IF(NOTA[[#This Row],[SUPPLIER_H]]="","",AK112),MONTH(NOTA[[#This Row],[TGL.NOTA]]))</f>
        <v>1</v>
      </c>
      <c r="AL9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95" s="38" t="str">
        <f>IF(NOTA[C]="",NOTA[[#This Row],[CONCAT1]]&amp;NOTA[[#This Row],[HARGA SATUAN]],NOTA[[#This Row],[CONCAT1]]&amp;NOTA[[#This Row],[HARGA/ CTN_H]]&amp;NOTA[[#This Row],[DISC 1]]&amp;NOTA[[#This Row],[DISC 2]])</f>
        <v>gelpentizo10tg3403024000</v>
      </c>
      <c r="AN95" s="184">
        <f>IF(NOTA[[#This Row],[CONCAT1]]="","",MATCH(NOTA[[#This Row],[CONCAT1]],[1]!db[NB NOTA_C],0)+1)</f>
        <v>758</v>
      </c>
    </row>
    <row r="96" spans="1:40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Row],[CEK_EXP]]&lt;D95,"err","")</f>
        <v/>
      </c>
      <c r="D96" s="50">
        <f>IF(NOTA[[#This Row],[TANGGAL]]="",D95,NOTA[[#This Row],[TANGGAL]])</f>
        <v>44932</v>
      </c>
      <c r="E96" s="50">
        <f ca="1">IF(NOTA[[#This Row],[NAMA BARANG]]="","",INDEX(NOTA[ID],MATCH(,INDIRECT(ADDRESS(ROW(NOTA[ID]),COLUMN(NOTA[ID]))&amp;":"&amp;ADDRESS(ROW(),COLUMN(NOTA[ID]))),-1)))</f>
        <v>19</v>
      </c>
      <c r="F96" s="23"/>
      <c r="G96" s="26"/>
      <c r="H96" s="26"/>
      <c r="I96" s="31"/>
      <c r="J96" s="26"/>
      <c r="K96" s="51"/>
      <c r="L96" s="26"/>
      <c r="M96" s="26" t="s">
        <v>251</v>
      </c>
      <c r="N96" s="39">
        <v>3</v>
      </c>
      <c r="O96" s="26">
        <v>288</v>
      </c>
      <c r="P96" s="26" t="s">
        <v>90</v>
      </c>
      <c r="Q96" s="49">
        <v>31500</v>
      </c>
      <c r="R96" s="52"/>
      <c r="S96" s="39" t="s">
        <v>223</v>
      </c>
      <c r="T96" s="53"/>
      <c r="U96" s="53"/>
      <c r="V96" s="54"/>
      <c r="W96" s="37"/>
      <c r="X96" s="54">
        <f>IF(NOTA[[#This Row],[HARGA/ CTN]]="",NOTA[[#This Row],[JUMLAH_H]],NOTA[[#This Row],[HARGA/ CTN]]*IF(NOTA[[#This Row],[C]]="",0,NOTA[[#This Row],[C]]))</f>
        <v>9072000</v>
      </c>
      <c r="Y96" s="54">
        <f>IF(NOTA[[#This Row],[JUMLAH]]="","",NOTA[[#This Row],[JUMLAH]]*NOTA[[#This Row],[DISC 1]])</f>
        <v>0</v>
      </c>
      <c r="Z96" s="54">
        <f>IF(NOTA[[#This Row],[JUMLAH]]="","",(NOTA[[#This Row],[JUMLAH]]-NOTA[[#This Row],[DISC 1-]])*NOTA[[#This Row],[DISC 2]])</f>
        <v>0</v>
      </c>
      <c r="AA96" s="54">
        <f>IF(NOTA[[#This Row],[JUMLAH]]="","",NOTA[[#This Row],[DISC 1-]]+NOTA[[#This Row],[DISC 2-]])</f>
        <v>0</v>
      </c>
      <c r="AB96" s="54">
        <f>IF(NOTA[[#This Row],[JUMLAH]]="","",NOTA[[#This Row],[JUMLAH]]-NOTA[[#This Row],[DISC]])</f>
        <v>9072000</v>
      </c>
      <c r="AC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30240000</v>
      </c>
      <c r="AE9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6" s="54">
        <f>IF(OR(NOTA[[#This Row],[QTY]]="",NOTA[[#This Row],[HARGA SATUAN]]="",),"",NOTA[[#This Row],[QTY]]*NOTA[[#This Row],[HARGA SATUAN]])</f>
        <v>9072000</v>
      </c>
      <c r="AG96" s="51">
        <f ca="1">IF(NOTA[ID_H]="","",INDEX(NOTA[TANGGAL],MATCH(,INDIRECT(ADDRESS(ROW(NOTA[TANGGAL]),COLUMN(NOTA[TANGGAL]))&amp;":"&amp;ADDRESS(ROW(),COLUMN(NOTA[TANGGAL]))),-1)))</f>
        <v>44932</v>
      </c>
      <c r="AH96" s="65" t="str">
        <f ca="1">IF(NOTA[[#This Row],[NAMA BARANG]]="","",INDEX(NOTA[SUPPLIER],MATCH(,INDIRECT(ADDRESS(ROW(NOTA[ID]),COLUMN(NOTA[ID]))&amp;":"&amp;ADDRESS(ROW(),COLUMN(NOTA[ID]))),-1)))</f>
        <v>DB STATIONERY</v>
      </c>
      <c r="AI96" s="65" t="str">
        <f ca="1">IF(NOTA[[#This Row],[ID_H]]="","",IF(NOTA[[#This Row],[FAKTUR]]="",INDIRECT(ADDRESS(ROW()-1,COLUMN())),NOTA[[#This Row],[FAKTUR]]))</f>
        <v>UNTANA</v>
      </c>
      <c r="AJ96" s="38" t="str">
        <f ca="1">IF(NOTA[[#This Row],[ID]]="","",COUNTIF(NOTA[ID_H],NOTA[[#This Row],[ID_H]]))</f>
        <v/>
      </c>
      <c r="AK96" s="38">
        <f ca="1">IF(NOTA[[#This Row],[TGL.NOTA]]="",IF(NOTA[[#This Row],[SUPPLIER_H]]="","",AK95),MONTH(NOTA[[#This Row],[TGL.NOTA]]))</f>
        <v>1</v>
      </c>
      <c r="AL96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M96" s="38" t="str">
        <f>IF(NOTA[C]="",NOTA[[#This Row],[CONCAT1]]&amp;NOTA[[#This Row],[HARGA SATUAN]],NOTA[[#This Row],[CONCAT1]]&amp;NOTA[[#This Row],[HARGA/ CTN_H]]&amp;NOTA[[#This Row],[DISC 1]]&amp;NOTA[[#This Row],[DISC 2]])</f>
        <v>gel10tg340bibiru3024000</v>
      </c>
      <c r="AN96" s="184">
        <f>IF(NOTA[[#This Row],[CONCAT1]]="","",MATCH(NOTA[[#This Row],[CONCAT1]],[1]!db[NB NOTA_C],0)+1)</f>
        <v>712</v>
      </c>
    </row>
    <row r="97" spans="1:40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Row],[CEK_EXP]]&lt;D96,"err","")</f>
        <v/>
      </c>
      <c r="D97" s="50">
        <f>IF(NOTA[[#This Row],[TANGGAL]]="",D96,NOTA[[#This Row],[TANGGAL]])</f>
        <v>44932</v>
      </c>
      <c r="E97" s="50" t="str">
        <f ca="1">IF(NOTA[[#This Row],[NAMA BARANG]]="","",INDEX(NOTA[ID],MATCH(,INDIRECT(ADDRESS(ROW(NOTA[ID]),COLUMN(NOTA[ID]))&amp;":"&amp;ADDRESS(ROW(),COLUMN(NOTA[ID]))),-1)))</f>
        <v/>
      </c>
      <c r="F97" s="23"/>
      <c r="G97" s="26"/>
      <c r="H97" s="26"/>
      <c r="I97" s="31"/>
      <c r="J97" s="26"/>
      <c r="K97" s="51"/>
      <c r="L97" s="26"/>
      <c r="M97" s="26"/>
      <c r="N97" s="39"/>
      <c r="O97" s="26"/>
      <c r="P97" s="26"/>
      <c r="Q97" s="49"/>
      <c r="R97" s="52"/>
      <c r="S97" s="39"/>
      <c r="T97" s="53"/>
      <c r="U97" s="53"/>
      <c r="V97" s="54"/>
      <c r="W97" s="37"/>
      <c r="X97" s="54" t="str">
        <f>IF(NOTA[[#This Row],[HARGA/ CTN]]="",NOTA[[#This Row],[JUMLAH_H]],NOTA[[#This Row],[HARGA/ CTN]]*IF(NOTA[[#This Row],[C]]="",0,NOTA[[#This Row],[C]]))</f>
        <v/>
      </c>
      <c r="Y97" s="54" t="str">
        <f>IF(NOTA[[#This Row],[JUMLAH]]="","",NOTA[[#This Row],[JUMLAH]]*NOTA[[#This Row],[DISC 1]])</f>
        <v/>
      </c>
      <c r="Z97" s="54" t="str">
        <f>IF(NOTA[[#This Row],[JUMLAH]]="","",(NOTA[[#This Row],[JUMLAH]]-NOTA[[#This Row],[DISC 1-]])*NOTA[[#This Row],[DISC 2]])</f>
        <v/>
      </c>
      <c r="AA97" s="54" t="str">
        <f>IF(NOTA[[#This Row],[JUMLAH]]="","",NOTA[[#This Row],[DISC 1-]]+NOTA[[#This Row],[DISC 2-]])</f>
        <v/>
      </c>
      <c r="AB97" s="54" t="str">
        <f>IF(NOTA[[#This Row],[JUMLAH]]="","",NOTA[[#This Row],[JUMLAH]]-NOTA[[#This Row],[DISC]])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4" t="str">
        <f>IF(OR(NOTA[[#This Row],[QTY]]="",NOTA[[#This Row],[HARGA SATUAN]]="",),"",NOTA[[#This Row],[QTY]]*NOTA[[#This Row],[HARGA SATUAN]])</f>
        <v/>
      </c>
      <c r="AG97" s="51" t="str">
        <f ca="1">IF(NOTA[ID_H]="","",INDEX(NOTA[TANGGAL],MATCH(,INDIRECT(ADDRESS(ROW(NOTA[TANGGAL]),COLUMN(NOTA[TANGGAL]))&amp;":"&amp;ADDRESS(ROW(),COLUMN(NOTA[TANGGAL]))),-1)))</f>
        <v/>
      </c>
      <c r="AH97" s="65" t="str">
        <f ca="1">IF(NOTA[[#This Row],[NAMA BARANG]]="","",INDEX(NOTA[SUPPLIER],MATCH(,INDIRECT(ADDRESS(ROW(NOTA[ID]),COLUMN(NOTA[ID]))&amp;":"&amp;ADDRESS(ROW(),COLUMN(NOTA[ID]))),-1)))</f>
        <v/>
      </c>
      <c r="AI97" s="65" t="str">
        <f ca="1">IF(NOTA[[#This Row],[ID_H]]="","",IF(NOTA[[#This Row],[FAKTUR]]="",INDIRECT(ADDRESS(ROW()-1,COLUMN())),NOTA[[#This Row],[FAKTUR]]))</f>
        <v/>
      </c>
      <c r="AJ97" s="38" t="str">
        <f ca="1">IF(NOTA[[#This Row],[ID]]="","",COUNTIF(NOTA[ID_H],NOTA[[#This Row],[ID_H]]))</f>
        <v/>
      </c>
      <c r="AK97" s="38" t="str">
        <f ca="1">IF(NOTA[[#This Row],[TGL.NOTA]]="",IF(NOTA[[#This Row],[SUPPLIER_H]]="","",AK96),MONTH(NOTA[[#This Row],[TGL.NOTA]]))</f>
        <v/>
      </c>
      <c r="AL97" s="38" t="str">
        <f>LOWER(SUBSTITUTE(SUBSTITUTE(SUBSTITUTE(SUBSTITUTE(SUBSTITUTE(SUBSTITUTE(SUBSTITUTE(SUBSTITUTE(SUBSTITUTE(NOTA[NAMA BARANG]," ",),".",""),"-",""),"(",""),")",""),",",""),"/",""),"""",""),"+",""))</f>
        <v/>
      </c>
      <c r="AM9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" s="184" t="str">
        <f>IF(NOTA[[#This Row],[CONCAT1]]="","",MATCH(NOTA[[#This Row],[CONCAT1]],[1]!db[NB NOTA_C],0)+1)</f>
        <v/>
      </c>
    </row>
    <row r="98" spans="1:40" ht="20.100000000000001" customHeight="1" x14ac:dyDescent="0.25">
      <c r="A98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GRA_0601_001-3</v>
      </c>
      <c r="C98" s="50" t="str">
        <f>IF(NOTA[[#This Row],[CEK_EXP]]&lt;D97,"err","")</f>
        <v/>
      </c>
      <c r="D98" s="50">
        <f>IF(NOTA[[#This Row],[TANGGAL]]="",D97,NOTA[[#This Row],[TANGGAL]])</f>
        <v>44932</v>
      </c>
      <c r="E98" s="50">
        <f ca="1">IF(NOTA[[#This Row],[NAMA BARANG]]="","",INDEX(NOTA[ID],MATCH(,INDIRECT(ADDRESS(ROW(NOTA[ID]),COLUMN(NOTA[ID]))&amp;":"&amp;ADDRESS(ROW(),COLUMN(NOTA[ID]))),-1)))</f>
        <v>20</v>
      </c>
      <c r="F98" s="23"/>
      <c r="G98" s="26" t="s">
        <v>86</v>
      </c>
      <c r="H98" s="26" t="s">
        <v>87</v>
      </c>
      <c r="I98" s="31" t="s">
        <v>224</v>
      </c>
      <c r="J98" s="26"/>
      <c r="K98" s="51">
        <v>44928</v>
      </c>
      <c r="L98" s="26"/>
      <c r="M98" s="26" t="s">
        <v>225</v>
      </c>
      <c r="N98" s="39">
        <v>3</v>
      </c>
      <c r="O98" s="26">
        <v>150</v>
      </c>
      <c r="P98" s="26" t="s">
        <v>90</v>
      </c>
      <c r="Q98" s="49">
        <v>18250</v>
      </c>
      <c r="R98" s="52"/>
      <c r="S98" s="39" t="s">
        <v>227</v>
      </c>
      <c r="T98" s="53"/>
      <c r="U98" s="53"/>
      <c r="V98" s="54"/>
      <c r="W98" s="37"/>
      <c r="X98" s="54">
        <f>IF(NOTA[[#This Row],[HARGA/ CTN]]="",NOTA[[#This Row],[JUMLAH_H]],NOTA[[#This Row],[HARGA/ CTN]]*IF(NOTA[[#This Row],[C]]="",0,NOTA[[#This Row],[C]]))</f>
        <v>2737500</v>
      </c>
      <c r="Y98" s="54">
        <f>IF(NOTA[[#This Row],[JUMLAH]]="","",NOTA[[#This Row],[JUMLAH]]*NOTA[[#This Row],[DISC 1]])</f>
        <v>0</v>
      </c>
      <c r="Z98" s="54">
        <f>IF(NOTA[[#This Row],[JUMLAH]]="","",(NOTA[[#This Row],[JUMLAH]]-NOTA[[#This Row],[DISC 1-]])*NOTA[[#This Row],[DISC 2]])</f>
        <v>0</v>
      </c>
      <c r="AA98" s="54">
        <f>IF(NOTA[[#This Row],[JUMLAH]]="","",NOTA[[#This Row],[DISC 1-]]+NOTA[[#This Row],[DISC 2-]])</f>
        <v>0</v>
      </c>
      <c r="AB98" s="54">
        <f>IF(NOTA[[#This Row],[JUMLAH]]="","",NOTA[[#This Row],[JUMLAH]]-NOTA[[#This Row],[DISC]])</f>
        <v>2737500</v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F98" s="54">
        <f>IF(OR(NOTA[[#This Row],[QTY]]="",NOTA[[#This Row],[HARGA SATUAN]]="",),"",NOTA[[#This Row],[QTY]]*NOTA[[#This Row],[HARGA SATUAN]])</f>
        <v>2737500</v>
      </c>
      <c r="AG98" s="51">
        <f ca="1">IF(NOTA[ID_H]="","",INDEX(NOTA[TANGGAL],MATCH(,INDIRECT(ADDRESS(ROW(NOTA[TANGGAL]),COLUMN(NOTA[TANGGAL]))&amp;":"&amp;ADDRESS(ROW(),COLUMN(NOTA[TANGGAL]))),-1)))</f>
        <v>44932</v>
      </c>
      <c r="AH98" s="65" t="str">
        <f ca="1">IF(NOTA[[#This Row],[NAMA BARANG]]="","",INDEX(NOTA[SUPPLIER],MATCH(,INDIRECT(ADDRESS(ROW(NOTA[ID]),COLUMN(NOTA[ID]))&amp;":"&amp;ADDRESS(ROW(),COLUMN(NOTA[ID]))),-1)))</f>
        <v>GRAFINDO</v>
      </c>
      <c r="AI98" s="65" t="str">
        <f ca="1">IF(NOTA[[#This Row],[ID_H]]="","",IF(NOTA[[#This Row],[FAKTUR]]="",INDIRECT(ADDRESS(ROW()-1,COLUMN())),NOTA[[#This Row],[FAKTUR]]))</f>
        <v>UNTANA</v>
      </c>
      <c r="AJ98" s="38">
        <f ca="1">IF(NOTA[[#This Row],[ID]]="","",COUNTIF(NOTA[ID_H],NOTA[[#This Row],[ID_H]]))</f>
        <v>3</v>
      </c>
      <c r="AK98" s="38">
        <f>IF(NOTA[[#This Row],[TGL.NOTA]]="",IF(NOTA[[#This Row],[SUPPLIER_H]]="","",AK97),MONTH(NOTA[[#This Row],[TGL.NOTA]]))</f>
        <v>1</v>
      </c>
      <c r="AL98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98" s="38" t="str">
        <f>IF(NOTA[C]="",NOTA[[#This Row],[CONCAT1]]&amp;NOTA[[#This Row],[HARGA SATUAN]],NOTA[[#This Row],[CONCAT1]]&amp;NOTA[[#This Row],[HARGA/ CTN_H]]&amp;NOTA[[#This Row],[DISC 1]]&amp;NOTA[[#This Row],[DISC 2]])</f>
        <v>mapkancingsikaac05kuning912500</v>
      </c>
      <c r="AN98" s="184">
        <f>IF(NOTA[[#This Row],[CONCAT1]]="","",MATCH(NOTA[[#This Row],[CONCAT1]],[1]!db[NB NOTA_C],0)+1)</f>
        <v>1448</v>
      </c>
    </row>
    <row r="99" spans="1:40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Row],[CEK_EXP]]&lt;D98,"err","")</f>
        <v/>
      </c>
      <c r="D99" s="50">
        <f>IF(NOTA[[#This Row],[TANGGAL]]="",D98,NOTA[[#This Row],[TANGGAL]])</f>
        <v>44932</v>
      </c>
      <c r="E99" s="50">
        <f ca="1">IF(NOTA[[#This Row],[NAMA BARANG]]="","",INDEX(NOTA[ID],MATCH(,INDIRECT(ADDRESS(ROW(NOTA[ID]),COLUMN(NOTA[ID]))&amp;":"&amp;ADDRESS(ROW(),COLUMN(NOTA[ID]))),-1)))</f>
        <v>20</v>
      </c>
      <c r="F99" s="23"/>
      <c r="G99" s="26"/>
      <c r="H99" s="26"/>
      <c r="I99" s="31"/>
      <c r="J99" s="26"/>
      <c r="K99" s="51"/>
      <c r="L99" s="26"/>
      <c r="M99" s="26" t="s">
        <v>226</v>
      </c>
      <c r="N99" s="39">
        <v>1</v>
      </c>
      <c r="O99" s="26">
        <v>50</v>
      </c>
      <c r="P99" s="26" t="s">
        <v>90</v>
      </c>
      <c r="Q99" s="49"/>
      <c r="R99" s="52"/>
      <c r="S99" s="39" t="s">
        <v>227</v>
      </c>
      <c r="T99" s="53"/>
      <c r="U99" s="53"/>
      <c r="V99" s="54"/>
      <c r="W99" s="37" t="s">
        <v>211</v>
      </c>
      <c r="X99" s="54" t="str">
        <f>IF(NOTA[[#This Row],[HARGA/ CTN]]="",NOTA[[#This Row],[JUMLAH_H]],NOTA[[#This Row],[HARGA/ CTN]]*IF(NOTA[[#This Row],[C]]="",0,NOTA[[#This Row],[C]]))</f>
        <v/>
      </c>
      <c r="Y99" s="54" t="str">
        <f>IF(NOTA[[#This Row],[JUMLAH]]="","",NOTA[[#This Row],[JUMLAH]]*NOTA[[#This Row],[DISC 1]])</f>
        <v/>
      </c>
      <c r="Z99" s="54" t="str">
        <f>IF(NOTA[[#This Row],[JUMLAH]]="","",(NOTA[[#This Row],[JUMLAH]]-NOTA[[#This Row],[DISC 1-]])*NOTA[[#This Row],[DISC 2]])</f>
        <v/>
      </c>
      <c r="AA99" s="54" t="str">
        <f>IF(NOTA[[#This Row],[JUMLAH]]="","",NOTA[[#This Row],[DISC 1-]]+NOTA[[#This Row],[DISC 2-]])</f>
        <v/>
      </c>
      <c r="AB99" s="54" t="str">
        <f>IF(NOTA[[#This Row],[JUMLAH]]="","",NOTA[[#This Row],[JUMLAH]]-NOTA[[#This Row],[DISC]])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" s="54" t="str">
        <f>IF(OR(NOTA[[#This Row],[QTY]]="",NOTA[[#This Row],[HARGA SATUAN]]="",),"",NOTA[[#This Row],[QTY]]*NOTA[[#This Row],[HARGA SATUAN]])</f>
        <v/>
      </c>
      <c r="AG99" s="51">
        <f ca="1">IF(NOTA[ID_H]="","",INDEX(NOTA[TANGGAL],MATCH(,INDIRECT(ADDRESS(ROW(NOTA[TANGGAL]),COLUMN(NOTA[TANGGAL]))&amp;":"&amp;ADDRESS(ROW(),COLUMN(NOTA[TANGGAL]))),-1)))</f>
        <v>44932</v>
      </c>
      <c r="AH99" s="65" t="str">
        <f ca="1">IF(NOTA[[#This Row],[NAMA BARANG]]="","",INDEX(NOTA[SUPPLIER],MATCH(,INDIRECT(ADDRESS(ROW(NOTA[ID]),COLUMN(NOTA[ID]))&amp;":"&amp;ADDRESS(ROW(),COLUMN(NOTA[ID]))),-1)))</f>
        <v>GRAFINDO</v>
      </c>
      <c r="AI99" s="65" t="str">
        <f ca="1">IF(NOTA[[#This Row],[ID_H]]="","",IF(NOTA[[#This Row],[FAKTUR]]="",INDIRECT(ADDRESS(ROW()-1,COLUMN())),NOTA[[#This Row],[FAKTUR]]))</f>
        <v>UNTANA</v>
      </c>
      <c r="AJ99" s="38" t="str">
        <f ca="1">IF(NOTA[[#This Row],[ID]]="","",COUNTIF(NOTA[ID_H],NOTA[[#This Row],[ID_H]]))</f>
        <v/>
      </c>
      <c r="AK99" s="38">
        <f ca="1">IF(NOTA[[#This Row],[TGL.NOTA]]="",IF(NOTA[[#This Row],[SUPPLIER_H]]="","",AK98),MONTH(NOTA[[#This Row],[TGL.NOTA]]))</f>
        <v>1</v>
      </c>
      <c r="AL99" s="38" t="str">
        <f>LOWER(SUBSTITUTE(SUBSTITUTE(SUBSTITUTE(SUBSTITUTE(SUBSTITUTE(SUBSTITUTE(SUBSTITUTE(SUBSTITUTE(SUBSTITUTE(NOTA[NAMA BARANG]," ",),".",""),"-",""),"(",""),")",""),",",""),"/",""),"""",""),"+",""))</f>
        <v>businessfilesikaac106hijau</v>
      </c>
      <c r="AM99" s="38" t="str">
        <f>IF(NOTA[C]="",NOTA[[#This Row],[CONCAT1]]&amp;NOTA[[#This Row],[HARGA SATUAN]],NOTA[[#This Row],[CONCAT1]]&amp;NOTA[[#This Row],[HARGA/ CTN_H]]&amp;NOTA[[#This Row],[DISC 1]]&amp;NOTA[[#This Row],[DISC 2]])</f>
        <v>businessfilesikaac106hijau0</v>
      </c>
      <c r="AN99" s="184">
        <f>IF(NOTA[[#This Row],[CONCAT1]]="","",MATCH(NOTA[[#This Row],[CONCAT1]],[1]!db[NB NOTA_C],0)+1)</f>
        <v>378</v>
      </c>
    </row>
    <row r="100" spans="1:40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Row],[CEK_EXP]]&lt;D99,"err","")</f>
        <v/>
      </c>
      <c r="D100" s="50">
        <f>IF(NOTA[[#This Row],[TANGGAL]]="",D99,NOTA[[#This Row],[TANGGAL]])</f>
        <v>44932</v>
      </c>
      <c r="E100" s="50">
        <f ca="1">IF(NOTA[[#This Row],[NAMA BARANG]]="","",INDEX(NOTA[ID],MATCH(,INDIRECT(ADDRESS(ROW(NOTA[ID]),COLUMN(NOTA[ID]))&amp;":"&amp;ADDRESS(ROW(),COLUMN(NOTA[ID]))),-1)))</f>
        <v>20</v>
      </c>
      <c r="F100" s="23"/>
      <c r="G100" s="26"/>
      <c r="H100" s="26"/>
      <c r="I100" s="31"/>
      <c r="J100" s="26"/>
      <c r="K100" s="51"/>
      <c r="L100" s="26"/>
      <c r="M100" s="26" t="s">
        <v>252</v>
      </c>
      <c r="N100" s="39">
        <v>2</v>
      </c>
      <c r="O100" s="26">
        <v>100</v>
      </c>
      <c r="P100" s="26" t="s">
        <v>90</v>
      </c>
      <c r="Q100" s="49"/>
      <c r="R100" s="52"/>
      <c r="S100" s="39" t="s">
        <v>227</v>
      </c>
      <c r="T100" s="53"/>
      <c r="U100" s="53"/>
      <c r="V100" s="54"/>
      <c r="W100" s="37" t="s">
        <v>211</v>
      </c>
      <c r="X100" s="54" t="str">
        <f>IF(NOTA[[#This Row],[HARGA/ CTN]]="",NOTA[[#This Row],[JUMLAH_H]],NOTA[[#This Row],[HARGA/ CTN]]*IF(NOTA[[#This Row],[C]]="",0,NOTA[[#This Row],[C]]))</f>
        <v/>
      </c>
      <c r="Y100" s="54" t="str">
        <f>IF(NOTA[[#This Row],[JUMLAH]]="","",NOTA[[#This Row],[JUMLAH]]*NOTA[[#This Row],[DISC 1]])</f>
        <v/>
      </c>
      <c r="Z100" s="54" t="str">
        <f>IF(NOTA[[#This Row],[JUMLAH]]="","",(NOTA[[#This Row],[JUMLAH]]-NOTA[[#This Row],[DISC 1-]])*NOTA[[#This Row],[DISC 2]])</f>
        <v/>
      </c>
      <c r="AA100" s="54" t="str">
        <f>IF(NOTA[[#This Row],[JUMLAH]]="","",NOTA[[#This Row],[DISC 1-]]+NOTA[[#This Row],[DISC 2-]])</f>
        <v/>
      </c>
      <c r="AB100" s="54" t="str">
        <f>IF(NOTA[[#This Row],[JUMLAH]]="","",NOTA[[#This Row],[JUMLAH]]-NOTA[[#This Row],[DISC]])</f>
        <v/>
      </c>
      <c r="AC1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E1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0" s="54" t="str">
        <f>IF(OR(NOTA[[#This Row],[QTY]]="",NOTA[[#This Row],[HARGA SATUAN]]="",),"",NOTA[[#This Row],[QTY]]*NOTA[[#This Row],[HARGA SATUAN]])</f>
        <v/>
      </c>
      <c r="AG100" s="51">
        <f ca="1">IF(NOTA[ID_H]="","",INDEX(NOTA[TANGGAL],MATCH(,INDIRECT(ADDRESS(ROW(NOTA[TANGGAL]),COLUMN(NOTA[TANGGAL]))&amp;":"&amp;ADDRESS(ROW(),COLUMN(NOTA[TANGGAL]))),-1)))</f>
        <v>44932</v>
      </c>
      <c r="AH100" s="65" t="str">
        <f ca="1">IF(NOTA[[#This Row],[NAMA BARANG]]="","",INDEX(NOTA[SUPPLIER],MATCH(,INDIRECT(ADDRESS(ROW(NOTA[ID]),COLUMN(NOTA[ID]))&amp;":"&amp;ADDRESS(ROW(),COLUMN(NOTA[ID]))),-1)))</f>
        <v>GRAFINDO</v>
      </c>
      <c r="AI100" s="65" t="str">
        <f ca="1">IF(NOTA[[#This Row],[ID_H]]="","",IF(NOTA[[#This Row],[FAKTUR]]="",INDIRECT(ADDRESS(ROW()-1,COLUMN())),NOTA[[#This Row],[FAKTUR]]))</f>
        <v>UNTANA</v>
      </c>
      <c r="AJ100" s="38" t="str">
        <f ca="1">IF(NOTA[[#This Row],[ID]]="","",COUNTIF(NOTA[ID_H],NOTA[[#This Row],[ID_H]]))</f>
        <v/>
      </c>
      <c r="AK100" s="38">
        <f ca="1">IF(NOTA[[#This Row],[TGL.NOTA]]="",IF(NOTA[[#This Row],[SUPPLIER_H]]="","",AK99),MONTH(NOTA[[#This Row],[TGL.NOTA]]))</f>
        <v>1</v>
      </c>
      <c r="AL100" s="38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100" s="38" t="str">
        <f>IF(NOTA[C]="",NOTA[[#This Row],[CONCAT1]]&amp;NOTA[[#This Row],[HARGA SATUAN]],NOTA[[#This Row],[CONCAT1]]&amp;NOTA[[#This Row],[HARGA/ CTN_H]]&amp;NOTA[[#This Row],[DISC 1]]&amp;NOTA[[#This Row],[DISC 2]])</f>
        <v>businessfilesikaac106putih0</v>
      </c>
      <c r="AN100" s="184">
        <f>IF(NOTA[[#This Row],[CONCAT1]]="","",MATCH(NOTA[[#This Row],[CONCAT1]],[1]!db[NB NOTA_C],0)+1)</f>
        <v>380</v>
      </c>
    </row>
    <row r="101" spans="1:40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Row],[CEK_EXP]]&lt;D100,"err","")</f>
        <v/>
      </c>
      <c r="D101" s="50">
        <f>IF(NOTA[[#This Row],[TANGGAL]]="",D100,NOTA[[#This Row],[TANGGAL]])</f>
        <v>44932</v>
      </c>
      <c r="E101" s="50" t="str">
        <f ca="1">IF(NOTA[[#This Row],[NAMA BARANG]]="","",INDEX(NOTA[ID],MATCH(,INDIRECT(ADDRESS(ROW(NOTA[ID]),COLUMN(NOTA[ID]))&amp;":"&amp;ADDRESS(ROW(),COLUMN(NOTA[ID]))),-1)))</f>
        <v/>
      </c>
      <c r="F101" s="23"/>
      <c r="G101" s="26"/>
      <c r="H101" s="26"/>
      <c r="I101" s="31"/>
      <c r="J101" s="26"/>
      <c r="K101" s="51"/>
      <c r="L101" s="26"/>
      <c r="M101" s="26"/>
      <c r="N101" s="39"/>
      <c r="O101" s="26"/>
      <c r="P101" s="26"/>
      <c r="Q101" s="49"/>
      <c r="R101" s="52"/>
      <c r="S101" s="39"/>
      <c r="T101" s="53"/>
      <c r="U101" s="53"/>
      <c r="V101" s="54"/>
      <c r="W101" s="37"/>
      <c r="X101" s="54" t="str">
        <f>IF(NOTA[[#This Row],[HARGA/ CTN]]="",NOTA[[#This Row],[JUMLAH_H]],NOTA[[#This Row],[HARGA/ CTN]]*IF(NOTA[[#This Row],[C]]="",0,NOTA[[#This Row],[C]]))</f>
        <v/>
      </c>
      <c r="Y101" s="54" t="str">
        <f>IF(NOTA[[#This Row],[JUMLAH]]="","",NOTA[[#This Row],[JUMLAH]]*NOTA[[#This Row],[DISC 1]])</f>
        <v/>
      </c>
      <c r="Z101" s="54" t="str">
        <f>IF(NOTA[[#This Row],[JUMLAH]]="","",(NOTA[[#This Row],[JUMLAH]]-NOTA[[#This Row],[DISC 1-]])*NOTA[[#This Row],[DISC 2]])</f>
        <v/>
      </c>
      <c r="AA101" s="54" t="str">
        <f>IF(NOTA[[#This Row],[JUMLAH]]="","",NOTA[[#This Row],[DISC 1-]]+NOTA[[#This Row],[DISC 2-]])</f>
        <v/>
      </c>
      <c r="AB101" s="54" t="str">
        <f>IF(NOTA[[#This Row],[JUMLAH]]="","",NOTA[[#This Row],[JUMLAH]]-NOTA[[#This Row],[DISC]])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4" t="str">
        <f>IF(OR(NOTA[[#This Row],[QTY]]="",NOTA[[#This Row],[HARGA SATUAN]]="",),"",NOTA[[#This Row],[QTY]]*NOTA[[#This Row],[HARGA SATUAN]])</f>
        <v/>
      </c>
      <c r="AG101" s="51" t="str">
        <f ca="1">IF(NOTA[ID_H]="","",INDEX(NOTA[TANGGAL],MATCH(,INDIRECT(ADDRESS(ROW(NOTA[TANGGAL]),COLUMN(NOTA[TANGGAL]))&amp;":"&amp;ADDRESS(ROW(),COLUMN(NOTA[TANGGAL]))),-1)))</f>
        <v/>
      </c>
      <c r="AH101" s="65" t="str">
        <f ca="1">IF(NOTA[[#This Row],[NAMA BARANG]]="","",INDEX(NOTA[SUPPLIER],MATCH(,INDIRECT(ADDRESS(ROW(NOTA[ID]),COLUMN(NOTA[ID]))&amp;":"&amp;ADDRESS(ROW(),COLUMN(NOTA[ID]))),-1)))</f>
        <v/>
      </c>
      <c r="AI101" s="65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IF(NOTA[C]="",NOTA[[#This Row],[CONCAT1]]&amp;NOTA[[#This Row],[HARGA SATUAN]],NOTA[[#This Row],[CONCAT1]]&amp;NOTA[[#This Row],[HARGA/ CTN_H]]&amp;NOTA[[#This Row],[DISC 1]]&amp;NOTA[[#This Row],[DISC 2]])</f>
        <v/>
      </c>
      <c r="AN101" s="184" t="str">
        <f>IF(NOTA[[#This Row],[CONCAT1]]="","",MATCH(NOTA[[#This Row],[CONCAT1]],[1]!db[NB NOTA_C],0)+1)</f>
        <v/>
      </c>
    </row>
    <row r="102" spans="1:40" ht="20.100000000000001" customHeight="1" x14ac:dyDescent="0.25">
      <c r="A102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GRA_0601_014-1</v>
      </c>
      <c r="C102" s="50" t="str">
        <f>IF(NOTA[[#This Row],[CEK_EXP]]&lt;D101,"err","")</f>
        <v/>
      </c>
      <c r="D102" s="50">
        <f>IF(NOTA[[#This Row],[TANGGAL]]="",D101,NOTA[[#This Row],[TANGGAL]])</f>
        <v>44932</v>
      </c>
      <c r="E102" s="50">
        <f ca="1">IF(NOTA[[#This Row],[NAMA BARANG]]="","",INDEX(NOTA[ID],MATCH(,INDIRECT(ADDRESS(ROW(NOTA[ID]),COLUMN(NOTA[ID]))&amp;":"&amp;ADDRESS(ROW(),COLUMN(NOTA[ID]))),-1)))</f>
        <v>21</v>
      </c>
      <c r="F102" s="23"/>
      <c r="G102" s="26" t="s">
        <v>86</v>
      </c>
      <c r="H102" s="26" t="s">
        <v>87</v>
      </c>
      <c r="I102" s="31" t="s">
        <v>228</v>
      </c>
      <c r="J102" s="26"/>
      <c r="K102" s="51">
        <v>44929</v>
      </c>
      <c r="L102" s="26"/>
      <c r="M102" s="26" t="s">
        <v>226</v>
      </c>
      <c r="N102" s="39">
        <v>3</v>
      </c>
      <c r="O102" s="26">
        <v>150</v>
      </c>
      <c r="P102" s="26" t="s">
        <v>90</v>
      </c>
      <c r="Q102" s="49"/>
      <c r="R102" s="52"/>
      <c r="S102" s="39" t="s">
        <v>227</v>
      </c>
      <c r="T102" s="53"/>
      <c r="U102" s="53"/>
      <c r="V102" s="54"/>
      <c r="W102" s="37" t="s">
        <v>88</v>
      </c>
      <c r="X102" s="54" t="str">
        <f>IF(NOTA[[#This Row],[HARGA/ CTN]]="",NOTA[[#This Row],[JUMLAH_H]],NOTA[[#This Row],[HARGA/ CTN]]*IF(NOTA[[#This Row],[C]]="",0,NOTA[[#This Row],[C]]))</f>
        <v/>
      </c>
      <c r="Y102" s="54" t="str">
        <f>IF(NOTA[[#This Row],[JUMLAH]]="","",NOTA[[#This Row],[JUMLAH]]*NOTA[[#This Row],[DISC 1]])</f>
        <v/>
      </c>
      <c r="Z102" s="54" t="str">
        <f>IF(NOTA[[#This Row],[JUMLAH]]="","",(NOTA[[#This Row],[JUMLAH]]-NOTA[[#This Row],[DISC 1-]])*NOTA[[#This Row],[DISC 2]])</f>
        <v/>
      </c>
      <c r="AA102" s="54" t="str">
        <f>IF(NOTA[[#This Row],[JUMLAH]]="","",NOTA[[#This Row],[DISC 1-]]+NOTA[[#This Row],[DISC 2-]])</f>
        <v/>
      </c>
      <c r="AB102" s="54" t="str">
        <f>IF(NOTA[[#This Row],[JUMLAH]]="","",NOTA[[#This Row],[JUMLAH]]-NOTA[[#This Row],[DISC]])</f>
        <v/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2" s="54" t="str">
        <f>IF(OR(NOTA[[#This Row],[QTY]]="",NOTA[[#This Row],[HARGA SATUAN]]="",),"",NOTA[[#This Row],[QTY]]*NOTA[[#This Row],[HARGA SATUAN]])</f>
        <v/>
      </c>
      <c r="AG102" s="51">
        <f ca="1">IF(NOTA[ID_H]="","",INDEX(NOTA[TANGGAL],MATCH(,INDIRECT(ADDRESS(ROW(NOTA[TANGGAL]),COLUMN(NOTA[TANGGAL]))&amp;":"&amp;ADDRESS(ROW(),COLUMN(NOTA[TANGGAL]))),-1)))</f>
        <v>44932</v>
      </c>
      <c r="AH102" s="65" t="str">
        <f ca="1">IF(NOTA[[#This Row],[NAMA BARANG]]="","",INDEX(NOTA[SUPPLIER],MATCH(,INDIRECT(ADDRESS(ROW(NOTA[ID]),COLUMN(NOTA[ID]))&amp;":"&amp;ADDRESS(ROW(),COLUMN(NOTA[ID]))),-1)))</f>
        <v>GRAFINDO</v>
      </c>
      <c r="AI102" s="65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1</v>
      </c>
      <c r="AK102" s="38">
        <f>IF(NOTA[[#This Row],[TGL.NOTA]]="",IF(NOTA[[#This Row],[SUPPLIER_H]]="","",AK101),MONTH(NOTA[[#This Row],[TGL.NOTA]]))</f>
        <v>1</v>
      </c>
      <c r="AL102" s="38" t="str">
        <f>LOWER(SUBSTITUTE(SUBSTITUTE(SUBSTITUTE(SUBSTITUTE(SUBSTITUTE(SUBSTITUTE(SUBSTITUTE(SUBSTITUTE(SUBSTITUTE(NOTA[NAMA BARANG]," ",),".",""),"-",""),"(",""),")",""),",",""),"/",""),"""",""),"+",""))</f>
        <v>businessfilesikaac106hijau</v>
      </c>
      <c r="AM102" s="38" t="str">
        <f>IF(NOTA[C]="",NOTA[[#This Row],[CONCAT1]]&amp;NOTA[[#This Row],[HARGA SATUAN]],NOTA[[#This Row],[CONCAT1]]&amp;NOTA[[#This Row],[HARGA/ CTN_H]]&amp;NOTA[[#This Row],[DISC 1]]&amp;NOTA[[#This Row],[DISC 2]])</f>
        <v>businessfilesikaac106hijau0</v>
      </c>
      <c r="AN102" s="184">
        <f>IF(NOTA[[#This Row],[CONCAT1]]="","",MATCH(NOTA[[#This Row],[CONCAT1]],[1]!db[NB NOTA_C],0)+1)</f>
        <v>378</v>
      </c>
    </row>
    <row r="103" spans="1:40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Row],[CEK_EXP]]&lt;D102,"err","")</f>
        <v/>
      </c>
      <c r="D103" s="50">
        <f>IF(NOTA[[#This Row],[TANGGAL]]="",D102,NOTA[[#This Row],[TANGGAL]])</f>
        <v>44932</v>
      </c>
      <c r="E103" s="50" t="str">
        <f ca="1">IF(NOTA[[#This Row],[NAMA BARANG]]="","",INDEX(NOTA[ID],MATCH(,INDIRECT(ADDRESS(ROW(NOTA[ID]),COLUMN(NOTA[ID]))&amp;":"&amp;ADDRESS(ROW(),COLUMN(NOTA[ID]))),-1)))</f>
        <v/>
      </c>
      <c r="F103" s="23"/>
      <c r="G103" s="26"/>
      <c r="H103" s="26"/>
      <c r="I103" s="31"/>
      <c r="J103" s="26"/>
      <c r="K103" s="51"/>
      <c r="L103" s="26"/>
      <c r="M103" s="26"/>
      <c r="N103" s="39"/>
      <c r="O103" s="26"/>
      <c r="P103" s="26"/>
      <c r="Q103" s="49"/>
      <c r="R103" s="52"/>
      <c r="S103" s="39"/>
      <c r="T103" s="53"/>
      <c r="U103" s="53"/>
      <c r="V103" s="54"/>
      <c r="W103" s="37"/>
      <c r="X103" s="54" t="str">
        <f>IF(NOTA[[#This Row],[HARGA/ CTN]]="",NOTA[[#This Row],[JUMLAH_H]],NOTA[[#This Row],[HARGA/ CTN]]*IF(NOTA[[#This Row],[C]]="",0,NOTA[[#This Row],[C]]))</f>
        <v/>
      </c>
      <c r="Y103" s="54" t="str">
        <f>IF(NOTA[[#This Row],[JUMLAH]]="","",NOTA[[#This Row],[JUMLAH]]*NOTA[[#This Row],[DISC 1]])</f>
        <v/>
      </c>
      <c r="Z103" s="54" t="str">
        <f>IF(NOTA[[#This Row],[JUMLAH]]="","",(NOTA[[#This Row],[JUMLAH]]-NOTA[[#This Row],[DISC 1-]])*NOTA[[#This Row],[DISC 2]])</f>
        <v/>
      </c>
      <c r="AA103" s="54" t="str">
        <f>IF(NOTA[[#This Row],[JUMLAH]]="","",NOTA[[#This Row],[DISC 1-]]+NOTA[[#This Row],[DISC 2-]])</f>
        <v/>
      </c>
      <c r="AB103" s="54" t="str">
        <f>IF(NOTA[[#This Row],[JUMLAH]]="","",NOTA[[#This Row],[JUMLAH]]-NOTA[[#This Row],[DISC]])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4" t="str">
        <f>IF(OR(NOTA[[#This Row],[QTY]]="",NOTA[[#This Row],[HARGA SATUAN]]="",),"",NOTA[[#This Row],[QTY]]*NOTA[[#This Row],[HARGA SATUAN]])</f>
        <v/>
      </c>
      <c r="AG103" s="51" t="str">
        <f ca="1">IF(NOTA[ID_H]="","",INDEX(NOTA[TANGGAL],MATCH(,INDIRECT(ADDRESS(ROW(NOTA[TANGGAL]),COLUMN(NOTA[TANGGAL]))&amp;":"&amp;ADDRESS(ROW(),COLUMN(NOTA[TANGGAL]))),-1)))</f>
        <v/>
      </c>
      <c r="AH103" s="65" t="str">
        <f ca="1">IF(NOTA[[#This Row],[NAMA BARANG]]="","",INDEX(NOTA[SUPPLIER],MATCH(,INDIRECT(ADDRESS(ROW(NOTA[ID]),COLUMN(NOTA[ID]))&amp;":"&amp;ADDRESS(ROW(),COLUMN(NOTA[ID]))),-1)))</f>
        <v/>
      </c>
      <c r="AI103" s="65" t="str">
        <f ca="1">IF(NOTA[[#This Row],[ID_H]]="","",IF(NOTA[[#This Row],[FAKTUR]]="",INDIRECT(ADDRESS(ROW()-1,COLUMN())),NOTA[[#This Row],[FAKTUR]]))</f>
        <v/>
      </c>
      <c r="AJ103" s="38" t="str">
        <f ca="1">IF(NOTA[[#This Row],[ID]]="","",COUNTIF(NOTA[ID_H],NOTA[[#This Row],[ID_H]]))</f>
        <v/>
      </c>
      <c r="AK103" s="38" t="str">
        <f ca="1">IF(NOTA[[#This Row],[TGL.NOTA]]="",IF(NOTA[[#This Row],[SUPPLIER_H]]="","",AK102),MONTH(NOTA[[#This Row],[TGL.NOTA]]))</f>
        <v/>
      </c>
      <c r="AL103" s="38" t="str">
        <f>LOWER(SUBSTITUTE(SUBSTITUTE(SUBSTITUTE(SUBSTITUTE(SUBSTITUTE(SUBSTITUTE(SUBSTITUTE(SUBSTITUTE(SUBSTITUTE(NOTA[NAMA BARANG]," ",),".",""),"-",""),"(",""),")",""),",",""),"/",""),"""",""),"+",""))</f>
        <v/>
      </c>
      <c r="AM103" s="38" t="str">
        <f>IF(NOTA[C]="",NOTA[[#This Row],[CONCAT1]]&amp;NOTA[[#This Row],[HARGA SATUAN]],NOTA[[#This Row],[CONCAT1]]&amp;NOTA[[#This Row],[HARGA/ CTN_H]]&amp;NOTA[[#This Row],[DISC 1]]&amp;NOTA[[#This Row],[DISC 2]])</f>
        <v/>
      </c>
      <c r="AN103" s="184" t="str">
        <f>IF(NOTA[[#This Row],[CONCAT1]]="","",MATCH(NOTA[[#This Row],[CONCAT1]],[1]!db[NB NOTA_C],0)+1)</f>
        <v/>
      </c>
    </row>
    <row r="104" spans="1:40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TRI_0601_720-1</v>
      </c>
      <c r="C104" s="50" t="str">
        <f>IF(NOTA[[#This Row],[CEK_EXP]]&lt;D103,"err","")</f>
        <v/>
      </c>
      <c r="D104" s="50">
        <f>IF(NOTA[[#This Row],[TANGGAL]]="",D103,NOTA[[#This Row],[TANGGAL]])</f>
        <v>44932</v>
      </c>
      <c r="E104" s="50">
        <f ca="1">IF(NOTA[[#This Row],[NAMA BARANG]]="","",INDEX(NOTA[ID],MATCH(,INDIRECT(ADDRESS(ROW(NOTA[ID]),COLUMN(NOTA[ID]))&amp;":"&amp;ADDRESS(ROW(),COLUMN(NOTA[ID]))),-1)))</f>
        <v>22</v>
      </c>
      <c r="F104" s="23"/>
      <c r="G104" s="26" t="s">
        <v>229</v>
      </c>
      <c r="H104" s="26" t="s">
        <v>87</v>
      </c>
      <c r="I104" s="31" t="s">
        <v>230</v>
      </c>
      <c r="J104" s="26"/>
      <c r="K104" s="51">
        <v>44930</v>
      </c>
      <c r="L104" s="26"/>
      <c r="M104" s="26" t="s">
        <v>253</v>
      </c>
      <c r="N104" s="39">
        <v>26</v>
      </c>
      <c r="O104" s="26">
        <v>3120</v>
      </c>
      <c r="P104" s="26" t="s">
        <v>133</v>
      </c>
      <c r="Q104" s="49">
        <v>4615</v>
      </c>
      <c r="R104" s="52"/>
      <c r="S104" s="39" t="s">
        <v>132</v>
      </c>
      <c r="T104" s="53"/>
      <c r="U104" s="53"/>
      <c r="V104" s="54">
        <v>287976</v>
      </c>
      <c r="W104" s="37"/>
      <c r="X104" s="54">
        <f>IF(NOTA[[#This Row],[HARGA/ CTN]]="",NOTA[[#This Row],[JUMLAH_H]],NOTA[[#This Row],[HARGA/ CTN]]*IF(NOTA[[#This Row],[C]]="",0,NOTA[[#This Row],[C]]))</f>
        <v>14398800</v>
      </c>
      <c r="Y104" s="54">
        <f>IF(NOTA[[#This Row],[JUMLAH]]="","",NOTA[[#This Row],[JUMLAH]]*NOTA[[#This Row],[DISC 1]])</f>
        <v>0</v>
      </c>
      <c r="Z104" s="54">
        <f>IF(NOTA[[#This Row],[JUMLAH]]="","",(NOTA[[#This Row],[JUMLAH]]-NOTA[[#This Row],[DISC 1-]])*NOTA[[#This Row],[DISC 2]])</f>
        <v>0</v>
      </c>
      <c r="AA104" s="54">
        <f>IF(NOTA[[#This Row],[JUMLAH]]="","",NOTA[[#This Row],[DISC 1-]]+NOTA[[#This Row],[DISC 2-]])</f>
        <v>0</v>
      </c>
      <c r="AB104" s="54">
        <f>IF(NOTA[[#This Row],[JUMLAH]]="","",NOTA[[#This Row],[JUMLAH]]-NOTA[[#This Row],[DISC]])</f>
        <v>14398800</v>
      </c>
      <c r="AC1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D1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E104" s="49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F104" s="54">
        <f>IF(OR(NOTA[[#This Row],[QTY]]="",NOTA[[#This Row],[HARGA SATUAN]]="",),"",NOTA[[#This Row],[QTY]]*NOTA[[#This Row],[HARGA SATUAN]])</f>
        <v>14398800</v>
      </c>
      <c r="AG104" s="51">
        <f ca="1">IF(NOTA[ID_H]="","",INDEX(NOTA[TANGGAL],MATCH(,INDIRECT(ADDRESS(ROW(NOTA[TANGGAL]),COLUMN(NOTA[TANGGAL]))&amp;":"&amp;ADDRESS(ROW(),COLUMN(NOTA[TANGGAL]))),-1)))</f>
        <v>44932</v>
      </c>
      <c r="AH104" s="65" t="str">
        <f ca="1">IF(NOTA[[#This Row],[NAMA BARANG]]="","",INDEX(NOTA[SUPPLIER],MATCH(,INDIRECT(ADDRESS(ROW(NOTA[ID]),COLUMN(NOTA[ID]))&amp;":"&amp;ADDRESS(ROW(),COLUMN(NOTA[ID]))),-1)))</f>
        <v>TRI MITRA SEJATI</v>
      </c>
      <c r="AI104" s="65" t="str">
        <f ca="1">IF(NOTA[[#This Row],[ID_H]]="","",IF(NOTA[[#This Row],[FAKTUR]]="",INDIRECT(ADDRESS(ROW()-1,COLUMN())),NOTA[[#This Row],[FAKTUR]]))</f>
        <v>UNTANA</v>
      </c>
      <c r="AJ104" s="38">
        <f ca="1">IF(NOTA[[#This Row],[ID]]="","",COUNTIF(NOTA[ID_H],NOTA[[#This Row],[ID_H]]))</f>
        <v>1</v>
      </c>
      <c r="AK104" s="38">
        <f>IF(NOTA[[#This Row],[TGL.NOTA]]="",IF(NOTA[[#This Row],[SUPPLIER_H]]="","",AK103),MONTH(NOTA[[#This Row],[TGL.NOTA]]))</f>
        <v>1</v>
      </c>
      <c r="AL104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M104" s="38" t="str">
        <f>IF(NOTA[C]="",NOTA[[#This Row],[CONCAT1]]&amp;NOTA[[#This Row],[HARGA SATUAN]],NOTA[[#This Row],[CONCAT1]]&amp;NOTA[[#This Row],[HARGA/ CTN_H]]&amp;NOTA[[#This Row],[DISC 1]]&amp;NOTA[[#This Row],[DISC 2]])</f>
        <v>elecnational20mx120roll553800</v>
      </c>
      <c r="AN104" s="184">
        <f>IF(NOTA[[#This Row],[CONCAT1]]="","",MATCH(NOTA[[#This Row],[CONCAT1]],[1]!db[NB NOTA_C],0)+1)</f>
        <v>650</v>
      </c>
    </row>
    <row r="105" spans="1:40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Row],[CEK_EXP]]&lt;D104,"err","")</f>
        <v/>
      </c>
      <c r="D105" s="50">
        <f>IF(NOTA[[#This Row],[TANGGAL]]="",D104,NOTA[[#This Row],[TANGGAL]])</f>
        <v>44932</v>
      </c>
      <c r="E105" s="50" t="str">
        <f ca="1">IF(NOTA[[#This Row],[NAMA BARANG]]="","",INDEX(NOTA[ID],MATCH(,INDIRECT(ADDRESS(ROW(NOTA[ID]),COLUMN(NOTA[ID]))&amp;":"&amp;ADDRESS(ROW(),COLUMN(NOTA[ID]))),-1)))</f>
        <v/>
      </c>
      <c r="F105" s="23"/>
      <c r="G105" s="26"/>
      <c r="H105" s="26"/>
      <c r="I105" s="31"/>
      <c r="J105" s="26"/>
      <c r="K105" s="51"/>
      <c r="L105" s="26"/>
      <c r="M105" s="26"/>
      <c r="N105" s="39"/>
      <c r="O105" s="26"/>
      <c r="P105" s="26"/>
      <c r="Q105" s="49"/>
      <c r="R105" s="52"/>
      <c r="S105" s="39"/>
      <c r="T105" s="53"/>
      <c r="U105" s="53"/>
      <c r="V105" s="54"/>
      <c r="W105" s="37"/>
      <c r="X105" s="54" t="str">
        <f>IF(NOTA[[#This Row],[HARGA/ CTN]]="",NOTA[[#This Row],[JUMLAH_H]],NOTA[[#This Row],[HARGA/ CTN]]*IF(NOTA[[#This Row],[C]]="",0,NOTA[[#This Row],[C]]))</f>
        <v/>
      </c>
      <c r="Y105" s="54" t="str">
        <f>IF(NOTA[[#This Row],[JUMLAH]]="","",NOTA[[#This Row],[JUMLAH]]*NOTA[[#This Row],[DISC 1]])</f>
        <v/>
      </c>
      <c r="Z105" s="54" t="str">
        <f>IF(NOTA[[#This Row],[JUMLAH]]="","",(NOTA[[#This Row],[JUMLAH]]-NOTA[[#This Row],[DISC 1-]])*NOTA[[#This Row],[DISC 2]])</f>
        <v/>
      </c>
      <c r="AA105" s="54" t="str">
        <f>IF(NOTA[[#This Row],[JUMLAH]]="","",NOTA[[#This Row],[DISC 1-]]+NOTA[[#This Row],[DISC 2-]])</f>
        <v/>
      </c>
      <c r="AB105" s="54" t="str">
        <f>IF(NOTA[[#This Row],[JUMLAH]]="","",NOTA[[#This Row],[JUMLAH]]-NOTA[[#This Row],[DISC]])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4" t="str">
        <f>IF(OR(NOTA[[#This Row],[QTY]]="",NOTA[[#This Row],[HARGA SATUAN]]="",),"",NOTA[[#This Row],[QTY]]*NOTA[[#This Row],[HARGA SATUAN]])</f>
        <v/>
      </c>
      <c r="AG105" s="51" t="str">
        <f ca="1">IF(NOTA[ID_H]="","",INDEX(NOTA[TANGGAL],MATCH(,INDIRECT(ADDRESS(ROW(NOTA[TANGGAL]),COLUMN(NOTA[TANGGAL]))&amp;":"&amp;ADDRESS(ROW(),COLUMN(NOTA[TANGGAL]))),-1)))</f>
        <v/>
      </c>
      <c r="AH105" s="65" t="str">
        <f ca="1">IF(NOTA[[#This Row],[NAMA BARANG]]="","",INDEX(NOTA[SUPPLIER],MATCH(,INDIRECT(ADDRESS(ROW(NOTA[ID]),COLUMN(NOTA[ID]))&amp;":"&amp;ADDRESS(ROW(),COLUMN(NOTA[ID]))),-1)))</f>
        <v/>
      </c>
      <c r="AI105" s="65" t="str">
        <f ca="1">IF(NOTA[[#This Row],[ID_H]]="","",IF(NOTA[[#This Row],[FAKTUR]]="",INDIRECT(ADDRESS(ROW()-1,COLUMN())),NOTA[[#This Row],[FAKTUR]]))</f>
        <v/>
      </c>
      <c r="AJ105" s="38" t="str">
        <f ca="1">IF(NOTA[[#This Row],[ID]]="","",COUNTIF(NOTA[ID_H],NOTA[[#This Row],[ID_H]]))</f>
        <v/>
      </c>
      <c r="AK105" s="38" t="str">
        <f ca="1">IF(NOTA[[#This Row],[TGL.NOTA]]="",IF(NOTA[[#This Row],[SUPPLIER_H]]="","",AK104),MONTH(NOTA[[#This Row],[TGL.NOTA]]))</f>
        <v/>
      </c>
      <c r="AL105" s="38" t="str">
        <f>LOWER(SUBSTITUTE(SUBSTITUTE(SUBSTITUTE(SUBSTITUTE(SUBSTITUTE(SUBSTITUTE(SUBSTITUTE(SUBSTITUTE(SUBSTITUTE(NOTA[NAMA BARANG]," ",),".",""),"-",""),"(",""),")",""),",",""),"/",""),"""",""),"+",""))</f>
        <v/>
      </c>
      <c r="AM105" s="38" t="str">
        <f>IF(NOTA[C]="",NOTA[[#This Row],[CONCAT1]]&amp;NOTA[[#This Row],[HARGA SATUAN]],NOTA[[#This Row],[CONCAT1]]&amp;NOTA[[#This Row],[HARGA/ CTN_H]]&amp;NOTA[[#This Row],[DISC 1]]&amp;NOTA[[#This Row],[DISC 2]])</f>
        <v/>
      </c>
      <c r="AN105" s="184" t="str">
        <f>IF(NOTA[[#This Row],[CONCAT1]]="","",MATCH(NOTA[[#This Row],[CONCAT1]],[1]!db[NB NOTA_C],0)+1)</f>
        <v/>
      </c>
    </row>
    <row r="106" spans="1:40" ht="20.100000000000001" customHeight="1" x14ac:dyDescent="0.25">
      <c r="A106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COM_0601_111-1</v>
      </c>
      <c r="C106" s="50" t="str">
        <f>IF(NOTA[[#This Row],[CEK_EXP]]&lt;D105,"err","")</f>
        <v/>
      </c>
      <c r="D106" s="50">
        <f>IF(NOTA[[#This Row],[TANGGAL]]="",D105,NOTA[[#This Row],[TANGGAL]])</f>
        <v>44932</v>
      </c>
      <c r="E106" s="50">
        <f ca="1">IF(NOTA[[#This Row],[NAMA BARANG]]="","",INDEX(NOTA[ID],MATCH(,INDIRECT(ADDRESS(ROW(NOTA[ID]),COLUMN(NOTA[ID]))&amp;":"&amp;ADDRESS(ROW(),COLUMN(NOTA[ID]))),-1)))</f>
        <v>23</v>
      </c>
      <c r="F106" s="23"/>
      <c r="G106" s="26" t="s">
        <v>231</v>
      </c>
      <c r="H106" s="26" t="s">
        <v>87</v>
      </c>
      <c r="I106" s="31" t="s">
        <v>232</v>
      </c>
      <c r="J106" s="26"/>
      <c r="K106" s="51">
        <v>44932</v>
      </c>
      <c r="L106" s="26"/>
      <c r="M106" s="26" t="s">
        <v>233</v>
      </c>
      <c r="N106" s="39">
        <v>1</v>
      </c>
      <c r="O106" s="26">
        <v>7</v>
      </c>
      <c r="P106" s="26" t="s">
        <v>90</v>
      </c>
      <c r="Q106" s="49">
        <v>195000</v>
      </c>
      <c r="R106" s="52"/>
      <c r="S106" s="39"/>
      <c r="T106" s="53"/>
      <c r="U106" s="53"/>
      <c r="V106" s="54"/>
      <c r="W106" s="37"/>
      <c r="X106" s="54">
        <f>IF(NOTA[[#This Row],[HARGA/ CTN]]="",NOTA[[#This Row],[JUMLAH_H]],NOTA[[#This Row],[HARGA/ CTN]]*IF(NOTA[[#This Row],[C]]="",0,NOTA[[#This Row],[C]]))</f>
        <v>1365000</v>
      </c>
      <c r="Y106" s="54">
        <f>IF(NOTA[[#This Row],[JUMLAH]]="","",NOTA[[#This Row],[JUMLAH]]*NOTA[[#This Row],[DISC 1]])</f>
        <v>0</v>
      </c>
      <c r="Z106" s="54">
        <f>IF(NOTA[[#This Row],[JUMLAH]]="","",(NOTA[[#This Row],[JUMLAH]]-NOTA[[#This Row],[DISC 1-]])*NOTA[[#This Row],[DISC 2]])</f>
        <v>0</v>
      </c>
      <c r="AA106" s="54">
        <f>IF(NOTA[[#This Row],[JUMLAH]]="","",NOTA[[#This Row],[DISC 1-]]+NOTA[[#This Row],[DISC 2-]])</f>
        <v>0</v>
      </c>
      <c r="AB106" s="54">
        <f>IF(NOTA[[#This Row],[JUMLAH]]="","",NOTA[[#This Row],[JUMLAH]]-NOTA[[#This Row],[DISC]])</f>
        <v>1365000</v>
      </c>
      <c r="AC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1365000</v>
      </c>
      <c r="AE106" s="49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06" s="54">
        <f>IF(OR(NOTA[[#This Row],[QTY]]="",NOTA[[#This Row],[HARGA SATUAN]]="",),"",NOTA[[#This Row],[QTY]]*NOTA[[#This Row],[HARGA SATUAN]])</f>
        <v>1365000</v>
      </c>
      <c r="AG106" s="51">
        <f ca="1">IF(NOTA[ID_H]="","",INDEX(NOTA[TANGGAL],MATCH(,INDIRECT(ADDRESS(ROW(NOTA[TANGGAL]),COLUMN(NOTA[TANGGAL]))&amp;":"&amp;ADDRESS(ROW(),COLUMN(NOTA[TANGGAL]))),-1)))</f>
        <v>44932</v>
      </c>
      <c r="AH106" s="65" t="str">
        <f ca="1">IF(NOTA[[#This Row],[NAMA BARANG]]="","",INDEX(NOTA[SUPPLIER],MATCH(,INDIRECT(ADDRESS(ROW(NOTA[ID]),COLUMN(NOTA[ID]))&amp;":"&amp;ADDRESS(ROW(),COLUMN(NOTA[ID]))),-1)))</f>
        <v>COMBI</v>
      </c>
      <c r="AI106" s="65" t="str">
        <f ca="1">IF(NOTA[[#This Row],[ID_H]]="","",IF(NOTA[[#This Row],[FAKTUR]]="",INDIRECT(ADDRESS(ROW()-1,COLUMN())),NOTA[[#This Row],[FAKTUR]]))</f>
        <v>UNTANA</v>
      </c>
      <c r="AJ106" s="38">
        <f ca="1">IF(NOTA[[#This Row],[ID]]="","",COUNTIF(NOTA[ID_H],NOTA[[#This Row],[ID_H]]))</f>
        <v>1</v>
      </c>
      <c r="AK106" s="38">
        <f>IF(NOTA[[#This Row],[TGL.NOTA]]="",IF(NOTA[[#This Row],[SUPPLIER_H]]="","",AK105),MONTH(NOTA[[#This Row],[TGL.NOTA]]))</f>
        <v>1</v>
      </c>
      <c r="AL10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106" s="38" t="str">
        <f>IF(NOTA[C]="",NOTA[[#This Row],[CONCAT1]]&amp;NOTA[[#This Row],[HARGA SATUAN]],NOTA[[#This Row],[CONCAT1]]&amp;NOTA[[#This Row],[HARGA/ CTN_H]]&amp;NOTA[[#This Row],[DISC 1]]&amp;NOTA[[#This Row],[DISC 2]])</f>
        <v>docritprestige1365000</v>
      </c>
      <c r="AN106" s="184">
        <f>IF(NOTA[[#This Row],[CONCAT1]]="","",MATCH(NOTA[[#This Row],[CONCAT1]],[1]!db[NB NOTA_C],0)+1)</f>
        <v>607</v>
      </c>
    </row>
    <row r="107" spans="1:40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Row],[CEK_EXP]]&lt;D106,"err","")</f>
        <v/>
      </c>
      <c r="D107" s="50">
        <f>IF(NOTA[[#This Row],[TANGGAL]]="",D106,NOTA[[#This Row],[TANGGAL]])</f>
        <v>44932</v>
      </c>
      <c r="E107" s="50" t="str">
        <f ca="1">IF(NOTA[[#This Row],[NAMA BARANG]]="","",INDEX(NOTA[ID],MATCH(,INDIRECT(ADDRESS(ROW(NOTA[ID]),COLUMN(NOTA[ID]))&amp;":"&amp;ADDRESS(ROW(),COLUMN(NOTA[ID]))),-1)))</f>
        <v/>
      </c>
      <c r="F107" s="23"/>
      <c r="G107" s="26"/>
      <c r="H107" s="26"/>
      <c r="I107" s="31"/>
      <c r="J107" s="26"/>
      <c r="K107" s="51"/>
      <c r="L107" s="26"/>
      <c r="M107" s="26"/>
      <c r="N107" s="39"/>
      <c r="O107" s="26"/>
      <c r="P107" s="26"/>
      <c r="Q107" s="49"/>
      <c r="R107" s="52"/>
      <c r="S107" s="39"/>
      <c r="T107" s="53"/>
      <c r="U107" s="53"/>
      <c r="V107" s="54"/>
      <c r="W107" s="37"/>
      <c r="X107" s="54" t="str">
        <f>IF(NOTA[[#This Row],[HARGA/ CTN]]="",NOTA[[#This Row],[JUMLAH_H]],NOTA[[#This Row],[HARGA/ CTN]]*IF(NOTA[[#This Row],[C]]="",0,NOTA[[#This Row],[C]]))</f>
        <v/>
      </c>
      <c r="Y107" s="54" t="str">
        <f>IF(NOTA[[#This Row],[JUMLAH]]="","",NOTA[[#This Row],[JUMLAH]]*NOTA[[#This Row],[DISC 1]])</f>
        <v/>
      </c>
      <c r="Z107" s="54" t="str">
        <f>IF(NOTA[[#This Row],[JUMLAH]]="","",(NOTA[[#This Row],[JUMLAH]]-NOTA[[#This Row],[DISC 1-]])*NOTA[[#This Row],[DISC 2]])</f>
        <v/>
      </c>
      <c r="AA107" s="54" t="str">
        <f>IF(NOTA[[#This Row],[JUMLAH]]="","",NOTA[[#This Row],[DISC 1-]]+NOTA[[#This Row],[DISC 2-]])</f>
        <v/>
      </c>
      <c r="AB107" s="54" t="str">
        <f>IF(NOTA[[#This Row],[JUMLAH]]="","",NOTA[[#This Row],[JUMLAH]]-NOTA[[#This Row],[DISC]])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4" t="str">
        <f>IF(OR(NOTA[[#This Row],[QTY]]="",NOTA[[#This Row],[HARGA SATUAN]]="",),"",NOTA[[#This Row],[QTY]]*NOTA[[#This Row],[HARGA SATUAN]])</f>
        <v/>
      </c>
      <c r="AG107" s="51" t="str">
        <f ca="1">IF(NOTA[ID_H]="","",INDEX(NOTA[TANGGAL],MATCH(,INDIRECT(ADDRESS(ROW(NOTA[TANGGAL]),COLUMN(NOTA[TANGGAL]))&amp;":"&amp;ADDRESS(ROW(),COLUMN(NOTA[TANGGAL]))),-1)))</f>
        <v/>
      </c>
      <c r="AH107" s="65" t="str">
        <f ca="1">IF(NOTA[[#This Row],[NAMA BARANG]]="","",INDEX(NOTA[SUPPLIER],MATCH(,INDIRECT(ADDRESS(ROW(NOTA[ID]),COLUMN(NOTA[ID]))&amp;":"&amp;ADDRESS(ROW(),COLUMN(NOTA[ID]))),-1)))</f>
        <v/>
      </c>
      <c r="AI107" s="65" t="str">
        <f ca="1">IF(NOTA[[#This Row],[ID_H]]="","",IF(NOTA[[#This Row],[FAKTUR]]="",INDIRECT(ADDRESS(ROW()-1,COLUMN())),NOTA[[#This Row],[FAKTUR]]))</f>
        <v/>
      </c>
      <c r="AJ107" s="38" t="str">
        <f ca="1">IF(NOTA[[#This Row],[ID]]="","",COUNTIF(NOTA[ID_H],NOTA[[#This Row],[ID_H]]))</f>
        <v/>
      </c>
      <c r="AK107" s="38" t="str">
        <f ca="1">IF(NOTA[[#This Row],[TGL.NOTA]]="",IF(NOTA[[#This Row],[SUPPLIER_H]]="","",AK106),MONTH(NOTA[[#This Row],[TGL.NOTA]]))</f>
        <v/>
      </c>
      <c r="AL107" s="38" t="str">
        <f>LOWER(SUBSTITUTE(SUBSTITUTE(SUBSTITUTE(SUBSTITUTE(SUBSTITUTE(SUBSTITUTE(SUBSTITUTE(SUBSTITUTE(SUBSTITUTE(NOTA[NAMA BARANG]," ",),".",""),"-",""),"(",""),")",""),",",""),"/",""),"""",""),"+",""))</f>
        <v/>
      </c>
      <c r="AM107" s="38" t="str">
        <f>IF(NOTA[C]="",NOTA[[#This Row],[CONCAT1]]&amp;NOTA[[#This Row],[HARGA SATUAN]],NOTA[[#This Row],[CONCAT1]]&amp;NOTA[[#This Row],[HARGA/ CTN_H]]&amp;NOTA[[#This Row],[DISC 1]]&amp;NOTA[[#This Row],[DISC 2]])</f>
        <v/>
      </c>
      <c r="AN107" s="184" t="str">
        <f>IF(NOTA[[#This Row],[CONCAT1]]="","",MATCH(NOTA[[#This Row],[CONCAT1]],[1]!db[NB NOTA_C],0)+1)</f>
        <v/>
      </c>
    </row>
    <row r="108" spans="1:40" ht="20.100000000000001" customHeight="1" x14ac:dyDescent="0.25">
      <c r="A108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SAP_0601_SOS-1</v>
      </c>
      <c r="C108" s="50" t="str">
        <f>IF(NOTA[[#This Row],[CEK_EXP]]&lt;D107,"err","")</f>
        <v/>
      </c>
      <c r="D108" s="50">
        <f>IF(NOTA[[#This Row],[TANGGAL]]="",D107,NOTA[[#This Row],[TANGGAL]])</f>
        <v>44932</v>
      </c>
      <c r="E108" s="50">
        <f ca="1">IF(NOTA[[#This Row],[NAMA BARANG]]="","",INDEX(NOTA[ID],MATCH(,INDIRECT(ADDRESS(ROW(NOTA[ID]),COLUMN(NOTA[ID]))&amp;":"&amp;ADDRESS(ROW(),COLUMN(NOTA[ID]))),-1)))</f>
        <v>24</v>
      </c>
      <c r="F108" s="23"/>
      <c r="G108" s="26" t="s">
        <v>234</v>
      </c>
      <c r="H108" s="26" t="s">
        <v>87</v>
      </c>
      <c r="I108" s="31" t="s">
        <v>235</v>
      </c>
      <c r="J108" s="26"/>
      <c r="K108" s="51">
        <v>44917</v>
      </c>
      <c r="L108" s="26"/>
      <c r="M108" s="26" t="s">
        <v>236</v>
      </c>
      <c r="N108" s="39">
        <v>50</v>
      </c>
      <c r="O108" s="26">
        <v>500</v>
      </c>
      <c r="P108" s="26" t="s">
        <v>104</v>
      </c>
      <c r="Q108" s="49">
        <v>48000</v>
      </c>
      <c r="R108" s="52"/>
      <c r="S108" s="39"/>
      <c r="T108" s="53"/>
      <c r="U108" s="53"/>
      <c r="V108" s="54"/>
      <c r="W108" s="37"/>
      <c r="X108" s="54">
        <f>IF(NOTA[[#This Row],[HARGA/ CTN]]="",NOTA[[#This Row],[JUMLAH_H]],NOTA[[#This Row],[HARGA/ CTN]]*IF(NOTA[[#This Row],[C]]="",0,NOTA[[#This Row],[C]]))</f>
        <v>24000000</v>
      </c>
      <c r="Y108" s="54">
        <f>IF(NOTA[[#This Row],[JUMLAH]]="","",NOTA[[#This Row],[JUMLAH]]*NOTA[[#This Row],[DISC 1]])</f>
        <v>0</v>
      </c>
      <c r="Z108" s="54">
        <f>IF(NOTA[[#This Row],[JUMLAH]]="","",(NOTA[[#This Row],[JUMLAH]]-NOTA[[#This Row],[DISC 1-]])*NOTA[[#This Row],[DISC 2]])</f>
        <v>0</v>
      </c>
      <c r="AA108" s="54">
        <f>IF(NOTA[[#This Row],[JUMLAH]]="","",NOTA[[#This Row],[DISC 1-]]+NOTA[[#This Row],[DISC 2-]])</f>
        <v>0</v>
      </c>
      <c r="AB108" s="54">
        <f>IF(NOTA[[#This Row],[JUMLAH]]="","",NOTA[[#This Row],[JUMLAH]]-NOTA[[#This Row],[DISC]])</f>
        <v>24000000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08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08" s="54">
        <f>IF(OR(NOTA[[#This Row],[QTY]]="",NOTA[[#This Row],[HARGA SATUAN]]="",),"",NOTA[[#This Row],[QTY]]*NOTA[[#This Row],[HARGA SATUAN]])</f>
        <v>24000000</v>
      </c>
      <c r="AG108" s="51">
        <f ca="1">IF(NOTA[ID_H]="","",INDEX(NOTA[TANGGAL],MATCH(,INDIRECT(ADDRESS(ROW(NOTA[TANGGAL]),COLUMN(NOTA[TANGGAL]))&amp;":"&amp;ADDRESS(ROW(),COLUMN(NOTA[TANGGAL]))),-1)))</f>
        <v>44932</v>
      </c>
      <c r="AH108" s="65" t="str">
        <f ca="1">IF(NOTA[[#This Row],[NAMA BARANG]]="","",INDEX(NOTA[SUPPLIER],MATCH(,INDIRECT(ADDRESS(ROW(NOTA[ID]),COLUMN(NOTA[ID]))&amp;":"&amp;ADDRESS(ROW(),COLUMN(NOTA[ID]))),-1)))</f>
        <v>SAPUTRO OFFICE</v>
      </c>
      <c r="AI108" s="65" t="str">
        <f ca="1">IF(NOTA[[#This Row],[ID_H]]="","",IF(NOTA[[#This Row],[FAKTUR]]="",INDIRECT(ADDRESS(ROW()-1,COLUMN())),NOTA[[#This Row],[FAKTUR]]))</f>
        <v>UNTANA</v>
      </c>
      <c r="AJ108" s="38">
        <f ca="1">IF(NOTA[[#This Row],[ID]]="","",COUNTIF(NOTA[ID_H],NOTA[[#This Row],[ID_H]]))</f>
        <v>1</v>
      </c>
      <c r="AK108" s="38">
        <f>IF(NOTA[[#This Row],[TGL.NOTA]]="",IF(NOTA[[#This Row],[SUPPLIER_H]]="","",AK107),MONTH(NOTA[[#This Row],[TGL.NOTA]]))</f>
        <v>12</v>
      </c>
      <c r="AL108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08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N108" s="184">
        <f>IF(NOTA[[#This Row],[CONCAT1]]="","",MATCH(NOTA[[#This Row],[CONCAT1]],[1]!db[NB NOTA_C],0)+1)</f>
        <v>1497</v>
      </c>
    </row>
    <row r="109" spans="1:40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Row],[CEK_EXP]]&lt;D108,"err","")</f>
        <v/>
      </c>
      <c r="D109" s="50">
        <f>IF(NOTA[[#This Row],[TANGGAL]]="",D108,NOTA[[#This Row],[TANGGAL]])</f>
        <v>44932</v>
      </c>
      <c r="E109" s="50" t="str">
        <f ca="1">IF(NOTA[[#This Row],[NAMA BARANG]]="","",INDEX(NOTA[ID],MATCH(,INDIRECT(ADDRESS(ROW(NOTA[ID]),COLUMN(NOTA[ID]))&amp;":"&amp;ADDRESS(ROW(),COLUMN(NOTA[ID]))),-1)))</f>
        <v/>
      </c>
      <c r="F109" s="23"/>
      <c r="G109" s="26"/>
      <c r="H109" s="26"/>
      <c r="I109" s="31"/>
      <c r="J109" s="26"/>
      <c r="K109" s="51"/>
      <c r="L109" s="26"/>
      <c r="M109" s="26"/>
      <c r="N109" s="39"/>
      <c r="O109" s="26"/>
      <c r="P109" s="26"/>
      <c r="Q109" s="49"/>
      <c r="R109" s="52"/>
      <c r="S109" s="39"/>
      <c r="T109" s="53"/>
      <c r="U109" s="53"/>
      <c r="V109" s="54"/>
      <c r="W109" s="37"/>
      <c r="X109" s="54" t="str">
        <f>IF(NOTA[[#This Row],[HARGA/ CTN]]="",NOTA[[#This Row],[JUMLAH_H]],NOTA[[#This Row],[HARGA/ CTN]]*IF(NOTA[[#This Row],[C]]="",0,NOTA[[#This Row],[C]]))</f>
        <v/>
      </c>
      <c r="Y109" s="54" t="str">
        <f>IF(NOTA[[#This Row],[JUMLAH]]="","",NOTA[[#This Row],[JUMLAH]]*NOTA[[#This Row],[DISC 1]])</f>
        <v/>
      </c>
      <c r="Z109" s="54" t="str">
        <f>IF(NOTA[[#This Row],[JUMLAH]]="","",(NOTA[[#This Row],[JUMLAH]]-NOTA[[#This Row],[DISC 1-]])*NOTA[[#This Row],[DISC 2]])</f>
        <v/>
      </c>
      <c r="AA109" s="54" t="str">
        <f>IF(NOTA[[#This Row],[JUMLAH]]="","",NOTA[[#This Row],[DISC 1-]]+NOTA[[#This Row],[DISC 2-]])</f>
        <v/>
      </c>
      <c r="AB109" s="54" t="str">
        <f>IF(NOTA[[#This Row],[JUMLAH]]="","",NOTA[[#This Row],[JUMLAH]]-NOTA[[#This Row],[DISC]])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" s="54" t="str">
        <f>IF(OR(NOTA[[#This Row],[QTY]]="",NOTA[[#This Row],[HARGA SATUAN]]="",),"",NOTA[[#This Row],[QTY]]*NOTA[[#This Row],[HARGA SATUAN]])</f>
        <v/>
      </c>
      <c r="AG109" s="51" t="str">
        <f ca="1">IF(NOTA[ID_H]="","",INDEX(NOTA[TANGGAL],MATCH(,INDIRECT(ADDRESS(ROW(NOTA[TANGGAL]),COLUMN(NOTA[TANGGAL]))&amp;":"&amp;ADDRESS(ROW(),COLUMN(NOTA[TANGGAL]))),-1)))</f>
        <v/>
      </c>
      <c r="AH109" s="65" t="str">
        <f ca="1">IF(NOTA[[#This Row],[NAMA BARANG]]="","",INDEX(NOTA[SUPPLIER],MATCH(,INDIRECT(ADDRESS(ROW(NOTA[ID]),COLUMN(NOTA[ID]))&amp;":"&amp;ADDRESS(ROW(),COLUMN(NOTA[ID]))),-1)))</f>
        <v/>
      </c>
      <c r="AI109" s="65" t="str">
        <f ca="1">IF(NOTA[[#This Row],[ID_H]]="","",IF(NOTA[[#This Row],[FAKTUR]]="",INDIRECT(ADDRESS(ROW()-1,COLUMN())),NOTA[[#This Row],[FAKTUR]]))</f>
        <v/>
      </c>
      <c r="AJ109" s="38" t="str">
        <f ca="1">IF(NOTA[[#This Row],[ID]]="","",COUNTIF(NOTA[ID_H],NOTA[[#This Row],[ID_H]]))</f>
        <v/>
      </c>
      <c r="AK109" s="38" t="str">
        <f ca="1">IF(NOTA[[#This Row],[TGL.NOTA]]="",IF(NOTA[[#This Row],[SUPPLIER_H]]="","",AK108),MONTH(NOTA[[#This Row],[TGL.NOTA]]))</f>
        <v/>
      </c>
      <c r="AL109" s="38" t="str">
        <f>LOWER(SUBSTITUTE(SUBSTITUTE(SUBSTITUTE(SUBSTITUTE(SUBSTITUTE(SUBSTITUTE(SUBSTITUTE(SUBSTITUTE(SUBSTITUTE(NOTA[NAMA BARANG]," ",),".",""),"-",""),"(",""),")",""),",",""),"/",""),"""",""),"+",""))</f>
        <v/>
      </c>
      <c r="AM109" s="38" t="str">
        <f>IF(NOTA[C]="",NOTA[[#This Row],[CONCAT1]]&amp;NOTA[[#This Row],[HARGA SATUAN]],NOTA[[#This Row],[CONCAT1]]&amp;NOTA[[#This Row],[HARGA/ CTN_H]]&amp;NOTA[[#This Row],[DISC 1]]&amp;NOTA[[#This Row],[DISC 2]])</f>
        <v/>
      </c>
      <c r="AN109" s="184" t="str">
        <f>IF(NOTA[[#This Row],[CONCAT1]]="","",MATCH(NOTA[[#This Row],[CONCAT1]],[1]!db[NB NOTA_C],0)+1)</f>
        <v/>
      </c>
    </row>
    <row r="110" spans="1:40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GLO_0701_ 08-2</v>
      </c>
      <c r="C110" s="50" t="str">
        <f>IF(NOTA[[#This Row],[CEK_EXP]]&lt;D109,"err","")</f>
        <v/>
      </c>
      <c r="D110" s="50">
        <f>IF(NOTA[[#This Row],[TANGGAL]]="",D109,NOTA[[#This Row],[TANGGAL]])</f>
        <v>44933</v>
      </c>
      <c r="E110" s="50">
        <f ca="1">IF(NOTA[[#This Row],[NAMA BARANG]]="","",INDEX(NOTA[ID],MATCH(,INDIRECT(ADDRESS(ROW(NOTA[ID]),COLUMN(NOTA[ID]))&amp;":"&amp;ADDRESS(ROW(),COLUMN(NOTA[ID]))),-1)))</f>
        <v>25</v>
      </c>
      <c r="F110" s="23">
        <v>44933</v>
      </c>
      <c r="G110" s="26" t="s">
        <v>215</v>
      </c>
      <c r="H110" s="26" t="s">
        <v>87</v>
      </c>
      <c r="I110" s="31" t="s">
        <v>216</v>
      </c>
      <c r="J110" s="26"/>
      <c r="K110" s="51">
        <v>44933</v>
      </c>
      <c r="L110" s="26"/>
      <c r="M110" s="26" t="s">
        <v>217</v>
      </c>
      <c r="N110" s="39"/>
      <c r="O110" s="26">
        <v>7</v>
      </c>
      <c r="P110" s="26" t="s">
        <v>90</v>
      </c>
      <c r="Q110" s="49">
        <v>161000</v>
      </c>
      <c r="R110" s="52"/>
      <c r="S110" s="39"/>
      <c r="T110" s="53"/>
      <c r="U110" s="53"/>
      <c r="V110" s="54"/>
      <c r="W110" s="37" t="s">
        <v>219</v>
      </c>
      <c r="X110" s="54">
        <f>IF(NOTA[[#This Row],[HARGA/ CTN]]="",NOTA[[#This Row],[JUMLAH_H]],NOTA[[#This Row],[HARGA/ CTN]]*IF(NOTA[[#This Row],[C]]="",0,NOTA[[#This Row],[C]]))</f>
        <v>1127000</v>
      </c>
      <c r="Y110" s="54">
        <f>IF(NOTA[[#This Row],[JUMLAH]]="","",NOTA[[#This Row],[JUMLAH]]*NOTA[[#This Row],[DISC 1]])</f>
        <v>0</v>
      </c>
      <c r="Z110" s="54">
        <f>IF(NOTA[[#This Row],[JUMLAH]]="","",(NOTA[[#This Row],[JUMLAH]]-NOTA[[#This Row],[DISC 1-]])*NOTA[[#This Row],[DISC 2]])</f>
        <v>0</v>
      </c>
      <c r="AA110" s="54">
        <f>IF(NOTA[[#This Row],[JUMLAH]]="","",NOTA[[#This Row],[DISC 1-]]+NOTA[[#This Row],[DISC 2-]])</f>
        <v>0</v>
      </c>
      <c r="AB110" s="54">
        <f>IF(NOTA[[#This Row],[JUMLAH]]="","",NOTA[[#This Row],[JUMLAH]]-NOTA[[#This Row],[DISC]])</f>
        <v>1127000</v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10" s="54">
        <f>IF(OR(NOTA[[#This Row],[QTY]]="",NOTA[[#This Row],[HARGA SATUAN]]="",),"",NOTA[[#This Row],[QTY]]*NOTA[[#This Row],[HARGA SATUAN]])</f>
        <v>1127000</v>
      </c>
      <c r="AG110" s="51">
        <f ca="1">IF(NOTA[ID_H]="","",INDEX(NOTA[TANGGAL],MATCH(,INDIRECT(ADDRESS(ROW(NOTA[TANGGAL]),COLUMN(NOTA[TANGGAL]))&amp;":"&amp;ADDRESS(ROW(),COLUMN(NOTA[TANGGAL]))),-1)))</f>
        <v>44933</v>
      </c>
      <c r="AH110" s="65" t="str">
        <f ca="1">IF(NOTA[[#This Row],[NAMA BARANG]]="","",INDEX(NOTA[SUPPLIER],MATCH(,INDIRECT(ADDRESS(ROW(NOTA[ID]),COLUMN(NOTA[ID]))&amp;":"&amp;ADDRESS(ROW(),COLUMN(NOTA[ID]))),-1)))</f>
        <v>GLORY</v>
      </c>
      <c r="AI110" s="65" t="str">
        <f ca="1">IF(NOTA[[#This Row],[ID_H]]="","",IF(NOTA[[#This Row],[FAKTUR]]="",INDIRECT(ADDRESS(ROW()-1,COLUMN())),NOTA[[#This Row],[FAKTUR]]))</f>
        <v>UNTANA</v>
      </c>
      <c r="AJ110" s="38">
        <f ca="1">IF(NOTA[[#This Row],[ID]]="","",COUNTIF(NOTA[ID_H],NOTA[[#This Row],[ID_H]]))</f>
        <v>2</v>
      </c>
      <c r="AK110" s="38">
        <f>IF(NOTA[[#This Row],[TGL.NOTA]]="",IF(NOTA[[#This Row],[SUPPLIER_H]]="","",AK43),MONTH(NOTA[[#This Row],[TGL.NOTA]]))</f>
        <v>1</v>
      </c>
      <c r="AL110" s="38" t="str">
        <f>LOWER(SUBSTITUTE(SUBSTITUTE(SUBSTITUTE(SUBSTITUTE(SUBSTITUTE(SUBSTITUTE(SUBSTITUTE(SUBSTITUTE(SUBSTITUTE(NOTA[NAMA BARANG]," ",),".",""),"-",""),"(",""),")",""),",",""),"/",""),"""",""),"+",""))</f>
        <v>btbatik</v>
      </c>
      <c r="AM110" s="38" t="str">
        <f>IF(NOTA[C]="",NOTA[[#This Row],[CONCAT1]]&amp;NOTA[[#This Row],[HARGA SATUAN]],NOTA[[#This Row],[CONCAT1]]&amp;NOTA[[#This Row],[HARGA/ CTN_H]]&amp;NOTA[[#This Row],[DISC 1]]&amp;NOTA[[#This Row],[DISC 2]])</f>
        <v>btbatik161000</v>
      </c>
      <c r="AN110" s="184">
        <f>IF(NOTA[[#This Row],[CONCAT1]]="","",MATCH(NOTA[[#This Row],[CONCAT1]],[1]!db[NB NOTA_C],0)+1)</f>
        <v>334</v>
      </c>
    </row>
    <row r="111" spans="1:40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Row],[CEK_EXP]]&lt;D110,"err","")</f>
        <v/>
      </c>
      <c r="D111" s="50">
        <f>IF(NOTA[[#This Row],[TANGGAL]]="",D110,NOTA[[#This Row],[TANGGAL]])</f>
        <v>44933</v>
      </c>
      <c r="E111" s="50">
        <f ca="1">IF(NOTA[[#This Row],[NAMA BARANG]]="","",INDEX(NOTA[ID],MATCH(,INDIRECT(ADDRESS(ROW(NOTA[ID]),COLUMN(NOTA[ID]))&amp;":"&amp;ADDRESS(ROW(),COLUMN(NOTA[ID]))),-1)))</f>
        <v>25</v>
      </c>
      <c r="F111" s="23"/>
      <c r="G111" s="26"/>
      <c r="H111" s="26"/>
      <c r="I111" s="31"/>
      <c r="J111" s="26"/>
      <c r="K111" s="51"/>
      <c r="L111" s="26"/>
      <c r="M111" s="26" t="s">
        <v>218</v>
      </c>
      <c r="N111" s="39"/>
      <c r="O111" s="26">
        <v>120</v>
      </c>
      <c r="P111" s="26" t="s">
        <v>104</v>
      </c>
      <c r="Q111" s="49">
        <v>13000</v>
      </c>
      <c r="R111" s="52"/>
      <c r="S111" s="39"/>
      <c r="T111" s="53"/>
      <c r="U111" s="53"/>
      <c r="V111" s="54">
        <v>135000</v>
      </c>
      <c r="W111" s="37" t="s">
        <v>219</v>
      </c>
      <c r="X111" s="54">
        <f>IF(NOTA[[#This Row],[HARGA/ CTN]]="",NOTA[[#This Row],[JUMLAH_H]],NOTA[[#This Row],[HARGA/ CTN]]*IF(NOTA[[#This Row],[C]]="",0,NOTA[[#This Row],[C]]))</f>
        <v>1560000</v>
      </c>
      <c r="Y111" s="54">
        <f>IF(NOTA[[#This Row],[JUMLAH]]="","",NOTA[[#This Row],[JUMLAH]]*NOTA[[#This Row],[DISC 1]])</f>
        <v>0</v>
      </c>
      <c r="Z111" s="54">
        <f>IF(NOTA[[#This Row],[JUMLAH]]="","",(NOTA[[#This Row],[JUMLAH]]-NOTA[[#This Row],[DISC 1-]])*NOTA[[#This Row],[DISC 2]])</f>
        <v>0</v>
      </c>
      <c r="AA111" s="54">
        <f>IF(NOTA[[#This Row],[JUMLAH]]="","",NOTA[[#This Row],[DISC 1-]]+NOTA[[#This Row],[DISC 2-]])</f>
        <v>0</v>
      </c>
      <c r="AB111" s="54">
        <f>IF(NOTA[[#This Row],[JUMLAH]]="","",NOTA[[#This Row],[JUMLAH]]-NOTA[[#This Row],[DISC]])</f>
        <v>1560000</v>
      </c>
      <c r="AC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135000</v>
      </c>
      <c r="AD1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2552000</v>
      </c>
      <c r="AE11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11" s="54">
        <f>IF(OR(NOTA[[#This Row],[QTY]]="",NOTA[[#This Row],[HARGA SATUAN]]="",),"",NOTA[[#This Row],[QTY]]*NOTA[[#This Row],[HARGA SATUAN]])</f>
        <v>1560000</v>
      </c>
      <c r="AG111" s="51">
        <f ca="1">IF(NOTA[ID_H]="","",INDEX(NOTA[TANGGAL],MATCH(,INDIRECT(ADDRESS(ROW(NOTA[TANGGAL]),COLUMN(NOTA[TANGGAL]))&amp;":"&amp;ADDRESS(ROW(),COLUMN(NOTA[TANGGAL]))),-1)))</f>
        <v>44933</v>
      </c>
      <c r="AH111" s="65" t="str">
        <f ca="1">IF(NOTA[[#This Row],[NAMA BARANG]]="","",INDEX(NOTA[SUPPLIER],MATCH(,INDIRECT(ADDRESS(ROW(NOTA[ID]),COLUMN(NOTA[ID]))&amp;":"&amp;ADDRESS(ROW(),COLUMN(NOTA[ID]))),-1)))</f>
        <v>GLORY</v>
      </c>
      <c r="AI111" s="65" t="str">
        <f ca="1">IF(NOTA[[#This Row],[ID_H]]="","",IF(NOTA[[#This Row],[FAKTUR]]="",INDIRECT(ADDRESS(ROW()-1,COLUMN())),NOTA[[#This Row],[FAKTUR]]))</f>
        <v>UNTANA</v>
      </c>
      <c r="AJ111" s="38" t="str">
        <f ca="1">IF(NOTA[[#This Row],[ID]]="","",COUNTIF(NOTA[ID_H],NOTA[[#This Row],[ID_H]]))</f>
        <v/>
      </c>
      <c r="AK111" s="38">
        <f ca="1">IF(NOTA[[#This Row],[TGL.NOTA]]="",IF(NOTA[[#This Row],[SUPPLIER_H]]="","",AK110),MONTH(NOTA[[#This Row],[TGL.NOTA]]))</f>
        <v>1</v>
      </c>
      <c r="AL111" s="38" t="str">
        <f>LOWER(SUBSTITUTE(SUBSTITUTE(SUBSTITUTE(SUBSTITUTE(SUBSTITUTE(SUBSTITUTE(SUBSTITUTE(SUBSTITUTE(SUBSTITUTE(NOTA[NAMA BARANG]," ",),".",""),"-",""),"(",""),")",""),",",""),"/",""),"""",""),"+",""))</f>
        <v>agckpolos</v>
      </c>
      <c r="AM111" s="38" t="str">
        <f>IF(NOTA[C]="",NOTA[[#This Row],[CONCAT1]]&amp;NOTA[[#This Row],[HARGA SATUAN]],NOTA[[#This Row],[CONCAT1]]&amp;NOTA[[#This Row],[HARGA/ CTN_H]]&amp;NOTA[[#This Row],[DISC 1]]&amp;NOTA[[#This Row],[DISC 2]])</f>
        <v>agckpolos13000</v>
      </c>
      <c r="AN111" s="184">
        <f>IF(NOTA[[#This Row],[CONCAT1]]="","",MATCH(NOTA[[#This Row],[CONCAT1]],[1]!db[NB NOTA_C],0)+1)</f>
        <v>39</v>
      </c>
    </row>
    <row r="112" spans="1:40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Row],[CEK_EXP]]&lt;D111,"err","")</f>
        <v/>
      </c>
      <c r="D112" s="50">
        <f>IF(NOTA[[#This Row],[TANGGAL]]="",D111,NOTA[[#This Row],[TANGGAL]])</f>
        <v>44933</v>
      </c>
      <c r="E112" s="50" t="str">
        <f ca="1">IF(NOTA[[#This Row],[NAMA BARANG]]="","",INDEX(NOTA[ID],MATCH(,INDIRECT(ADDRESS(ROW(NOTA[ID]),COLUMN(NOTA[ID]))&amp;":"&amp;ADDRESS(ROW(),COLUMN(NOTA[ID]))),-1)))</f>
        <v/>
      </c>
      <c r="F112" s="23"/>
      <c r="G112" s="26"/>
      <c r="H112" s="26"/>
      <c r="I112" s="31"/>
      <c r="J112" s="26"/>
      <c r="K112" s="51"/>
      <c r="L112" s="26"/>
      <c r="M112" s="26"/>
      <c r="N112" s="39"/>
      <c r="O112" s="26"/>
      <c r="P112" s="26"/>
      <c r="Q112" s="49"/>
      <c r="R112" s="52"/>
      <c r="S112" s="39"/>
      <c r="T112" s="53"/>
      <c r="U112" s="53"/>
      <c r="V112" s="54"/>
      <c r="W112" s="37"/>
      <c r="X112" s="54" t="str">
        <f>IF(NOTA[[#This Row],[HARGA/ CTN]]="",NOTA[[#This Row],[JUMLAH_H]],NOTA[[#This Row],[HARGA/ CTN]]*IF(NOTA[[#This Row],[C]]="",0,NOTA[[#This Row],[C]]))</f>
        <v/>
      </c>
      <c r="Y112" s="54" t="str">
        <f>IF(NOTA[[#This Row],[JUMLAH]]="","",NOTA[[#This Row],[JUMLAH]]*NOTA[[#This Row],[DISC 1]])</f>
        <v/>
      </c>
      <c r="Z112" s="54" t="str">
        <f>IF(NOTA[[#This Row],[JUMLAH]]="","",(NOTA[[#This Row],[JUMLAH]]-NOTA[[#This Row],[DISC 1-]])*NOTA[[#This Row],[DISC 2]])</f>
        <v/>
      </c>
      <c r="AA112" s="54" t="str">
        <f>IF(NOTA[[#This Row],[JUMLAH]]="","",NOTA[[#This Row],[DISC 1-]]+NOTA[[#This Row],[DISC 2-]])</f>
        <v/>
      </c>
      <c r="AB112" s="54" t="str">
        <f>IF(NOTA[[#This Row],[JUMLAH]]="","",NOTA[[#This Row],[JUMLAH]]-NOTA[[#This Row],[DISC]])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4" t="str">
        <f>IF(OR(NOTA[[#This Row],[QTY]]="",NOTA[[#This Row],[HARGA SATUAN]]="",),"",NOTA[[#This Row],[QTY]]*NOTA[[#This Row],[HARGA SATUAN]])</f>
        <v/>
      </c>
      <c r="AG112" s="51" t="str">
        <f ca="1">IF(NOTA[ID_H]="","",INDEX(NOTA[TANGGAL],MATCH(,INDIRECT(ADDRESS(ROW(NOTA[TANGGAL]),COLUMN(NOTA[TANGGAL]))&amp;":"&amp;ADDRESS(ROW(),COLUMN(NOTA[TANGGAL]))),-1)))</f>
        <v/>
      </c>
      <c r="AH112" s="65" t="str">
        <f ca="1">IF(NOTA[[#This Row],[NAMA BARANG]]="","",INDEX(NOTA[SUPPLIER],MATCH(,INDIRECT(ADDRESS(ROW(NOTA[ID]),COLUMN(NOTA[ID]))&amp;":"&amp;ADDRESS(ROW(),COLUMN(NOTA[ID]))),-1)))</f>
        <v/>
      </c>
      <c r="AI112" s="65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IF(NOTA[C]="",NOTA[[#This Row],[CONCAT1]]&amp;NOTA[[#This Row],[HARGA SATUAN]],NOTA[[#This Row],[CONCAT1]]&amp;NOTA[[#This Row],[HARGA/ CTN_H]]&amp;NOTA[[#This Row],[DISC 1]]&amp;NOTA[[#This Row],[DISC 2]])</f>
        <v/>
      </c>
      <c r="AN112" s="184" t="str">
        <f>IF(NOTA[[#This Row],[CONCAT1]]="","",MATCH(NOTA[[#This Row],[CONCAT1]],[1]!db[NB NOTA_C],0)+1)</f>
        <v/>
      </c>
    </row>
    <row r="113" spans="1:40" ht="20.100000000000001" customHeight="1" x14ac:dyDescent="0.25">
      <c r="A113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ATA_0701_214-9</v>
      </c>
      <c r="C113" s="50" t="str">
        <f>IF(NOTA[[#This Row],[CEK_EXP]]&lt;D112,"err","")</f>
        <v/>
      </c>
      <c r="D113" s="50">
        <f>IF(NOTA[[#This Row],[TANGGAL]]="",D112,NOTA[[#This Row],[TANGGAL]])</f>
        <v>44933</v>
      </c>
      <c r="E113" s="50">
        <f ca="1">IF(NOTA[[#This Row],[NAMA BARANG]]="","",INDEX(NOTA[ID],MATCH(,INDIRECT(ADDRESS(ROW(NOTA[ID]),COLUMN(NOTA[ID]))&amp;":"&amp;ADDRESS(ROW(),COLUMN(NOTA[ID]))),-1)))</f>
        <v>26</v>
      </c>
      <c r="F113" s="23">
        <v>44933</v>
      </c>
      <c r="G113" s="26" t="s">
        <v>25</v>
      </c>
      <c r="H113" s="26" t="s">
        <v>24</v>
      </c>
      <c r="I113" s="31" t="s">
        <v>262</v>
      </c>
      <c r="J113" s="26"/>
      <c r="K113" s="51">
        <v>44931</v>
      </c>
      <c r="L113" s="26"/>
      <c r="M113" s="26" t="s">
        <v>263</v>
      </c>
      <c r="N113" s="39">
        <v>1</v>
      </c>
      <c r="O113" s="26">
        <v>144</v>
      </c>
      <c r="P113" s="26" t="s">
        <v>128</v>
      </c>
      <c r="Q113" s="49">
        <v>18600</v>
      </c>
      <c r="R113" s="52"/>
      <c r="S113" s="39" t="s">
        <v>264</v>
      </c>
      <c r="T113" s="53">
        <v>0.125</v>
      </c>
      <c r="U113" s="53">
        <v>0.05</v>
      </c>
      <c r="V113" s="54"/>
      <c r="W113" s="37"/>
      <c r="X113" s="54">
        <f>IF(NOTA[[#This Row],[HARGA/ CTN]]="",NOTA[[#This Row],[JUMLAH_H]],NOTA[[#This Row],[HARGA/ CTN]]*IF(NOTA[[#This Row],[C]]="",0,NOTA[[#This Row],[C]]))</f>
        <v>2678400</v>
      </c>
      <c r="Y113" s="54">
        <f>IF(NOTA[[#This Row],[JUMLAH]]="","",NOTA[[#This Row],[JUMLAH]]*NOTA[[#This Row],[DISC 1]])</f>
        <v>334800</v>
      </c>
      <c r="Z113" s="54">
        <f>IF(NOTA[[#This Row],[JUMLAH]]="","",(NOTA[[#This Row],[JUMLAH]]-NOTA[[#This Row],[DISC 1-]])*NOTA[[#This Row],[DISC 2]])</f>
        <v>117180</v>
      </c>
      <c r="AA113" s="54">
        <f>IF(NOTA[[#This Row],[JUMLAH]]="","",NOTA[[#This Row],[DISC 1-]]+NOTA[[#This Row],[DISC 2-]])</f>
        <v>451980</v>
      </c>
      <c r="AB113" s="54">
        <f>IF(NOTA[[#This Row],[JUMLAH]]="","",NOTA[[#This Row],[JUMLAH]]-NOTA[[#This Row],[DISC]])</f>
        <v>2226420</v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3" s="54">
        <f>IF(OR(NOTA[[#This Row],[QTY]]="",NOTA[[#This Row],[HARGA SATUAN]]="",),"",NOTA[[#This Row],[QTY]]*NOTA[[#This Row],[HARGA SATUAN]])</f>
        <v>2678400</v>
      </c>
      <c r="AG113" s="51">
        <f ca="1">IF(NOTA[ID_H]="","",INDEX(NOTA[TANGGAL],MATCH(,INDIRECT(ADDRESS(ROW(NOTA[TANGGAL]),COLUMN(NOTA[TANGGAL]))&amp;":"&amp;ADDRESS(ROW(),COLUMN(NOTA[TANGGAL]))),-1)))</f>
        <v>44933</v>
      </c>
      <c r="AH113" s="65" t="str">
        <f ca="1">IF(NOTA[[#This Row],[NAMA BARANG]]="","",INDEX(NOTA[SUPPLIER],MATCH(,INDIRECT(ADDRESS(ROW(NOTA[ID]),COLUMN(NOTA[ID]))&amp;":"&amp;ADDRESS(ROW(),COLUMN(NOTA[ID]))),-1)))</f>
        <v>ATALI MAKMUR</v>
      </c>
      <c r="AI113" s="65" t="str">
        <f ca="1">IF(NOTA[[#This Row],[ID_H]]="","",IF(NOTA[[#This Row],[FAKTUR]]="",INDIRECT(ADDRESS(ROW()-1,COLUMN())),NOTA[[#This Row],[FAKTUR]]))</f>
        <v>ARTO MORO</v>
      </c>
      <c r="AJ113" s="38">
        <f ca="1">IF(NOTA[[#This Row],[ID]]="","",COUNTIF(NOTA[ID_H],NOTA[[#This Row],[ID_H]]))</f>
        <v>9</v>
      </c>
      <c r="AK113" s="38">
        <f>IF(NOTA[[#This Row],[TGL.NOTA]]="",IF(NOTA[[#This Row],[SUPPLIER_H]]="","",AK81),MONTH(NOTA[[#This Row],[TGL.NOTA]]))</f>
        <v>1</v>
      </c>
      <c r="AL113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13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N113" s="184">
        <f>IF(NOTA[[#This Row],[CONCAT1]]="","",MATCH(NOTA[[#This Row],[CONCAT1]],[1]!db[NB NOTA_C],0)+1)</f>
        <v>552</v>
      </c>
    </row>
    <row r="114" spans="1:40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Row],[CEK_EXP]]&lt;D113,"err","")</f>
        <v/>
      </c>
      <c r="D114" s="50">
        <f>IF(NOTA[[#This Row],[TANGGAL]]="",D113,NOTA[[#This Row],[TANGGAL]])</f>
        <v>44933</v>
      </c>
      <c r="E114" s="50">
        <f ca="1">IF(NOTA[[#This Row],[NAMA BARANG]]="","",INDEX(NOTA[ID],MATCH(,INDIRECT(ADDRESS(ROW(NOTA[ID]),COLUMN(NOTA[ID]))&amp;":"&amp;ADDRESS(ROW(),COLUMN(NOTA[ID]))),-1)))</f>
        <v>26</v>
      </c>
      <c r="F114" s="23"/>
      <c r="G114" s="26"/>
      <c r="H114" s="26"/>
      <c r="I114" s="31"/>
      <c r="J114" s="26"/>
      <c r="K114" s="51"/>
      <c r="L114" s="26"/>
      <c r="M114" s="26" t="s">
        <v>265</v>
      </c>
      <c r="N114" s="39">
        <v>1</v>
      </c>
      <c r="O114" s="26">
        <v>360</v>
      </c>
      <c r="P114" s="26" t="s">
        <v>104</v>
      </c>
      <c r="Q114" s="49">
        <v>11000</v>
      </c>
      <c r="R114" s="52"/>
      <c r="S114" s="39" t="s">
        <v>266</v>
      </c>
      <c r="T114" s="53">
        <v>0.125</v>
      </c>
      <c r="U114" s="53">
        <v>0.05</v>
      </c>
      <c r="V114" s="54"/>
      <c r="W114" s="37"/>
      <c r="X114" s="54">
        <f>IF(NOTA[[#This Row],[HARGA/ CTN]]="",NOTA[[#This Row],[JUMLAH_H]],NOTA[[#This Row],[HARGA/ CTN]]*IF(NOTA[[#This Row],[C]]="",0,NOTA[[#This Row],[C]]))</f>
        <v>3960000</v>
      </c>
      <c r="Y114" s="54">
        <f>IF(NOTA[[#This Row],[JUMLAH]]="","",NOTA[[#This Row],[JUMLAH]]*NOTA[[#This Row],[DISC 1]])</f>
        <v>495000</v>
      </c>
      <c r="Z114" s="54">
        <f>IF(NOTA[[#This Row],[JUMLAH]]="","",(NOTA[[#This Row],[JUMLAH]]-NOTA[[#This Row],[DISC 1-]])*NOTA[[#This Row],[DISC 2]])</f>
        <v>173250</v>
      </c>
      <c r="AA114" s="54">
        <f>IF(NOTA[[#This Row],[JUMLAH]]="","",NOTA[[#This Row],[DISC 1-]]+NOTA[[#This Row],[DISC 2-]])</f>
        <v>668250</v>
      </c>
      <c r="AB114" s="54">
        <f>IF(NOTA[[#This Row],[JUMLAH]]="","",NOTA[[#This Row],[JUMLAH]]-NOTA[[#This Row],[DISC]])</f>
        <v>3291750</v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9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14" s="54">
        <f>IF(OR(NOTA[[#This Row],[QTY]]="",NOTA[[#This Row],[HARGA SATUAN]]="",),"",NOTA[[#This Row],[QTY]]*NOTA[[#This Row],[HARGA SATUAN]])</f>
        <v>3960000</v>
      </c>
      <c r="AG114" s="51">
        <f ca="1">IF(NOTA[ID_H]="","",INDEX(NOTA[TANGGAL],MATCH(,INDIRECT(ADDRESS(ROW(NOTA[TANGGAL]),COLUMN(NOTA[TANGGAL]))&amp;":"&amp;ADDRESS(ROW(),COLUMN(NOTA[TANGGAL]))),-1)))</f>
        <v>44933</v>
      </c>
      <c r="AH114" s="65" t="str">
        <f ca="1">IF(NOTA[[#This Row],[NAMA BARANG]]="","",INDEX(NOTA[SUPPLIER],MATCH(,INDIRECT(ADDRESS(ROW(NOTA[ID]),COLUMN(NOTA[ID]))&amp;":"&amp;ADDRESS(ROW(),COLUMN(NOTA[ID]))),-1)))</f>
        <v>ATALI MAKMUR</v>
      </c>
      <c r="AI114" s="65" t="str">
        <f ca="1">IF(NOTA[[#This Row],[ID_H]]="","",IF(NOTA[[#This Row],[FAKTUR]]="",INDIRECT(ADDRESS(ROW()-1,COLUMN())),NOTA[[#This Row],[FAKTUR]]))</f>
        <v>ARTO MORO</v>
      </c>
      <c r="AJ114" s="38" t="str">
        <f ca="1">IF(NOTA[[#This Row],[ID]]="","",COUNTIF(NOTA[ID_H],NOTA[[#This Row],[ID_H]]))</f>
        <v/>
      </c>
      <c r="AK114" s="38">
        <f ca="1">IF(NOTA[[#This Row],[TGL.NOTA]]="",IF(NOTA[[#This Row],[SUPPLIER_H]]="","",AK113),MONTH(NOTA[[#This Row],[TGL.NOTA]]))</f>
        <v>1</v>
      </c>
      <c r="AL114" s="38" t="str">
        <f>LOWER(SUBSTITUTE(SUBSTITUTE(SUBSTITUTE(SUBSTITUTE(SUBSTITUTE(SUBSTITUTE(SUBSTITUTE(SUBSTITUTE(SUBSTITUTE(NOTA[NAMA BARANG]," ",),".",""),"-",""),"(",""),")",""),",",""),"/",""),"""",""),"+",""))</f>
        <v>correctiontapect520jk</v>
      </c>
      <c r="AM114" s="38" t="str">
        <f>IF(NOTA[C]="",NOTA[[#This Row],[CONCAT1]]&amp;NOTA[[#This Row],[HARGA SATUAN]],NOTA[[#This Row],[CONCAT1]]&amp;NOTA[[#This Row],[HARGA/ CTN_H]]&amp;NOTA[[#This Row],[DISC 1]]&amp;NOTA[[#This Row],[DISC 2]])</f>
        <v>correctiontapect520jk39600000.1250.05</v>
      </c>
      <c r="AN114" s="184">
        <f>IF(NOTA[[#This Row],[CONCAT1]]="","",MATCH(NOTA[[#This Row],[CONCAT1]],[1]!db[NB NOTA_C],0)+1)</f>
        <v>521</v>
      </c>
    </row>
    <row r="115" spans="1:40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Row],[CEK_EXP]]&lt;D114,"err","")</f>
        <v/>
      </c>
      <c r="D115" s="50">
        <f>IF(NOTA[[#This Row],[TANGGAL]]="",D114,NOTA[[#This Row],[TANGGAL]])</f>
        <v>44933</v>
      </c>
      <c r="E115" s="50">
        <f ca="1">IF(NOTA[[#This Row],[NAMA BARANG]]="","",INDEX(NOTA[ID],MATCH(,INDIRECT(ADDRESS(ROW(NOTA[ID]),COLUMN(NOTA[ID]))&amp;":"&amp;ADDRESS(ROW(),COLUMN(NOTA[ID]))),-1)))</f>
        <v>26</v>
      </c>
      <c r="F115" s="23"/>
      <c r="G115" s="26"/>
      <c r="H115" s="26"/>
      <c r="I115" s="31"/>
      <c r="J115" s="26"/>
      <c r="K115" s="51"/>
      <c r="L115" s="26"/>
      <c r="M115" s="26" t="s">
        <v>268</v>
      </c>
      <c r="N115" s="39">
        <v>1</v>
      </c>
      <c r="O115" s="26">
        <v>500</v>
      </c>
      <c r="P115" s="26" t="s">
        <v>133</v>
      </c>
      <c r="Q115" s="49">
        <v>3050</v>
      </c>
      <c r="R115" s="52"/>
      <c r="S115" s="39" t="s">
        <v>267</v>
      </c>
      <c r="T115" s="53">
        <v>0.125</v>
      </c>
      <c r="U115" s="53">
        <v>0.05</v>
      </c>
      <c r="V115" s="54"/>
      <c r="W115" s="37"/>
      <c r="X115" s="54">
        <f>IF(NOTA[[#This Row],[HARGA/ CTN]]="",NOTA[[#This Row],[JUMLAH_H]],NOTA[[#This Row],[HARGA/ CTN]]*IF(NOTA[[#This Row],[C]]="",0,NOTA[[#This Row],[C]]))</f>
        <v>1525000</v>
      </c>
      <c r="Y115" s="54">
        <f>IF(NOTA[[#This Row],[JUMLAH]]="","",NOTA[[#This Row],[JUMLAH]]*NOTA[[#This Row],[DISC 1]])</f>
        <v>190625</v>
      </c>
      <c r="Z115" s="54">
        <f>IF(NOTA[[#This Row],[JUMLAH]]="","",(NOTA[[#This Row],[JUMLAH]]-NOTA[[#This Row],[DISC 1-]])*NOTA[[#This Row],[DISC 2]])</f>
        <v>66718.75</v>
      </c>
      <c r="AA115" s="54">
        <f>IF(NOTA[[#This Row],[JUMLAH]]="","",NOTA[[#This Row],[DISC 1-]]+NOTA[[#This Row],[DISC 2-]])</f>
        <v>257343.75</v>
      </c>
      <c r="AB115" s="54">
        <f>IF(NOTA[[#This Row],[JUMLAH]]="","",NOTA[[#This Row],[JUMLAH]]-NOTA[[#This Row],[DISC]])</f>
        <v>1267656.25</v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15" s="54">
        <f>IF(OR(NOTA[[#This Row],[QTY]]="",NOTA[[#This Row],[HARGA SATUAN]]="",),"",NOTA[[#This Row],[QTY]]*NOTA[[#This Row],[HARGA SATUAN]])</f>
        <v>1525000</v>
      </c>
      <c r="AG115" s="51">
        <f ca="1">IF(NOTA[ID_H]="","",INDEX(NOTA[TANGGAL],MATCH(,INDIRECT(ADDRESS(ROW(NOTA[TANGGAL]),COLUMN(NOTA[TANGGAL]))&amp;":"&amp;ADDRESS(ROW(),COLUMN(NOTA[TANGGAL]))),-1)))</f>
        <v>44933</v>
      </c>
      <c r="AH115" s="65" t="str">
        <f ca="1">IF(NOTA[[#This Row],[NAMA BARANG]]="","",INDEX(NOTA[SUPPLIER],MATCH(,INDIRECT(ADDRESS(ROW(NOTA[ID]),COLUMN(NOTA[ID]))&amp;":"&amp;ADDRESS(ROW(),COLUMN(NOTA[ID]))),-1)))</f>
        <v>ATALI MAKMUR</v>
      </c>
      <c r="AI115" s="65" t="str">
        <f ca="1">IF(NOTA[[#This Row],[ID_H]]="","",IF(NOTA[[#This Row],[FAKTUR]]="",INDIRECT(ADDRESS(ROW()-1,COLUMN())),NOTA[[#This Row],[FAKTUR]]))</f>
        <v>ARTO MORO</v>
      </c>
      <c r="AJ115" s="38" t="str">
        <f ca="1">IF(NOTA[[#This Row],[ID]]="","",COUNTIF(NOTA[ID_H],NOTA[[#This Row],[ID_H]]))</f>
        <v/>
      </c>
      <c r="AK115" s="38">
        <f ca="1">IF(NOTA[[#This Row],[TGL.NOTA]]="",IF(NOTA[[#This Row],[SUPPLIER_H]]="","",AK114),MONTH(NOTA[[#This Row],[TGL.NOTA]]))</f>
        <v>1</v>
      </c>
      <c r="AL11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15" s="38" t="str">
        <f>IF(NOTA[C]="",NOTA[[#This Row],[CONCAT1]]&amp;NOTA[[#This Row],[HARGA SATUAN]],NOTA[[#This Row],[CONCAT1]]&amp;NOTA[[#This Row],[HARGA/ CTN_H]]&amp;NOTA[[#This Row],[DISC 1]]&amp;NOTA[[#This Row],[DISC 2]])</f>
        <v>labellbp2ln2barisjk15250000.1250.05</v>
      </c>
      <c r="AN115" s="184">
        <f>IF(NOTA[[#This Row],[CONCAT1]]="","",MATCH(NOTA[[#This Row],[CONCAT1]],[1]!db[NB NOTA_C],0)+1)</f>
        <v>1353</v>
      </c>
    </row>
    <row r="116" spans="1:40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Row],[CEK_EXP]]&lt;D115,"err","")</f>
        <v/>
      </c>
      <c r="D116" s="50">
        <f>IF(NOTA[[#This Row],[TANGGAL]]="",D115,NOTA[[#This Row],[TANGGAL]])</f>
        <v>44933</v>
      </c>
      <c r="E116" s="50">
        <f ca="1">IF(NOTA[[#This Row],[NAMA BARANG]]="","",INDEX(NOTA[ID],MATCH(,INDIRECT(ADDRESS(ROW(NOTA[ID]),COLUMN(NOTA[ID]))&amp;":"&amp;ADDRESS(ROW(),COLUMN(NOTA[ID]))),-1)))</f>
        <v>26</v>
      </c>
      <c r="F116" s="23"/>
      <c r="G116" s="26"/>
      <c r="H116" s="26"/>
      <c r="I116" s="31"/>
      <c r="J116" s="26"/>
      <c r="K116" s="51"/>
      <c r="L116" s="26"/>
      <c r="M116" s="26" t="s">
        <v>269</v>
      </c>
      <c r="N116" s="39">
        <v>2</v>
      </c>
      <c r="O116" s="26">
        <v>48</v>
      </c>
      <c r="P116" s="26" t="s">
        <v>104</v>
      </c>
      <c r="Q116" s="49">
        <v>19000</v>
      </c>
      <c r="R116" s="52"/>
      <c r="S116" s="39" t="s">
        <v>130</v>
      </c>
      <c r="T116" s="53">
        <v>0.125</v>
      </c>
      <c r="U116" s="53">
        <v>0.05</v>
      </c>
      <c r="V116" s="54"/>
      <c r="W116" s="37"/>
      <c r="X116" s="54">
        <f>IF(NOTA[[#This Row],[HARGA/ CTN]]="",NOTA[[#This Row],[JUMLAH_H]],NOTA[[#This Row],[HARGA/ CTN]]*IF(NOTA[[#This Row],[C]]="",0,NOTA[[#This Row],[C]]))</f>
        <v>912000</v>
      </c>
      <c r="Y116" s="54">
        <f>IF(NOTA[[#This Row],[JUMLAH]]="","",NOTA[[#This Row],[JUMLAH]]*NOTA[[#This Row],[DISC 1]])</f>
        <v>114000</v>
      </c>
      <c r="Z116" s="54">
        <f>IF(NOTA[[#This Row],[JUMLAH]]="","",(NOTA[[#This Row],[JUMLAH]]-NOTA[[#This Row],[DISC 1-]])*NOTA[[#This Row],[DISC 2]])</f>
        <v>39900</v>
      </c>
      <c r="AA116" s="54">
        <f>IF(NOTA[[#This Row],[JUMLAH]]="","",NOTA[[#This Row],[DISC 1-]]+NOTA[[#This Row],[DISC 2-]])</f>
        <v>153900</v>
      </c>
      <c r="AB116" s="54">
        <f>IF(NOTA[[#This Row],[JUMLAH]]="","",NOTA[[#This Row],[JUMLAH]]-NOTA[[#This Row],[DISC]])</f>
        <v>758100</v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6" s="54">
        <f>IF(OR(NOTA[[#This Row],[QTY]]="",NOTA[[#This Row],[HARGA SATUAN]]="",),"",NOTA[[#This Row],[QTY]]*NOTA[[#This Row],[HARGA SATUAN]])</f>
        <v>912000</v>
      </c>
      <c r="AG116" s="51">
        <f ca="1">IF(NOTA[ID_H]="","",INDEX(NOTA[TANGGAL],MATCH(,INDIRECT(ADDRESS(ROW(NOTA[TANGGAL]),COLUMN(NOTA[TANGGAL]))&amp;":"&amp;ADDRESS(ROW(),COLUMN(NOTA[TANGGAL]))),-1)))</f>
        <v>44933</v>
      </c>
      <c r="AH116" s="65" t="str">
        <f ca="1">IF(NOTA[[#This Row],[NAMA BARANG]]="","",INDEX(NOTA[SUPPLIER],MATCH(,INDIRECT(ADDRESS(ROW(NOTA[ID]),COLUMN(NOTA[ID]))&amp;":"&amp;ADDRESS(ROW(),COLUMN(NOTA[ID]))),-1)))</f>
        <v>ATALI MAKMUR</v>
      </c>
      <c r="AI116" s="65" t="str">
        <f ca="1">IF(NOTA[[#This Row],[ID_H]]="","",IF(NOTA[[#This Row],[FAKTUR]]="",INDIRECT(ADDRESS(ROW()-1,COLUMN())),NOTA[[#This Row],[FAKTUR]]))</f>
        <v>ARTO MORO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1</v>
      </c>
      <c r="AL11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6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N116" s="184">
        <f>IF(NOTA[[#This Row],[CONCAT1]]="","",MATCH(NOTA[[#This Row],[CONCAT1]],[1]!db[NB NOTA_C],0)+1)</f>
        <v>2026</v>
      </c>
    </row>
    <row r="117" spans="1:40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Row],[CEK_EXP]]&lt;D116,"err","")</f>
        <v/>
      </c>
      <c r="D117" s="50">
        <f>IF(NOTA[[#This Row],[TANGGAL]]="",D116,NOTA[[#This Row],[TANGGAL]])</f>
        <v>44933</v>
      </c>
      <c r="E117" s="50">
        <f ca="1">IF(NOTA[[#This Row],[NAMA BARANG]]="","",INDEX(NOTA[ID],MATCH(,INDIRECT(ADDRESS(ROW(NOTA[ID]),COLUMN(NOTA[ID]))&amp;":"&amp;ADDRESS(ROW(),COLUMN(NOTA[ID]))),-1)))</f>
        <v>26</v>
      </c>
      <c r="F117" s="23"/>
      <c r="G117" s="26"/>
      <c r="H117" s="26"/>
      <c r="I117" s="31"/>
      <c r="J117" s="26"/>
      <c r="K117" s="51"/>
      <c r="L117" s="26"/>
      <c r="M117" s="26" t="s">
        <v>270</v>
      </c>
      <c r="N117" s="39">
        <v>1</v>
      </c>
      <c r="O117" s="26">
        <v>144</v>
      </c>
      <c r="P117" s="26" t="s">
        <v>104</v>
      </c>
      <c r="Q117" s="49">
        <v>4350</v>
      </c>
      <c r="R117" s="52"/>
      <c r="S117" s="39" t="s">
        <v>271</v>
      </c>
      <c r="T117" s="53">
        <v>0.125</v>
      </c>
      <c r="U117" s="53">
        <v>0.05</v>
      </c>
      <c r="V117" s="54"/>
      <c r="W117" s="37"/>
      <c r="X117" s="54">
        <f>IF(NOTA[[#This Row],[HARGA/ CTN]]="",NOTA[[#This Row],[JUMLAH_H]],NOTA[[#This Row],[HARGA/ CTN]]*IF(NOTA[[#This Row],[C]]="",0,NOTA[[#This Row],[C]]))</f>
        <v>626400</v>
      </c>
      <c r="Y117" s="54">
        <f>IF(NOTA[[#This Row],[JUMLAH]]="","",NOTA[[#This Row],[JUMLAH]]*NOTA[[#This Row],[DISC 1]])</f>
        <v>78300</v>
      </c>
      <c r="Z117" s="54">
        <f>IF(NOTA[[#This Row],[JUMLAH]]="","",(NOTA[[#This Row],[JUMLAH]]-NOTA[[#This Row],[DISC 1-]])*NOTA[[#This Row],[DISC 2]])</f>
        <v>27405</v>
      </c>
      <c r="AA117" s="54">
        <f>IF(NOTA[[#This Row],[JUMLAH]]="","",NOTA[[#This Row],[DISC 1-]]+NOTA[[#This Row],[DISC 2-]])</f>
        <v>105705</v>
      </c>
      <c r="AB117" s="54">
        <f>IF(NOTA[[#This Row],[JUMLAH]]="","",NOTA[[#This Row],[JUMLAH]]-NOTA[[#This Row],[DISC]])</f>
        <v>520695</v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17" s="54">
        <f>IF(OR(NOTA[[#This Row],[QTY]]="",NOTA[[#This Row],[HARGA SATUAN]]="",),"",NOTA[[#This Row],[QTY]]*NOTA[[#This Row],[HARGA SATUAN]])</f>
        <v>626400</v>
      </c>
      <c r="AG117" s="51">
        <f ca="1">IF(NOTA[ID_H]="","",INDEX(NOTA[TANGGAL],MATCH(,INDIRECT(ADDRESS(ROW(NOTA[TANGGAL]),COLUMN(NOTA[TANGGAL]))&amp;":"&amp;ADDRESS(ROW(),COLUMN(NOTA[TANGGAL]))),-1)))</f>
        <v>44933</v>
      </c>
      <c r="AH117" s="65" t="str">
        <f ca="1">IF(NOTA[[#This Row],[NAMA BARANG]]="","",INDEX(NOTA[SUPPLIER],MATCH(,INDIRECT(ADDRESS(ROW(NOTA[ID]),COLUMN(NOTA[ID]))&amp;":"&amp;ADDRESS(ROW(),COLUMN(NOTA[ID]))),-1)))</f>
        <v>ATALI MAKMUR</v>
      </c>
      <c r="AI117" s="65" t="str">
        <f ca="1">IF(NOTA[[#This Row],[ID_H]]="","",IF(NOTA[[#This Row],[FAKTUR]]="",INDIRECT(ADDRESS(ROW()-1,COLUMN())),NOTA[[#This Row],[FAKTUR]]))</f>
        <v>ARTO MORO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1</v>
      </c>
      <c r="AL117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M117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N117" s="184">
        <f>IF(NOTA[[#This Row],[CONCAT1]]="","",MATCH(NOTA[[#This Row],[CONCAT1]],[1]!db[NB NOTA_C],0)+1)</f>
        <v>1920</v>
      </c>
    </row>
    <row r="118" spans="1:40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Row],[CEK_EXP]]&lt;D117,"err","")</f>
        <v/>
      </c>
      <c r="D118" s="50">
        <f>IF(NOTA[[#This Row],[TANGGAL]]="",D117,NOTA[[#This Row],[TANGGAL]])</f>
        <v>44933</v>
      </c>
      <c r="E118" s="50">
        <f ca="1">IF(NOTA[[#This Row],[NAMA BARANG]]="","",INDEX(NOTA[ID],MATCH(,INDIRECT(ADDRESS(ROW(NOTA[ID]),COLUMN(NOTA[ID]))&amp;":"&amp;ADDRESS(ROW(),COLUMN(NOTA[ID]))),-1)))</f>
        <v>26</v>
      </c>
      <c r="F118" s="23"/>
      <c r="G118" s="26"/>
      <c r="H118" s="26"/>
      <c r="I118" s="31"/>
      <c r="J118" s="26"/>
      <c r="K118" s="51"/>
      <c r="L118" s="26"/>
      <c r="M118" s="26" t="s">
        <v>291</v>
      </c>
      <c r="N118" s="39">
        <v>1</v>
      </c>
      <c r="O118" s="26">
        <v>144</v>
      </c>
      <c r="P118" s="26" t="s">
        <v>104</v>
      </c>
      <c r="Q118" s="49">
        <v>6500</v>
      </c>
      <c r="R118" s="52"/>
      <c r="S118" s="39" t="s">
        <v>271</v>
      </c>
      <c r="T118" s="53">
        <v>0.125</v>
      </c>
      <c r="U118" s="53">
        <v>0.05</v>
      </c>
      <c r="V118" s="54"/>
      <c r="W118" s="37"/>
      <c r="X118" s="54">
        <f>IF(NOTA[[#This Row],[HARGA/ CTN]]="",NOTA[[#This Row],[JUMLAH_H]],NOTA[[#This Row],[HARGA/ CTN]]*IF(NOTA[[#This Row],[C]]="",0,NOTA[[#This Row],[C]]))</f>
        <v>936000</v>
      </c>
      <c r="Y118" s="54">
        <f>IF(NOTA[[#This Row],[JUMLAH]]="","",NOTA[[#This Row],[JUMLAH]]*NOTA[[#This Row],[DISC 1]])</f>
        <v>117000</v>
      </c>
      <c r="Z118" s="54">
        <f>IF(NOTA[[#This Row],[JUMLAH]]="","",(NOTA[[#This Row],[JUMLAH]]-NOTA[[#This Row],[DISC 1-]])*NOTA[[#This Row],[DISC 2]])</f>
        <v>40950</v>
      </c>
      <c r="AA118" s="54">
        <f>IF(NOTA[[#This Row],[JUMLAH]]="","",NOTA[[#This Row],[DISC 1-]]+NOTA[[#This Row],[DISC 2-]])</f>
        <v>157950</v>
      </c>
      <c r="AB118" s="54">
        <f>IF(NOTA[[#This Row],[JUMLAH]]="","",NOTA[[#This Row],[JUMLAH]]-NOTA[[#This Row],[DISC]])</f>
        <v>778050</v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18" s="54">
        <f>IF(OR(NOTA[[#This Row],[QTY]]="",NOTA[[#This Row],[HARGA SATUAN]]="",),"",NOTA[[#This Row],[QTY]]*NOTA[[#This Row],[HARGA SATUAN]])</f>
        <v>936000</v>
      </c>
      <c r="AG118" s="51">
        <f ca="1">IF(NOTA[ID_H]="","",INDEX(NOTA[TANGGAL],MATCH(,INDIRECT(ADDRESS(ROW(NOTA[TANGGAL]),COLUMN(NOTA[TANGGAL]))&amp;":"&amp;ADDRESS(ROW(),COLUMN(NOTA[TANGGAL]))),-1)))</f>
        <v>44933</v>
      </c>
      <c r="AH118" s="65" t="str">
        <f ca="1">IF(NOTA[[#This Row],[NAMA BARANG]]="","",INDEX(NOTA[SUPPLIER],MATCH(,INDIRECT(ADDRESS(ROW(NOTA[ID]),COLUMN(NOTA[ID]))&amp;":"&amp;ADDRESS(ROW(),COLUMN(NOTA[ID]))),-1)))</f>
        <v>ATALI MAKMUR</v>
      </c>
      <c r="AI118" s="65" t="str">
        <f ca="1">IF(NOTA[[#This Row],[ID_H]]="","",IF(NOTA[[#This Row],[FAKTUR]]="",INDIRECT(ADDRESS(ROW()-1,COLUMN())),NOTA[[#This Row],[FAKTUR]]))</f>
        <v>ARTO MORO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1</v>
      </c>
      <c r="AL118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M118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N118" s="184">
        <f>IF(NOTA[[#This Row],[CONCAT1]]="","",MATCH(NOTA[[#This Row],[CONCAT1]],[1]!db[NB NOTA_C],0)+1)</f>
        <v>1922</v>
      </c>
    </row>
    <row r="119" spans="1:40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Row],[CEK_EXP]]&lt;D118,"err","")</f>
        <v/>
      </c>
      <c r="D119" s="50">
        <f>IF(NOTA[[#This Row],[TANGGAL]]="",D118,NOTA[[#This Row],[TANGGAL]])</f>
        <v>44933</v>
      </c>
      <c r="E119" s="50">
        <f ca="1">IF(NOTA[[#This Row],[NAMA BARANG]]="","",INDEX(NOTA[ID],MATCH(,INDIRECT(ADDRESS(ROW(NOTA[ID]),COLUMN(NOTA[ID]))&amp;":"&amp;ADDRESS(ROW(),COLUMN(NOTA[ID]))),-1)))</f>
        <v>26</v>
      </c>
      <c r="F119" s="23"/>
      <c r="G119" s="26"/>
      <c r="H119" s="26"/>
      <c r="I119" s="31"/>
      <c r="J119" s="26"/>
      <c r="K119" s="51"/>
      <c r="L119" s="26"/>
      <c r="M119" s="26" t="s">
        <v>272</v>
      </c>
      <c r="N119" s="39">
        <v>1</v>
      </c>
      <c r="O119" s="26">
        <v>144</v>
      </c>
      <c r="P119" s="26" t="s">
        <v>104</v>
      </c>
      <c r="Q119" s="49">
        <v>9750</v>
      </c>
      <c r="R119" s="52"/>
      <c r="S119" s="39" t="s">
        <v>271</v>
      </c>
      <c r="T119" s="53">
        <v>0.125</v>
      </c>
      <c r="U119" s="53">
        <v>0.05</v>
      </c>
      <c r="V119" s="54"/>
      <c r="W119" s="37"/>
      <c r="X119" s="54">
        <f>IF(NOTA[[#This Row],[HARGA/ CTN]]="",NOTA[[#This Row],[JUMLAH_H]],NOTA[[#This Row],[HARGA/ CTN]]*IF(NOTA[[#This Row],[C]]="",0,NOTA[[#This Row],[C]]))</f>
        <v>1404000</v>
      </c>
      <c r="Y119" s="54">
        <f>IF(NOTA[[#This Row],[JUMLAH]]="","",NOTA[[#This Row],[JUMLAH]]*NOTA[[#This Row],[DISC 1]])</f>
        <v>175500</v>
      </c>
      <c r="Z119" s="54">
        <f>IF(NOTA[[#This Row],[JUMLAH]]="","",(NOTA[[#This Row],[JUMLAH]]-NOTA[[#This Row],[DISC 1-]])*NOTA[[#This Row],[DISC 2]])</f>
        <v>61425</v>
      </c>
      <c r="AA119" s="54">
        <f>IF(NOTA[[#This Row],[JUMLAH]]="","",NOTA[[#This Row],[DISC 1-]]+NOTA[[#This Row],[DISC 2-]])</f>
        <v>236925</v>
      </c>
      <c r="AB119" s="54">
        <f>IF(NOTA[[#This Row],[JUMLAH]]="","",NOTA[[#This Row],[JUMLAH]]-NOTA[[#This Row],[DISC]])</f>
        <v>1167075</v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119" s="54">
        <f>IF(OR(NOTA[[#This Row],[QTY]]="",NOTA[[#This Row],[HARGA SATUAN]]="",),"",NOTA[[#This Row],[QTY]]*NOTA[[#This Row],[HARGA SATUAN]])</f>
        <v>1404000</v>
      </c>
      <c r="AG119" s="51">
        <f ca="1">IF(NOTA[ID_H]="","",INDEX(NOTA[TANGGAL],MATCH(,INDIRECT(ADDRESS(ROW(NOTA[TANGGAL]),COLUMN(NOTA[TANGGAL]))&amp;":"&amp;ADDRESS(ROW(),COLUMN(NOTA[TANGGAL]))),-1)))</f>
        <v>44933</v>
      </c>
      <c r="AH119" s="65" t="str">
        <f ca="1">IF(NOTA[[#This Row],[NAMA BARANG]]="","",INDEX(NOTA[SUPPLIER],MATCH(,INDIRECT(ADDRESS(ROW(NOTA[ID]),COLUMN(NOTA[ID]))&amp;":"&amp;ADDRESS(ROW(),COLUMN(NOTA[ID]))),-1)))</f>
        <v>ATALI MAKMUR</v>
      </c>
      <c r="AI119" s="65" t="str">
        <f ca="1">IF(NOTA[[#This Row],[ID_H]]="","",IF(NOTA[[#This Row],[FAKTUR]]="",INDIRECT(ADDRESS(ROW()-1,COLUMN())),NOTA[[#This Row],[FAKTUR]]))</f>
        <v>ARTO MORO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1</v>
      </c>
      <c r="AL119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M119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N119" s="184">
        <f>IF(NOTA[[#This Row],[CONCAT1]]="","",MATCH(NOTA[[#This Row],[CONCAT1]],[1]!db[NB NOTA_C],0)+1)</f>
        <v>1924</v>
      </c>
    </row>
    <row r="120" spans="1:40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Row],[CEK_EXP]]&lt;D119,"err","")</f>
        <v/>
      </c>
      <c r="D120" s="50">
        <f>IF(NOTA[[#This Row],[TANGGAL]]="",D119,NOTA[[#This Row],[TANGGAL]])</f>
        <v>44933</v>
      </c>
      <c r="E120" s="50">
        <f ca="1">IF(NOTA[[#This Row],[NAMA BARANG]]="","",INDEX(NOTA[ID],MATCH(,INDIRECT(ADDRESS(ROW(NOTA[ID]),COLUMN(NOTA[ID]))&amp;":"&amp;ADDRESS(ROW(),COLUMN(NOTA[ID]))),-1)))</f>
        <v>26</v>
      </c>
      <c r="F120" s="23"/>
      <c r="G120" s="26"/>
      <c r="H120" s="26"/>
      <c r="I120" s="31"/>
      <c r="J120" s="26"/>
      <c r="K120" s="51"/>
      <c r="L120" s="26"/>
      <c r="M120" s="26" t="s">
        <v>273</v>
      </c>
      <c r="N120" s="39">
        <v>2</v>
      </c>
      <c r="O120" s="26">
        <v>40</v>
      </c>
      <c r="P120" s="26" t="s">
        <v>274</v>
      </c>
      <c r="Q120" s="49">
        <v>67800</v>
      </c>
      <c r="R120" s="52"/>
      <c r="S120" s="39" t="s">
        <v>136</v>
      </c>
      <c r="T120" s="53">
        <v>0.125</v>
      </c>
      <c r="U120" s="53">
        <v>0.05</v>
      </c>
      <c r="V120" s="54"/>
      <c r="W120" s="37"/>
      <c r="X120" s="54">
        <f>IF(NOTA[[#This Row],[HARGA/ CTN]]="",NOTA[[#This Row],[JUMLAH_H]],NOTA[[#This Row],[HARGA/ CTN]]*IF(NOTA[[#This Row],[C]]="",0,NOTA[[#This Row],[C]]))</f>
        <v>2712000</v>
      </c>
      <c r="Y120" s="54">
        <f>IF(NOTA[[#This Row],[JUMLAH]]="","",NOTA[[#This Row],[JUMLAH]]*NOTA[[#This Row],[DISC 1]])</f>
        <v>339000</v>
      </c>
      <c r="Z120" s="54">
        <f>IF(NOTA[[#This Row],[JUMLAH]]="","",(NOTA[[#This Row],[JUMLAH]]-NOTA[[#This Row],[DISC 1-]])*NOTA[[#This Row],[DISC 2]])</f>
        <v>118650</v>
      </c>
      <c r="AA120" s="54">
        <f>IF(NOTA[[#This Row],[JUMLAH]]="","",NOTA[[#This Row],[DISC 1-]]+NOTA[[#This Row],[DISC 2-]])</f>
        <v>457650</v>
      </c>
      <c r="AB120" s="54">
        <f>IF(NOTA[[#This Row],[JUMLAH]]="","",NOTA[[#This Row],[JUMLAH]]-NOTA[[#This Row],[DISC]])</f>
        <v>2254350</v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120" s="54">
        <f>IF(OR(NOTA[[#This Row],[QTY]]="",NOTA[[#This Row],[HARGA SATUAN]]="",),"",NOTA[[#This Row],[QTY]]*NOTA[[#This Row],[HARGA SATUAN]])</f>
        <v>2712000</v>
      </c>
      <c r="AG120" s="51">
        <f ca="1">IF(NOTA[ID_H]="","",INDEX(NOTA[TANGGAL],MATCH(,INDIRECT(ADDRESS(ROW(NOTA[TANGGAL]),COLUMN(NOTA[TANGGAL]))&amp;":"&amp;ADDRESS(ROW(),COLUMN(NOTA[TANGGAL]))),-1)))</f>
        <v>44933</v>
      </c>
      <c r="AH120" s="65" t="str">
        <f ca="1">IF(NOTA[[#This Row],[NAMA BARANG]]="","",INDEX(NOTA[SUPPLIER],MATCH(,INDIRECT(ADDRESS(ROW(NOTA[ID]),COLUMN(NOTA[ID]))&amp;":"&amp;ADDRESS(ROW(),COLUMN(NOTA[ID]))),-1)))</f>
        <v>ATALI MAKMUR</v>
      </c>
      <c r="AI120" s="65" t="str">
        <f ca="1">IF(NOTA[[#This Row],[ID_H]]="","",IF(NOTA[[#This Row],[FAKTUR]]="",INDIRECT(ADDRESS(ROW()-1,COLUMN())),NOTA[[#This Row],[FAKTUR]]))</f>
        <v>ARTO MORO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1</v>
      </c>
      <c r="AL120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M120" s="38" t="str">
        <f>IF(NOTA[C]="",NOTA[[#This Row],[CONCAT1]]&amp;NOTA[[#This Row],[HARGA SATUAN]],NOTA[[#This Row],[CONCAT1]]&amp;NOTA[[#This Row],[HARGA/ CTN_H]]&amp;NOTA[[#This Row],[DISC 1]]&amp;NOTA[[#This Row],[DISC 2]])</f>
        <v>binderclip155jk13560000.1250.05</v>
      </c>
      <c r="AN120" s="184">
        <f>IF(NOTA[[#This Row],[CONCAT1]]="","",MATCH(NOTA[[#This Row],[CONCAT1]],[1]!db[NB NOTA_C],0)+1)</f>
        <v>199</v>
      </c>
    </row>
    <row r="121" spans="1:40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Row],[CEK_EXP]]&lt;D120,"err","")</f>
        <v/>
      </c>
      <c r="D121" s="50">
        <f>IF(NOTA[[#This Row],[TANGGAL]]="",D120,NOTA[[#This Row],[TANGGAL]])</f>
        <v>44933</v>
      </c>
      <c r="E121" s="50">
        <f ca="1">IF(NOTA[[#This Row],[NAMA BARANG]]="","",INDEX(NOTA[ID],MATCH(,INDIRECT(ADDRESS(ROW(NOTA[ID]),COLUMN(NOTA[ID]))&amp;":"&amp;ADDRESS(ROW(),COLUMN(NOTA[ID]))),-1)))</f>
        <v>26</v>
      </c>
      <c r="F121" s="67"/>
      <c r="G121" s="68"/>
      <c r="H121" s="68"/>
      <c r="I121" s="69"/>
      <c r="J121" s="68"/>
      <c r="K121" s="70"/>
      <c r="L121" s="68"/>
      <c r="M121" s="38" t="s">
        <v>275</v>
      </c>
      <c r="N121" s="71"/>
      <c r="O121" s="68">
        <v>48</v>
      </c>
      <c r="P121" s="38" t="s">
        <v>104</v>
      </c>
      <c r="Q121" s="72">
        <v>2350</v>
      </c>
      <c r="R121" s="73"/>
      <c r="S121" s="56" t="s">
        <v>276</v>
      </c>
      <c r="T121" s="74">
        <v>0.1</v>
      </c>
      <c r="U121" s="75">
        <v>0.05</v>
      </c>
      <c r="V121" s="76">
        <v>96444</v>
      </c>
      <c r="W121" s="77"/>
      <c r="X121" s="54">
        <f>IF(NOTA[[#This Row],[HARGA/ CTN]]="",NOTA[[#This Row],[JUMLAH_H]],NOTA[[#This Row],[HARGA/ CTN]]*IF(NOTA[[#This Row],[C]]="",0,NOTA[[#This Row],[C]]))</f>
        <v>112800</v>
      </c>
      <c r="Y121" s="54">
        <f>IF(NOTA[[#This Row],[JUMLAH]]="","",NOTA[[#This Row],[JUMLAH]]*NOTA[[#This Row],[DISC 1]])</f>
        <v>11280</v>
      </c>
      <c r="Z121" s="54">
        <f>IF(NOTA[[#This Row],[JUMLAH]]="","",(NOTA[[#This Row],[JUMLAH]]-NOTA[[#This Row],[DISC 1-]])*NOTA[[#This Row],[DISC 2]])</f>
        <v>5076</v>
      </c>
      <c r="AA121" s="54">
        <f>IF(NOTA[[#This Row],[JUMLAH]]="","",NOTA[[#This Row],[DISC 1-]]+NOTA[[#This Row],[DISC 2-]])</f>
        <v>16356</v>
      </c>
      <c r="AB121" s="54">
        <f>IF(NOTA[[#This Row],[JUMLAH]]="","",NOTA[[#This Row],[JUMLAH]]-NOTA[[#This Row],[DISC]])</f>
        <v>96444</v>
      </c>
      <c r="AC1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2602503.75</v>
      </c>
      <c r="AD1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12264096.25</v>
      </c>
      <c r="AE121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F121" s="54">
        <f>IF(OR(NOTA[[#This Row],[QTY]]="",NOTA[[#This Row],[HARGA SATUAN]]="",),"",NOTA[[#This Row],[QTY]]*NOTA[[#This Row],[HARGA SATUAN]])</f>
        <v>112800</v>
      </c>
      <c r="AG121" s="51">
        <f ca="1">IF(NOTA[ID_H]="","",INDEX(NOTA[TANGGAL],MATCH(,INDIRECT(ADDRESS(ROW(NOTA[TANGGAL]),COLUMN(NOTA[TANGGAL]))&amp;":"&amp;ADDRESS(ROW(),COLUMN(NOTA[TANGGAL]))),-1)))</f>
        <v>44933</v>
      </c>
      <c r="AH121" s="65" t="str">
        <f ca="1">IF(NOTA[[#This Row],[NAMA BARANG]]="","",INDEX(NOTA[SUPPLIER],MATCH(,INDIRECT(ADDRESS(ROW(NOTA[ID]),COLUMN(NOTA[ID]))&amp;":"&amp;ADDRESS(ROW(),COLUMN(NOTA[ID]))),-1)))</f>
        <v>ATALI MAKMUR</v>
      </c>
      <c r="AI121" s="65" t="str">
        <f ca="1">IF(NOTA[[#This Row],[ID_H]]="","",IF(NOTA[[#This Row],[FAKTUR]]="",INDIRECT(ADDRESS(ROW()-1,COLUMN())),NOTA[[#This Row],[FAKTUR]]))</f>
        <v>ARTO MORO</v>
      </c>
      <c r="AJ121" s="38" t="str">
        <f ca="1">IF(NOTA[[#This Row],[ID]]="","",COUNTIF(NOTA[ID_H],NOTA[[#This Row],[ID_H]]))</f>
        <v/>
      </c>
      <c r="AK121" s="38">
        <f ca="1">IF(NOTA[[#This Row],[TGL.NOTA]]="",IF(NOTA[[#This Row],[SUPPLIER_H]]="","",AK120),MONTH(NOTA[[#This Row],[TGL.NOTA]]))</f>
        <v>1</v>
      </c>
      <c r="AL121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M121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N121" s="184">
        <f>IF(NOTA[[#This Row],[CONCAT1]]="","",MATCH(NOTA[[#This Row],[CONCAT1]],[1]!db[NB NOTA_C],0)+1)</f>
        <v>1834</v>
      </c>
    </row>
    <row r="122" spans="1:40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Row],[CEK_EXP]]&lt;D121,"err","")</f>
        <v/>
      </c>
      <c r="D122" s="50">
        <f>IF(NOTA[[#This Row],[TANGGAL]]="",D121,NOTA[[#This Row],[TANGGAL]])</f>
        <v>44933</v>
      </c>
      <c r="E122" s="50" t="str">
        <f ca="1">IF(NOTA[[#This Row],[NAMA BARANG]]="","",INDEX(NOTA[ID],MATCH(,INDIRECT(ADDRESS(ROW(NOTA[ID]),COLUMN(NOTA[ID]))&amp;":"&amp;ADDRESS(ROW(),COLUMN(NOTA[ID]))),-1)))</f>
        <v/>
      </c>
      <c r="F122" s="23"/>
      <c r="G122" s="26"/>
      <c r="H122" s="26"/>
      <c r="I122" s="31"/>
      <c r="J122" s="26"/>
      <c r="K122" s="51"/>
      <c r="L122" s="26"/>
      <c r="M122" s="26"/>
      <c r="N122" s="39"/>
      <c r="O122" s="26"/>
      <c r="P122" s="26"/>
      <c r="Q122" s="49"/>
      <c r="R122" s="52"/>
      <c r="S122" s="39"/>
      <c r="T122" s="53"/>
      <c r="U122" s="53"/>
      <c r="V122" s="54"/>
      <c r="W122" s="37"/>
      <c r="X122" s="54" t="str">
        <f>IF(NOTA[[#This Row],[HARGA/ CTN]]="",NOTA[[#This Row],[JUMLAH_H]],NOTA[[#This Row],[HARGA/ CTN]]*IF(NOTA[[#This Row],[C]]="",0,NOTA[[#This Row],[C]]))</f>
        <v/>
      </c>
      <c r="Y122" s="54" t="str">
        <f>IF(NOTA[[#This Row],[JUMLAH]]="","",NOTA[[#This Row],[JUMLAH]]*NOTA[[#This Row],[DISC 1]])</f>
        <v/>
      </c>
      <c r="Z122" s="54" t="str">
        <f>IF(NOTA[[#This Row],[JUMLAH]]="","",(NOTA[[#This Row],[JUMLAH]]-NOTA[[#This Row],[DISC 1-]])*NOTA[[#This Row],[DISC 2]])</f>
        <v/>
      </c>
      <c r="AA122" s="54" t="str">
        <f>IF(NOTA[[#This Row],[JUMLAH]]="","",NOTA[[#This Row],[DISC 1-]]+NOTA[[#This Row],[DISC 2-]])</f>
        <v/>
      </c>
      <c r="AB122" s="54" t="str">
        <f>IF(NOTA[[#This Row],[JUMLAH]]="","",NOTA[[#This Row],[JUMLAH]]-NOTA[[#This Row],[DISC]])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" s="54" t="str">
        <f>IF(OR(NOTA[[#This Row],[QTY]]="",NOTA[[#This Row],[HARGA SATUAN]]="",),"",NOTA[[#This Row],[QTY]]*NOTA[[#This Row],[HARGA SATUAN]])</f>
        <v/>
      </c>
      <c r="AG122" s="51" t="str">
        <f ca="1">IF(NOTA[ID_H]="","",INDEX(NOTA[TANGGAL],MATCH(,INDIRECT(ADDRESS(ROW(NOTA[TANGGAL]),COLUMN(NOTA[TANGGAL]))&amp;":"&amp;ADDRESS(ROW(),COLUMN(NOTA[TANGGAL]))),-1)))</f>
        <v/>
      </c>
      <c r="AH122" s="65" t="str">
        <f ca="1">IF(NOTA[[#This Row],[NAMA BARANG]]="","",INDEX(NOTA[SUPPLIER],MATCH(,INDIRECT(ADDRESS(ROW(NOTA[ID]),COLUMN(NOTA[ID]))&amp;":"&amp;ADDRESS(ROW(),COLUMN(NOTA[ID]))),-1)))</f>
        <v/>
      </c>
      <c r="AI122" s="65" t="str">
        <f ca="1">IF(NOTA[[#This Row],[ID_H]]="","",IF(NOTA[[#This Row],[FAKTUR]]="",INDIRECT(ADDRESS(ROW()-1,COLUMN())),NOTA[[#This Row],[FAKTUR]]))</f>
        <v/>
      </c>
      <c r="AJ122" s="38" t="str">
        <f ca="1">IF(NOTA[[#This Row],[ID]]="","",COUNTIF(NOTA[ID_H],NOTA[[#This Row],[ID_H]]))</f>
        <v/>
      </c>
      <c r="AK122" s="38" t="str">
        <f ca="1">IF(NOTA[[#This Row],[TGL.NOTA]]="",IF(NOTA[[#This Row],[SUPPLIER_H]]="","",AK121),MONTH(NOTA[[#This Row],[TGL.NOTA]]))</f>
        <v/>
      </c>
      <c r="AL122" s="38" t="str">
        <f>LOWER(SUBSTITUTE(SUBSTITUTE(SUBSTITUTE(SUBSTITUTE(SUBSTITUTE(SUBSTITUTE(SUBSTITUTE(SUBSTITUTE(SUBSTITUTE(NOTA[NAMA BARANG]," ",),".",""),"-",""),"(",""),")",""),",",""),"/",""),"""",""),"+",""))</f>
        <v/>
      </c>
      <c r="AM122" s="38" t="str">
        <f>IF(NOTA[C]="",NOTA[[#This Row],[CONCAT1]]&amp;NOTA[[#This Row],[HARGA SATUAN]],NOTA[[#This Row],[CONCAT1]]&amp;NOTA[[#This Row],[HARGA/ CTN_H]]&amp;NOTA[[#This Row],[DISC 1]]&amp;NOTA[[#This Row],[DISC 2]])</f>
        <v/>
      </c>
      <c r="AN122" s="184" t="str">
        <f>IF(NOTA[[#This Row],[CONCAT1]]="","",MATCH(NOTA[[#This Row],[CONCAT1]],[1]!db[NB NOTA_C],0)+1)</f>
        <v/>
      </c>
    </row>
    <row r="123" spans="1:40" ht="20.100000000000001" customHeight="1" x14ac:dyDescent="0.25">
      <c r="A123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ATA_0701_135-2</v>
      </c>
      <c r="C123" s="50" t="str">
        <f>IF(NOTA[[#This Row],[CEK_EXP]]&lt;D122,"err","")</f>
        <v/>
      </c>
      <c r="D123" s="50">
        <f>IF(NOTA[[#This Row],[TANGGAL]]="",D122,NOTA[[#This Row],[TANGGAL]])</f>
        <v>44933</v>
      </c>
      <c r="E123" s="50">
        <f ca="1">IF(NOTA[[#This Row],[NAMA BARANG]]="","",INDEX(NOTA[ID],MATCH(,INDIRECT(ADDRESS(ROW(NOTA[ID]),COLUMN(NOTA[ID]))&amp;":"&amp;ADDRESS(ROW(),COLUMN(NOTA[ID]))),-1)))</f>
        <v>27</v>
      </c>
      <c r="F123" s="23"/>
      <c r="G123" s="26" t="s">
        <v>25</v>
      </c>
      <c r="H123" s="26" t="s">
        <v>24</v>
      </c>
      <c r="I123" s="31" t="s">
        <v>277</v>
      </c>
      <c r="J123" s="26"/>
      <c r="K123" s="51">
        <v>44930</v>
      </c>
      <c r="L123" s="26"/>
      <c r="M123" s="26" t="s">
        <v>278</v>
      </c>
      <c r="N123" s="39">
        <v>3</v>
      </c>
      <c r="O123" s="26">
        <v>150</v>
      </c>
      <c r="P123" s="26" t="s">
        <v>131</v>
      </c>
      <c r="Q123" s="49">
        <v>28300</v>
      </c>
      <c r="R123" s="52"/>
      <c r="S123" s="39" t="s">
        <v>279</v>
      </c>
      <c r="T123" s="53">
        <v>0.125</v>
      </c>
      <c r="U123" s="53">
        <v>0.05</v>
      </c>
      <c r="V123" s="54"/>
      <c r="W123" s="37"/>
      <c r="X123" s="54">
        <f>IF(NOTA[[#This Row],[HARGA/ CTN]]="",NOTA[[#This Row],[JUMLAH_H]],NOTA[[#This Row],[HARGA/ CTN]]*IF(NOTA[[#This Row],[C]]="",0,NOTA[[#This Row],[C]]))</f>
        <v>4245000</v>
      </c>
      <c r="Y123" s="54">
        <f>IF(NOTA[[#This Row],[JUMLAH]]="","",NOTA[[#This Row],[JUMLAH]]*NOTA[[#This Row],[DISC 1]])</f>
        <v>530625</v>
      </c>
      <c r="Z123" s="54">
        <f>IF(NOTA[[#This Row],[JUMLAH]]="","",(NOTA[[#This Row],[JUMLAH]]-NOTA[[#This Row],[DISC 1-]])*NOTA[[#This Row],[DISC 2]])</f>
        <v>185718.75</v>
      </c>
      <c r="AA123" s="54">
        <f>IF(NOTA[[#This Row],[JUMLAH]]="","",NOTA[[#This Row],[DISC 1-]]+NOTA[[#This Row],[DISC 2-]])</f>
        <v>716343.75</v>
      </c>
      <c r="AB123" s="54">
        <f>IF(NOTA[[#This Row],[JUMLAH]]="","",NOTA[[#This Row],[JUMLAH]]-NOTA[[#This Row],[DISC]])</f>
        <v>3528656.25</v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23" s="54">
        <f>IF(OR(NOTA[[#This Row],[QTY]]="",NOTA[[#This Row],[HARGA SATUAN]]="",),"",NOTA[[#This Row],[QTY]]*NOTA[[#This Row],[HARGA SATUAN]])</f>
        <v>4245000</v>
      </c>
      <c r="AG123" s="51">
        <f ca="1">IF(NOTA[ID_H]="","",INDEX(NOTA[TANGGAL],MATCH(,INDIRECT(ADDRESS(ROW(NOTA[TANGGAL]),COLUMN(NOTA[TANGGAL]))&amp;":"&amp;ADDRESS(ROW(),COLUMN(NOTA[TANGGAL]))),-1)))</f>
        <v>44933</v>
      </c>
      <c r="AH123" s="65" t="str">
        <f ca="1">IF(NOTA[[#This Row],[NAMA BARANG]]="","",INDEX(NOTA[SUPPLIER],MATCH(,INDIRECT(ADDRESS(ROW(NOTA[ID]),COLUMN(NOTA[ID]))&amp;":"&amp;ADDRESS(ROW(),COLUMN(NOTA[ID]))),-1)))</f>
        <v>ATALI MAKMUR</v>
      </c>
      <c r="AI123" s="65" t="str">
        <f ca="1">IF(NOTA[[#This Row],[ID_H]]="","",IF(NOTA[[#This Row],[FAKTUR]]="",INDIRECT(ADDRESS(ROW()-1,COLUMN())),NOTA[[#This Row],[FAKTUR]]))</f>
        <v>ARTO MORO</v>
      </c>
      <c r="AJ123" s="38">
        <f ca="1">IF(NOTA[[#This Row],[ID]]="","",COUNTIF(NOTA[ID_H],NOTA[[#This Row],[ID_H]]))</f>
        <v>2</v>
      </c>
      <c r="AK123" s="38">
        <f>IF(NOTA[[#This Row],[TGL.NOTA]]="",IF(NOTA[[#This Row],[SUPPLIER_H]]="","",AK122),MONTH(NOTA[[#This Row],[TGL.NOTA]]))</f>
        <v>1</v>
      </c>
      <c r="AL12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123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123" s="184">
        <f>IF(NOTA[[#This Row],[CONCAT1]]="","",MATCH(NOTA[[#This Row],[CONCAT1]],[1]!db[NB NOTA_C],0)+1)</f>
        <v>680</v>
      </c>
    </row>
    <row r="124" spans="1:40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Row],[CEK_EXP]]&lt;D123,"err","")</f>
        <v/>
      </c>
      <c r="D124" s="50">
        <f>IF(NOTA[[#This Row],[TANGGAL]]="",D123,NOTA[[#This Row],[TANGGAL]])</f>
        <v>44933</v>
      </c>
      <c r="E124" s="50">
        <f ca="1">IF(NOTA[[#This Row],[NAMA BARANG]]="","",INDEX(NOTA[ID],MATCH(,INDIRECT(ADDRESS(ROW(NOTA[ID]),COLUMN(NOTA[ID]))&amp;":"&amp;ADDRESS(ROW(),COLUMN(NOTA[ID]))),-1)))</f>
        <v>27</v>
      </c>
      <c r="F124" s="23"/>
      <c r="G124" s="26"/>
      <c r="H124" s="26"/>
      <c r="I124" s="31"/>
      <c r="J124" s="26"/>
      <c r="K124" s="51"/>
      <c r="L124" s="26"/>
      <c r="M124" s="26" t="s">
        <v>280</v>
      </c>
      <c r="N124" s="39">
        <v>2</v>
      </c>
      <c r="O124" s="26">
        <v>100</v>
      </c>
      <c r="P124" s="26" t="s">
        <v>131</v>
      </c>
      <c r="Q124" s="49">
        <v>34100</v>
      </c>
      <c r="R124" s="52"/>
      <c r="S124" s="39" t="s">
        <v>281</v>
      </c>
      <c r="T124" s="53">
        <v>0.125</v>
      </c>
      <c r="U124" s="53">
        <v>0.05</v>
      </c>
      <c r="V124" s="54"/>
      <c r="W124" s="37"/>
      <c r="X124" s="54">
        <f>IF(NOTA[[#This Row],[HARGA/ CTN]]="",NOTA[[#This Row],[JUMLAH_H]],NOTA[[#This Row],[HARGA/ CTN]]*IF(NOTA[[#This Row],[C]]="",0,NOTA[[#This Row],[C]]))</f>
        <v>3410000</v>
      </c>
      <c r="Y124" s="54">
        <f>IF(NOTA[[#This Row],[JUMLAH]]="","",NOTA[[#This Row],[JUMLAH]]*NOTA[[#This Row],[DISC 1]])</f>
        <v>426250</v>
      </c>
      <c r="Z124" s="54">
        <f>IF(NOTA[[#This Row],[JUMLAH]]="","",(NOTA[[#This Row],[JUMLAH]]-NOTA[[#This Row],[DISC 1-]])*NOTA[[#This Row],[DISC 2]])</f>
        <v>149187.5</v>
      </c>
      <c r="AA124" s="54">
        <f>IF(NOTA[[#This Row],[JUMLAH]]="","",NOTA[[#This Row],[DISC 1-]]+NOTA[[#This Row],[DISC 2-]])</f>
        <v>575437.5</v>
      </c>
      <c r="AB124" s="54">
        <f>IF(NOTA[[#This Row],[JUMLAH]]="","",NOTA[[#This Row],[JUMLAH]]-NOTA[[#This Row],[DISC]])</f>
        <v>2834562.5</v>
      </c>
      <c r="AC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1291781.25</v>
      </c>
      <c r="AD1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6363218.75</v>
      </c>
      <c r="AE12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24" s="54">
        <f>IF(OR(NOTA[[#This Row],[QTY]]="",NOTA[[#This Row],[HARGA SATUAN]]="",),"",NOTA[[#This Row],[QTY]]*NOTA[[#This Row],[HARGA SATUAN]])</f>
        <v>3410000</v>
      </c>
      <c r="AG124" s="51">
        <f ca="1">IF(NOTA[ID_H]="","",INDEX(NOTA[TANGGAL],MATCH(,INDIRECT(ADDRESS(ROW(NOTA[TANGGAL]),COLUMN(NOTA[TANGGAL]))&amp;":"&amp;ADDRESS(ROW(),COLUMN(NOTA[TANGGAL]))),-1)))</f>
        <v>44933</v>
      </c>
      <c r="AH124" s="65" t="str">
        <f ca="1">IF(NOTA[[#This Row],[NAMA BARANG]]="","",INDEX(NOTA[SUPPLIER],MATCH(,INDIRECT(ADDRESS(ROW(NOTA[ID]),COLUMN(NOTA[ID]))&amp;":"&amp;ADDRESS(ROW(),COLUMN(NOTA[ID]))),-1)))</f>
        <v>ATALI MAKMUR</v>
      </c>
      <c r="AI124" s="65" t="str">
        <f ca="1">IF(NOTA[[#This Row],[ID_H]]="","",IF(NOTA[[#This Row],[FAKTUR]]="",INDIRECT(ADDRESS(ROW()-1,COLUMN())),NOTA[[#This Row],[FAKTUR]]))</f>
        <v>ARTO MORO</v>
      </c>
      <c r="AJ124" s="38" t="str">
        <f ca="1">IF(NOTA[[#This Row],[ID]]="","",COUNTIF(NOTA[ID_H],NOTA[[#This Row],[ID_H]]))</f>
        <v/>
      </c>
      <c r="AK124" s="38">
        <f ca="1">IF(NOTA[[#This Row],[TGL.NOTA]]="",IF(NOTA[[#This Row],[SUPPLIER_H]]="","",AK123),MONTH(NOTA[[#This Row],[TGL.NOTA]]))</f>
        <v>1</v>
      </c>
      <c r="AL1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124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124" s="184">
        <f>IF(NOTA[[#This Row],[CONCAT1]]="","",MATCH(NOTA[[#This Row],[CONCAT1]],[1]!db[NB NOTA_C],0)+1)</f>
        <v>678</v>
      </c>
    </row>
    <row r="125" spans="1:40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Row],[CEK_EXP]]&lt;D124,"err","")</f>
        <v/>
      </c>
      <c r="D125" s="50">
        <f>IF(NOTA[[#This Row],[TANGGAL]]="",D124,NOTA[[#This Row],[TANGGAL]])</f>
        <v>44933</v>
      </c>
      <c r="E125" s="50" t="str">
        <f ca="1">IF(NOTA[[#This Row],[NAMA BARANG]]="","",INDEX(NOTA[ID],MATCH(,INDIRECT(ADDRESS(ROW(NOTA[ID]),COLUMN(NOTA[ID]))&amp;":"&amp;ADDRESS(ROW(),COLUMN(NOTA[ID]))),-1)))</f>
        <v/>
      </c>
      <c r="F125" s="23"/>
      <c r="G125" s="26"/>
      <c r="H125" s="26"/>
      <c r="I125" s="31"/>
      <c r="J125" s="26"/>
      <c r="K125" s="51"/>
      <c r="L125" s="26"/>
      <c r="M125" s="26"/>
      <c r="N125" s="39"/>
      <c r="O125" s="26"/>
      <c r="P125" s="26"/>
      <c r="Q125" s="49"/>
      <c r="R125" s="52"/>
      <c r="S125" s="39"/>
      <c r="T125" s="53"/>
      <c r="U125" s="53"/>
      <c r="V125" s="54"/>
      <c r="W125" s="37"/>
      <c r="X125" s="54" t="str">
        <f>IF(NOTA[[#This Row],[HARGA/ CTN]]="",NOTA[[#This Row],[JUMLAH_H]],NOTA[[#This Row],[HARGA/ CTN]]*IF(NOTA[[#This Row],[C]]="",0,NOTA[[#This Row],[C]]))</f>
        <v/>
      </c>
      <c r="Y125" s="54" t="str">
        <f>IF(NOTA[[#This Row],[JUMLAH]]="","",NOTA[[#This Row],[JUMLAH]]*NOTA[[#This Row],[DISC 1]])</f>
        <v/>
      </c>
      <c r="Z125" s="54" t="str">
        <f>IF(NOTA[[#This Row],[JUMLAH]]="","",(NOTA[[#This Row],[JUMLAH]]-NOTA[[#This Row],[DISC 1-]])*NOTA[[#This Row],[DISC 2]])</f>
        <v/>
      </c>
      <c r="AA125" s="54" t="str">
        <f>IF(NOTA[[#This Row],[JUMLAH]]="","",NOTA[[#This Row],[DISC 1-]]+NOTA[[#This Row],[DISC 2-]])</f>
        <v/>
      </c>
      <c r="AB125" s="54" t="str">
        <f>IF(NOTA[[#This Row],[JUMLAH]]="","",NOTA[[#This Row],[JUMLAH]]-NOTA[[#This Row],[DISC]])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54" t="str">
        <f>IF(OR(NOTA[[#This Row],[QTY]]="",NOTA[[#This Row],[HARGA SATUAN]]="",),"",NOTA[[#This Row],[QTY]]*NOTA[[#This Row],[HARGA SATUAN]])</f>
        <v/>
      </c>
      <c r="AG125" s="51" t="str">
        <f ca="1">IF(NOTA[ID_H]="","",INDEX(NOTA[TANGGAL],MATCH(,INDIRECT(ADDRESS(ROW(NOTA[TANGGAL]),COLUMN(NOTA[TANGGAL]))&amp;":"&amp;ADDRESS(ROW(),COLUMN(NOTA[TANGGAL]))),-1)))</f>
        <v/>
      </c>
      <c r="AH125" s="65" t="str">
        <f ca="1">IF(NOTA[[#This Row],[NAMA BARANG]]="","",INDEX(NOTA[SUPPLIER],MATCH(,INDIRECT(ADDRESS(ROW(NOTA[ID]),COLUMN(NOTA[ID]))&amp;":"&amp;ADDRESS(ROW(),COLUMN(NOTA[ID]))),-1)))</f>
        <v/>
      </c>
      <c r="AI125" s="65" t="str">
        <f ca="1">IF(NOTA[[#This Row],[ID_H]]="","",IF(NOTA[[#This Row],[FAKTUR]]="",INDIRECT(ADDRESS(ROW()-1,COLUMN())),NOTA[[#This Row],[FAKTUR]]))</f>
        <v/>
      </c>
      <c r="AJ125" s="38" t="str">
        <f ca="1">IF(NOTA[[#This Row],[ID]]="","",COUNTIF(NOTA[ID_H],NOTA[[#This Row],[ID_H]]))</f>
        <v/>
      </c>
      <c r="AK125" s="38" t="str">
        <f ca="1">IF(NOTA[[#This Row],[TGL.NOTA]]="",IF(NOTA[[#This Row],[SUPPLIER_H]]="","",AK124),MONTH(NOTA[[#This Row],[TGL.NOTA]]))</f>
        <v/>
      </c>
      <c r="AL125" s="38" t="str">
        <f>LOWER(SUBSTITUTE(SUBSTITUTE(SUBSTITUTE(SUBSTITUTE(SUBSTITUTE(SUBSTITUTE(SUBSTITUTE(SUBSTITUTE(SUBSTITUTE(NOTA[NAMA BARANG]," ",),".",""),"-",""),"(",""),")",""),",",""),"/",""),"""",""),"+",""))</f>
        <v/>
      </c>
      <c r="AM125" s="38" t="str">
        <f>IF(NOTA[C]="",NOTA[[#This Row],[CONCAT1]]&amp;NOTA[[#This Row],[HARGA SATUAN]],NOTA[[#This Row],[CONCAT1]]&amp;NOTA[[#This Row],[HARGA/ CTN_H]]&amp;NOTA[[#This Row],[DISC 1]]&amp;NOTA[[#This Row],[DISC 2]])</f>
        <v/>
      </c>
      <c r="AN125" s="184" t="str">
        <f>IF(NOTA[[#This Row],[CONCAT1]]="","",MATCH(NOTA[[#This Row],[CONCAT1]],[1]!db[NB NOTA_C],0)+1)</f>
        <v/>
      </c>
    </row>
    <row r="126" spans="1:40" ht="20.100000000000001" customHeight="1" x14ac:dyDescent="0.25">
      <c r="A126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ATA_0701_107-4</v>
      </c>
      <c r="C126" s="50" t="str">
        <f>IF(NOTA[[#This Row],[CEK_EXP]]&lt;D125,"err","")</f>
        <v/>
      </c>
      <c r="D126" s="50">
        <f>IF(NOTA[[#This Row],[TANGGAL]]="",D125,NOTA[[#This Row],[TANGGAL]])</f>
        <v>44933</v>
      </c>
      <c r="E126" s="50">
        <f ca="1">IF(NOTA[[#This Row],[NAMA BARANG]]="","",INDEX(NOTA[ID],MATCH(,INDIRECT(ADDRESS(ROW(NOTA[ID]),COLUMN(NOTA[ID]))&amp;":"&amp;ADDRESS(ROW(),COLUMN(NOTA[ID]))),-1)))</f>
        <v>28</v>
      </c>
      <c r="F126" s="23"/>
      <c r="G126" s="26" t="s">
        <v>25</v>
      </c>
      <c r="H126" s="26" t="s">
        <v>24</v>
      </c>
      <c r="I126" s="31" t="s">
        <v>282</v>
      </c>
      <c r="J126" s="26"/>
      <c r="K126" s="51">
        <v>44564</v>
      </c>
      <c r="L126" s="26"/>
      <c r="M126" s="26" t="s">
        <v>278</v>
      </c>
      <c r="N126" s="39">
        <v>5</v>
      </c>
      <c r="O126" s="26">
        <v>250</v>
      </c>
      <c r="P126" s="26" t="s">
        <v>131</v>
      </c>
      <c r="Q126" s="49">
        <v>28300</v>
      </c>
      <c r="R126" s="52"/>
      <c r="S126" s="39" t="s">
        <v>279</v>
      </c>
      <c r="T126" s="53">
        <v>0.125</v>
      </c>
      <c r="U126" s="53">
        <v>0.05</v>
      </c>
      <c r="V126" s="54"/>
      <c r="W126" s="37"/>
      <c r="X126" s="54">
        <f>IF(NOTA[[#This Row],[HARGA/ CTN]]="",NOTA[[#This Row],[JUMLAH_H]],NOTA[[#This Row],[HARGA/ CTN]]*IF(NOTA[[#This Row],[C]]="",0,NOTA[[#This Row],[C]]))</f>
        <v>7075000</v>
      </c>
      <c r="Y126" s="54">
        <f>IF(NOTA[[#This Row],[JUMLAH]]="","",NOTA[[#This Row],[JUMLAH]]*NOTA[[#This Row],[DISC 1]])</f>
        <v>884375</v>
      </c>
      <c r="Z126" s="54">
        <f>IF(NOTA[[#This Row],[JUMLAH]]="","",(NOTA[[#This Row],[JUMLAH]]-NOTA[[#This Row],[DISC 1-]])*NOTA[[#This Row],[DISC 2]])</f>
        <v>309531.25</v>
      </c>
      <c r="AA126" s="54">
        <f>IF(NOTA[[#This Row],[JUMLAH]]="","",NOTA[[#This Row],[DISC 1-]]+NOTA[[#This Row],[DISC 2-]])</f>
        <v>1193906.25</v>
      </c>
      <c r="AB126" s="54">
        <f>IF(NOTA[[#This Row],[JUMLAH]]="","",NOTA[[#This Row],[JUMLAH]]-NOTA[[#This Row],[DISC]])</f>
        <v>5881093.75</v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26" s="54">
        <f>IF(OR(NOTA[[#This Row],[QTY]]="",NOTA[[#This Row],[HARGA SATUAN]]="",),"",NOTA[[#This Row],[QTY]]*NOTA[[#This Row],[HARGA SATUAN]])</f>
        <v>7075000</v>
      </c>
      <c r="AG126" s="51">
        <f ca="1">IF(NOTA[ID_H]="","",INDEX(NOTA[TANGGAL],MATCH(,INDIRECT(ADDRESS(ROW(NOTA[TANGGAL]),COLUMN(NOTA[TANGGAL]))&amp;":"&amp;ADDRESS(ROW(),COLUMN(NOTA[TANGGAL]))),-1)))</f>
        <v>44933</v>
      </c>
      <c r="AH126" s="65" t="str">
        <f ca="1">IF(NOTA[[#This Row],[NAMA BARANG]]="","",INDEX(NOTA[SUPPLIER],MATCH(,INDIRECT(ADDRESS(ROW(NOTA[ID]),COLUMN(NOTA[ID]))&amp;":"&amp;ADDRESS(ROW(),COLUMN(NOTA[ID]))),-1)))</f>
        <v>ATALI MAKMUR</v>
      </c>
      <c r="AI126" s="65" t="str">
        <f ca="1">IF(NOTA[[#This Row],[ID_H]]="","",IF(NOTA[[#This Row],[FAKTUR]]="",INDIRECT(ADDRESS(ROW()-1,COLUMN())),NOTA[[#This Row],[FAKTUR]]))</f>
        <v>ARTO MORO</v>
      </c>
      <c r="AJ126" s="38">
        <f ca="1">IF(NOTA[[#This Row],[ID]]="","",COUNTIF(NOTA[ID_H],NOTA[[#This Row],[ID_H]]))</f>
        <v>4</v>
      </c>
      <c r="AK126" s="38">
        <f>IF(NOTA[[#This Row],[TGL.NOTA]]="",IF(NOTA[[#This Row],[SUPPLIER_H]]="","",AK125),MONTH(NOTA[[#This Row],[TGL.NOTA]]))</f>
        <v>1</v>
      </c>
      <c r="AL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126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126" s="184">
        <f>IF(NOTA[[#This Row],[CONCAT1]]="","",MATCH(NOTA[[#This Row],[CONCAT1]],[1]!db[NB NOTA_C],0)+1)</f>
        <v>680</v>
      </c>
    </row>
    <row r="127" spans="1:40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Row],[CEK_EXP]]&lt;D126,"err","")</f>
        <v/>
      </c>
      <c r="D127" s="50">
        <f>IF(NOTA[[#This Row],[TANGGAL]]="",D126,NOTA[[#This Row],[TANGGAL]])</f>
        <v>44933</v>
      </c>
      <c r="E127" s="50">
        <f ca="1">IF(NOTA[[#This Row],[NAMA BARANG]]="","",INDEX(NOTA[ID],MATCH(,INDIRECT(ADDRESS(ROW(NOTA[ID]),COLUMN(NOTA[ID]))&amp;":"&amp;ADDRESS(ROW(),COLUMN(NOTA[ID]))),-1)))</f>
        <v>28</v>
      </c>
      <c r="F127" s="23"/>
      <c r="G127" s="26"/>
      <c r="H127" s="26"/>
      <c r="I127" s="31"/>
      <c r="J127" s="26"/>
      <c r="K127" s="51"/>
      <c r="L127" s="26"/>
      <c r="M127" s="26" t="s">
        <v>283</v>
      </c>
      <c r="N127" s="39">
        <v>5</v>
      </c>
      <c r="O127" s="26">
        <v>250</v>
      </c>
      <c r="P127" s="26" t="s">
        <v>131</v>
      </c>
      <c r="Q127" s="49">
        <v>28300</v>
      </c>
      <c r="R127" s="52"/>
      <c r="S127" s="39" t="s">
        <v>279</v>
      </c>
      <c r="T127" s="53">
        <v>0.125</v>
      </c>
      <c r="U127" s="53">
        <v>0.05</v>
      </c>
      <c r="V127" s="54"/>
      <c r="W127" s="37"/>
      <c r="X127" s="54">
        <f>IF(NOTA[[#This Row],[HARGA/ CTN]]="",NOTA[[#This Row],[JUMLAH_H]],NOTA[[#This Row],[HARGA/ CTN]]*IF(NOTA[[#This Row],[C]]="",0,NOTA[[#This Row],[C]]))</f>
        <v>7075000</v>
      </c>
      <c r="Y127" s="54">
        <f>IF(NOTA[[#This Row],[JUMLAH]]="","",NOTA[[#This Row],[JUMLAH]]*NOTA[[#This Row],[DISC 1]])</f>
        <v>884375</v>
      </c>
      <c r="Z127" s="54">
        <f>IF(NOTA[[#This Row],[JUMLAH]]="","",(NOTA[[#This Row],[JUMLAH]]-NOTA[[#This Row],[DISC 1-]])*NOTA[[#This Row],[DISC 2]])</f>
        <v>309531.25</v>
      </c>
      <c r="AA127" s="54">
        <f>IF(NOTA[[#This Row],[JUMLAH]]="","",NOTA[[#This Row],[DISC 1-]]+NOTA[[#This Row],[DISC 2-]])</f>
        <v>1193906.25</v>
      </c>
      <c r="AB127" s="54">
        <f>IF(NOTA[[#This Row],[JUMLAH]]="","",NOTA[[#This Row],[JUMLAH]]-NOTA[[#This Row],[DISC]])</f>
        <v>5881093.75</v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27" s="54">
        <f>IF(OR(NOTA[[#This Row],[QTY]]="",NOTA[[#This Row],[HARGA SATUAN]]="",),"",NOTA[[#This Row],[QTY]]*NOTA[[#This Row],[HARGA SATUAN]])</f>
        <v>7075000</v>
      </c>
      <c r="AG127" s="51">
        <f ca="1">IF(NOTA[ID_H]="","",INDEX(NOTA[TANGGAL],MATCH(,INDIRECT(ADDRESS(ROW(NOTA[TANGGAL]),COLUMN(NOTA[TANGGAL]))&amp;":"&amp;ADDRESS(ROW(),COLUMN(NOTA[TANGGAL]))),-1)))</f>
        <v>44933</v>
      </c>
      <c r="AH127" s="65" t="str">
        <f ca="1">IF(NOTA[[#This Row],[NAMA BARANG]]="","",INDEX(NOTA[SUPPLIER],MATCH(,INDIRECT(ADDRESS(ROW(NOTA[ID]),COLUMN(NOTA[ID]))&amp;":"&amp;ADDRESS(ROW(),COLUMN(NOTA[ID]))),-1)))</f>
        <v>ATALI MAKMUR</v>
      </c>
      <c r="AI127" s="65" t="str">
        <f ca="1">IF(NOTA[[#This Row],[ID_H]]="","",IF(NOTA[[#This Row],[FAKTUR]]="",INDIRECT(ADDRESS(ROW()-1,COLUMN())),NOTA[[#This Row],[FAKTUR]]))</f>
        <v>ARTO MORO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1</v>
      </c>
      <c r="AL12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M127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N127" s="184">
        <f>IF(NOTA[[#This Row],[CONCAT1]]="","",MATCH(NOTA[[#This Row],[CONCAT1]],[1]!db[NB NOTA_C],0)+1)</f>
        <v>679</v>
      </c>
    </row>
    <row r="128" spans="1:40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Row],[CEK_EXP]]&lt;D127,"err","")</f>
        <v/>
      </c>
      <c r="D128" s="50">
        <f>IF(NOTA[[#This Row],[TANGGAL]]="",D127,NOTA[[#This Row],[TANGGAL]])</f>
        <v>44933</v>
      </c>
      <c r="E128" s="50">
        <f ca="1">IF(NOTA[[#This Row],[NAMA BARANG]]="","",INDEX(NOTA[ID],MATCH(,INDIRECT(ADDRESS(ROW(NOTA[ID]),COLUMN(NOTA[ID]))&amp;":"&amp;ADDRESS(ROW(),COLUMN(NOTA[ID]))),-1)))</f>
        <v>28</v>
      </c>
      <c r="F128" s="23"/>
      <c r="G128" s="26"/>
      <c r="H128" s="26"/>
      <c r="I128" s="31"/>
      <c r="J128" s="26"/>
      <c r="K128" s="51"/>
      <c r="L128" s="26"/>
      <c r="M128" s="26" t="s">
        <v>280</v>
      </c>
      <c r="N128" s="39">
        <v>5</v>
      </c>
      <c r="O128" s="26">
        <v>250</v>
      </c>
      <c r="P128" s="26" t="s">
        <v>131</v>
      </c>
      <c r="Q128" s="49">
        <v>34100</v>
      </c>
      <c r="R128" s="52"/>
      <c r="S128" s="39" t="s">
        <v>281</v>
      </c>
      <c r="T128" s="53">
        <v>0.125</v>
      </c>
      <c r="U128" s="53">
        <v>0.05</v>
      </c>
      <c r="V128" s="54"/>
      <c r="W128" s="37"/>
      <c r="X128" s="54">
        <f>IF(NOTA[[#This Row],[HARGA/ CTN]]="",NOTA[[#This Row],[JUMLAH_H]],NOTA[[#This Row],[HARGA/ CTN]]*IF(NOTA[[#This Row],[C]]="",0,NOTA[[#This Row],[C]]))</f>
        <v>8525000</v>
      </c>
      <c r="Y128" s="54">
        <f>IF(NOTA[[#This Row],[JUMLAH]]="","",NOTA[[#This Row],[JUMLAH]]*NOTA[[#This Row],[DISC 1]])</f>
        <v>1065625</v>
      </c>
      <c r="Z128" s="54">
        <f>IF(NOTA[[#This Row],[JUMLAH]]="","",(NOTA[[#This Row],[JUMLAH]]-NOTA[[#This Row],[DISC 1-]])*NOTA[[#This Row],[DISC 2]])</f>
        <v>372968.75</v>
      </c>
      <c r="AA128" s="54">
        <f>IF(NOTA[[#This Row],[JUMLAH]]="","",NOTA[[#This Row],[DISC 1-]]+NOTA[[#This Row],[DISC 2-]])</f>
        <v>1438593.75</v>
      </c>
      <c r="AB128" s="54">
        <f>IF(NOTA[[#This Row],[JUMLAH]]="","",NOTA[[#This Row],[JUMLAH]]-NOTA[[#This Row],[DISC]])</f>
        <v>7086406.25</v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28" s="54">
        <f>IF(OR(NOTA[[#This Row],[QTY]]="",NOTA[[#This Row],[HARGA SATUAN]]="",),"",NOTA[[#This Row],[QTY]]*NOTA[[#This Row],[HARGA SATUAN]])</f>
        <v>8525000</v>
      </c>
      <c r="AG128" s="51">
        <f ca="1">IF(NOTA[ID_H]="","",INDEX(NOTA[TANGGAL],MATCH(,INDIRECT(ADDRESS(ROW(NOTA[TANGGAL]),COLUMN(NOTA[TANGGAL]))&amp;":"&amp;ADDRESS(ROW(),COLUMN(NOTA[TANGGAL]))),-1)))</f>
        <v>44933</v>
      </c>
      <c r="AH128" s="65" t="str">
        <f ca="1">IF(NOTA[[#This Row],[NAMA BARANG]]="","",INDEX(NOTA[SUPPLIER],MATCH(,INDIRECT(ADDRESS(ROW(NOTA[ID]),COLUMN(NOTA[ID]))&amp;":"&amp;ADDRESS(ROW(),COLUMN(NOTA[ID]))),-1)))</f>
        <v>ATALI MAKMUR</v>
      </c>
      <c r="AI128" s="65" t="str">
        <f ca="1">IF(NOTA[[#This Row],[ID_H]]="","",IF(NOTA[[#This Row],[FAKTUR]]="",INDIRECT(ADDRESS(ROW()-1,COLUMN())),NOTA[[#This Row],[FAKTUR]]))</f>
        <v>ARTO MORO</v>
      </c>
      <c r="AJ128" s="38" t="str">
        <f ca="1">IF(NOTA[[#This Row],[ID]]="","",COUNTIF(NOTA[ID_H],NOTA[[#This Row],[ID_H]]))</f>
        <v/>
      </c>
      <c r="AK128" s="38">
        <f ca="1">IF(NOTA[[#This Row],[TGL.NOTA]]="",IF(NOTA[[#This Row],[SUPPLIER_H]]="","",AK127),MONTH(NOTA[[#This Row],[TGL.NOTA]]))</f>
        <v>1</v>
      </c>
      <c r="AL12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12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128" s="184">
        <f>IF(NOTA[[#This Row],[CONCAT1]]="","",MATCH(NOTA[[#This Row],[CONCAT1]],[1]!db[NB NOTA_C],0)+1)</f>
        <v>678</v>
      </c>
    </row>
    <row r="129" spans="1:40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Row],[CEK_EXP]]&lt;D128,"err","")</f>
        <v/>
      </c>
      <c r="D129" s="50">
        <f>IF(NOTA[[#This Row],[TANGGAL]]="",D128,NOTA[[#This Row],[TANGGAL]])</f>
        <v>44933</v>
      </c>
      <c r="E129" s="50">
        <f ca="1">IF(NOTA[[#This Row],[NAMA BARANG]]="","",INDEX(NOTA[ID],MATCH(,INDIRECT(ADDRESS(ROW(NOTA[ID]),COLUMN(NOTA[ID]))&amp;":"&amp;ADDRESS(ROW(),COLUMN(NOTA[ID]))),-1)))</f>
        <v>28</v>
      </c>
      <c r="F129" s="23"/>
      <c r="G129" s="26"/>
      <c r="H129" s="26"/>
      <c r="I129" s="31"/>
      <c r="J129" s="26"/>
      <c r="K129" s="51"/>
      <c r="L129" s="26"/>
      <c r="M129" s="26" t="s">
        <v>284</v>
      </c>
      <c r="N129" s="39">
        <v>3</v>
      </c>
      <c r="O129" s="26">
        <v>150</v>
      </c>
      <c r="P129" s="26" t="s">
        <v>131</v>
      </c>
      <c r="Q129" s="49">
        <v>34100</v>
      </c>
      <c r="R129" s="52"/>
      <c r="S129" s="39" t="s">
        <v>281</v>
      </c>
      <c r="T129" s="53">
        <v>0.125</v>
      </c>
      <c r="U129" s="53">
        <v>0.05</v>
      </c>
      <c r="V129" s="54"/>
      <c r="W129" s="37"/>
      <c r="X129" s="54">
        <f>IF(NOTA[[#This Row],[HARGA/ CTN]]="",NOTA[[#This Row],[JUMLAH_H]],NOTA[[#This Row],[HARGA/ CTN]]*IF(NOTA[[#This Row],[C]]="",0,NOTA[[#This Row],[C]]))</f>
        <v>5115000</v>
      </c>
      <c r="Y129" s="54">
        <f>IF(NOTA[[#This Row],[JUMLAH]]="","",NOTA[[#This Row],[JUMLAH]]*NOTA[[#This Row],[DISC 1]])</f>
        <v>639375</v>
      </c>
      <c r="Z129" s="54">
        <f>IF(NOTA[[#This Row],[JUMLAH]]="","",(NOTA[[#This Row],[JUMLAH]]-NOTA[[#This Row],[DISC 1-]])*NOTA[[#This Row],[DISC 2]])</f>
        <v>223781.25</v>
      </c>
      <c r="AA129" s="54">
        <f>IF(NOTA[[#This Row],[JUMLAH]]="","",NOTA[[#This Row],[DISC 1-]]+NOTA[[#This Row],[DISC 2-]])</f>
        <v>863156.25</v>
      </c>
      <c r="AB129" s="54">
        <f>IF(NOTA[[#This Row],[JUMLAH]]="","",NOTA[[#This Row],[JUMLAH]]-NOTA[[#This Row],[DISC]])</f>
        <v>4251843.75</v>
      </c>
      <c r="AC1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4689562.5</v>
      </c>
      <c r="AD1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23100437.5</v>
      </c>
      <c r="AE12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29" s="54">
        <f>IF(OR(NOTA[[#This Row],[QTY]]="",NOTA[[#This Row],[HARGA SATUAN]]="",),"",NOTA[[#This Row],[QTY]]*NOTA[[#This Row],[HARGA SATUAN]])</f>
        <v>5115000</v>
      </c>
      <c r="AG129" s="51">
        <f ca="1">IF(NOTA[ID_H]="","",INDEX(NOTA[TANGGAL],MATCH(,INDIRECT(ADDRESS(ROW(NOTA[TANGGAL]),COLUMN(NOTA[TANGGAL]))&amp;":"&amp;ADDRESS(ROW(),COLUMN(NOTA[TANGGAL]))),-1)))</f>
        <v>44933</v>
      </c>
      <c r="AH129" s="65" t="str">
        <f ca="1">IF(NOTA[[#This Row],[NAMA BARANG]]="","",INDEX(NOTA[SUPPLIER],MATCH(,INDIRECT(ADDRESS(ROW(NOTA[ID]),COLUMN(NOTA[ID]))&amp;":"&amp;ADDRESS(ROW(),COLUMN(NOTA[ID]))),-1)))</f>
        <v>ATALI MAKMUR</v>
      </c>
      <c r="AI129" s="65" t="str">
        <f ca="1">IF(NOTA[[#This Row],[ID_H]]="","",IF(NOTA[[#This Row],[FAKTUR]]="",INDIRECT(ADDRESS(ROW()-1,COLUMN())),NOTA[[#This Row],[FAKTUR]]))</f>
        <v>ARTO MORO</v>
      </c>
      <c r="AJ129" s="38" t="str">
        <f ca="1">IF(NOTA[[#This Row],[ID]]="","",COUNTIF(NOTA[ID_H],NOTA[[#This Row],[ID_H]]))</f>
        <v/>
      </c>
      <c r="AK129" s="38">
        <f ca="1">IF(NOTA[[#This Row],[TGL.NOTA]]="",IF(NOTA[[#This Row],[SUPPLIER_H]]="","",AK128),MONTH(NOTA[[#This Row],[TGL.NOTA]]))</f>
        <v>1</v>
      </c>
      <c r="AL129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M129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N129" s="184">
        <f>IF(NOTA[[#This Row],[CONCAT1]]="","",MATCH(NOTA[[#This Row],[CONCAT1]],[1]!db[NB NOTA_C],0)+1)</f>
        <v>687</v>
      </c>
    </row>
    <row r="130" spans="1:40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Row],[CEK_EXP]]&lt;D129,"err","")</f>
        <v/>
      </c>
      <c r="D130" s="50">
        <f>IF(NOTA[[#This Row],[TANGGAL]]="",D129,NOTA[[#This Row],[TANGGAL]])</f>
        <v>44933</v>
      </c>
      <c r="E130" s="50" t="str">
        <f ca="1">IF(NOTA[[#This Row],[NAMA BARANG]]="","",INDEX(NOTA[ID],MATCH(,INDIRECT(ADDRESS(ROW(NOTA[ID]),COLUMN(NOTA[ID]))&amp;":"&amp;ADDRESS(ROW(),COLUMN(NOTA[ID]))),-1)))</f>
        <v/>
      </c>
      <c r="F130" s="23"/>
      <c r="G130" s="26"/>
      <c r="H130" s="26"/>
      <c r="I130" s="31"/>
      <c r="J130" s="26"/>
      <c r="K130" s="51"/>
      <c r="L130" s="26"/>
      <c r="M130" s="26"/>
      <c r="N130" s="39"/>
      <c r="O130" s="26"/>
      <c r="P130" s="26"/>
      <c r="Q130" s="49"/>
      <c r="R130" s="52"/>
      <c r="S130" s="39"/>
      <c r="T130" s="53"/>
      <c r="U130" s="53"/>
      <c r="V130" s="54"/>
      <c r="W130" s="37"/>
      <c r="X130" s="54" t="str">
        <f>IF(NOTA[[#This Row],[HARGA/ CTN]]="",NOTA[[#This Row],[JUMLAH_H]],NOTA[[#This Row],[HARGA/ CTN]]*IF(NOTA[[#This Row],[C]]="",0,NOTA[[#This Row],[C]]))</f>
        <v/>
      </c>
      <c r="Y130" s="54" t="str">
        <f>IF(NOTA[[#This Row],[JUMLAH]]="","",NOTA[[#This Row],[JUMLAH]]*NOTA[[#This Row],[DISC 1]])</f>
        <v/>
      </c>
      <c r="Z130" s="54" t="str">
        <f>IF(NOTA[[#This Row],[JUMLAH]]="","",(NOTA[[#This Row],[JUMLAH]]-NOTA[[#This Row],[DISC 1-]])*NOTA[[#This Row],[DISC 2]])</f>
        <v/>
      </c>
      <c r="AA130" s="54" t="str">
        <f>IF(NOTA[[#This Row],[JUMLAH]]="","",NOTA[[#This Row],[DISC 1-]]+NOTA[[#This Row],[DISC 2-]])</f>
        <v/>
      </c>
      <c r="AB130" s="54" t="str">
        <f>IF(NOTA[[#This Row],[JUMLAH]]="","",NOTA[[#This Row],[JUMLAH]]-NOTA[[#This Row],[DISC]])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4" t="str">
        <f>IF(OR(NOTA[[#This Row],[QTY]]="",NOTA[[#This Row],[HARGA SATUAN]]="",),"",NOTA[[#This Row],[QTY]]*NOTA[[#This Row],[HARGA SATUAN]])</f>
        <v/>
      </c>
      <c r="AG130" s="51" t="str">
        <f ca="1">IF(NOTA[ID_H]="","",INDEX(NOTA[TANGGAL],MATCH(,INDIRECT(ADDRESS(ROW(NOTA[TANGGAL]),COLUMN(NOTA[TANGGAL]))&amp;":"&amp;ADDRESS(ROW(),COLUMN(NOTA[TANGGAL]))),-1)))</f>
        <v/>
      </c>
      <c r="AH130" s="65" t="str">
        <f ca="1">IF(NOTA[[#This Row],[NAMA BARANG]]="","",INDEX(NOTA[SUPPLIER],MATCH(,INDIRECT(ADDRESS(ROW(NOTA[ID]),COLUMN(NOTA[ID]))&amp;":"&amp;ADDRESS(ROW(),COLUMN(NOTA[ID]))),-1)))</f>
        <v/>
      </c>
      <c r="AI130" s="65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IF(NOTA[C]="",NOTA[[#This Row],[CONCAT1]]&amp;NOTA[[#This Row],[HARGA SATUAN]],NOTA[[#This Row],[CONCAT1]]&amp;NOTA[[#This Row],[HARGA/ CTN_H]]&amp;NOTA[[#This Row],[DISC 1]]&amp;NOTA[[#This Row],[DISC 2]])</f>
        <v/>
      </c>
      <c r="AN130" s="184" t="str">
        <f>IF(NOTA[[#This Row],[CONCAT1]]="","",MATCH(NOTA[[#This Row],[CONCAT1]],[1]!db[NB NOTA_C],0)+1)</f>
        <v/>
      </c>
    </row>
    <row r="131" spans="1:40" ht="20.100000000000001" customHeight="1" x14ac:dyDescent="0.25">
      <c r="A131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HAN_0701_081-1</v>
      </c>
      <c r="C131" s="50" t="str">
        <f>IF(NOTA[[#This Row],[CEK_EXP]]&lt;D130,"err","")</f>
        <v/>
      </c>
      <c r="D131" s="50">
        <f>IF(NOTA[[#This Row],[TANGGAL]]="",D130,NOTA[[#This Row],[TANGGAL]])</f>
        <v>44933</v>
      </c>
      <c r="E131" s="50">
        <f ca="1">IF(NOTA[[#This Row],[NAMA BARANG]]="","",INDEX(NOTA[ID],MATCH(,INDIRECT(ADDRESS(ROW(NOTA[ID]),COLUMN(NOTA[ID]))&amp;":"&amp;ADDRESS(ROW(),COLUMN(NOTA[ID]))),-1)))</f>
        <v>29</v>
      </c>
      <c r="F131" s="23"/>
      <c r="G131" s="26" t="s">
        <v>285</v>
      </c>
      <c r="H131" s="26" t="s">
        <v>87</v>
      </c>
      <c r="I131" s="31" t="s">
        <v>286</v>
      </c>
      <c r="J131" s="26"/>
      <c r="K131" s="51">
        <v>45237</v>
      </c>
      <c r="L131" s="26"/>
      <c r="M131" s="26" t="s">
        <v>287</v>
      </c>
      <c r="N131" s="39"/>
      <c r="O131" s="26">
        <v>1</v>
      </c>
      <c r="P131" s="26" t="s">
        <v>90</v>
      </c>
      <c r="Q131" s="49">
        <v>13000</v>
      </c>
      <c r="R131" s="52"/>
      <c r="S131" s="39"/>
      <c r="T131" s="53"/>
      <c r="U131" s="53"/>
      <c r="V131" s="54"/>
      <c r="W131" s="37" t="s">
        <v>288</v>
      </c>
      <c r="X131" s="54">
        <f>IF(NOTA[[#This Row],[HARGA/ CTN]]="",NOTA[[#This Row],[JUMLAH_H]],NOTA[[#This Row],[HARGA/ CTN]]*IF(NOTA[[#This Row],[C]]="",0,NOTA[[#This Row],[C]]))</f>
        <v>13000</v>
      </c>
      <c r="Y131" s="54">
        <f>IF(NOTA[[#This Row],[JUMLAH]]="","",NOTA[[#This Row],[JUMLAH]]*NOTA[[#This Row],[DISC 1]])</f>
        <v>0</v>
      </c>
      <c r="Z131" s="54">
        <f>IF(NOTA[[#This Row],[JUMLAH]]="","",(NOTA[[#This Row],[JUMLAH]]-NOTA[[#This Row],[DISC 1-]])*NOTA[[#This Row],[DISC 2]])</f>
        <v>0</v>
      </c>
      <c r="AA131" s="54">
        <f>IF(NOTA[[#This Row],[JUMLAH]]="","",NOTA[[#This Row],[DISC 1-]]+NOTA[[#This Row],[DISC 2-]])</f>
        <v>0</v>
      </c>
      <c r="AB131" s="54">
        <f>IF(NOTA[[#This Row],[JUMLAH]]="","",NOTA[[#This Row],[JUMLAH]]-NOTA[[#This Row],[DISC]])</f>
        <v>13000</v>
      </c>
      <c r="AC1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E131" s="49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F131" s="54">
        <f>IF(OR(NOTA[[#This Row],[QTY]]="",NOTA[[#This Row],[HARGA SATUAN]]="",),"",NOTA[[#This Row],[QTY]]*NOTA[[#This Row],[HARGA SATUAN]])</f>
        <v>13000</v>
      </c>
      <c r="AG131" s="51">
        <f ca="1">IF(NOTA[ID_H]="","",INDEX(NOTA[TANGGAL],MATCH(,INDIRECT(ADDRESS(ROW(NOTA[TANGGAL]),COLUMN(NOTA[TANGGAL]))&amp;":"&amp;ADDRESS(ROW(),COLUMN(NOTA[TANGGAL]))),-1)))</f>
        <v>44933</v>
      </c>
      <c r="AH131" s="65" t="str">
        <f ca="1">IF(NOTA[[#This Row],[NAMA BARANG]]="","",INDEX(NOTA[SUPPLIER],MATCH(,INDIRECT(ADDRESS(ROW(NOTA[ID]),COLUMN(NOTA[ID]))&amp;":"&amp;ADDRESS(ROW(),COLUMN(NOTA[ID]))),-1)))</f>
        <v>HANSA</v>
      </c>
      <c r="AI131" s="65" t="str">
        <f ca="1">IF(NOTA[[#This Row],[ID_H]]="","",IF(NOTA[[#This Row],[FAKTUR]]="",INDIRECT(ADDRESS(ROW()-1,COLUMN())),NOTA[[#This Row],[FAKTUR]]))</f>
        <v>UNTANA</v>
      </c>
      <c r="AJ131" s="38">
        <f ca="1">IF(NOTA[[#This Row],[ID]]="","",COUNTIF(NOTA[ID_H],NOTA[[#This Row],[ID_H]]))</f>
        <v>1</v>
      </c>
      <c r="AK131" s="38">
        <f>IF(NOTA[[#This Row],[TGL.NOTA]]="",IF(NOTA[[#This Row],[SUPPLIER_H]]="","",#REF!),MONTH(NOTA[[#This Row],[TGL.NOTA]]))</f>
        <v>11</v>
      </c>
      <c r="AL13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31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N131" s="184">
        <f>IF(NOTA[[#This Row],[CONCAT1]]="","",MATCH(NOTA[[#This Row],[CONCAT1]],[1]!db[NB NOTA_C],0)+1)</f>
        <v>1377</v>
      </c>
    </row>
    <row r="132" spans="1:40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Row],[CEK_EXP]]&lt;D131,"err","")</f>
        <v/>
      </c>
      <c r="D132" s="50">
        <f>IF(NOTA[[#This Row],[TANGGAL]]="",D131,NOTA[[#This Row],[TANGGAL]])</f>
        <v>44933</v>
      </c>
      <c r="E132" s="50" t="str">
        <f ca="1">IF(NOTA[[#This Row],[NAMA BARANG]]="","",INDEX(NOTA[ID],MATCH(,INDIRECT(ADDRESS(ROW(NOTA[ID]),COLUMN(NOTA[ID]))&amp;":"&amp;ADDRESS(ROW(),COLUMN(NOTA[ID]))),-1)))</f>
        <v/>
      </c>
      <c r="F132" s="23"/>
      <c r="G132" s="26"/>
      <c r="H132" s="26"/>
      <c r="I132" s="31"/>
      <c r="J132" s="26"/>
      <c r="K132" s="51"/>
      <c r="L132" s="26"/>
      <c r="M132" s="26"/>
      <c r="N132" s="39"/>
      <c r="O132" s="26"/>
      <c r="P132" s="26"/>
      <c r="Q132" s="49"/>
      <c r="R132" s="52"/>
      <c r="S132" s="39"/>
      <c r="T132" s="53"/>
      <c r="U132" s="53"/>
      <c r="V132" s="54"/>
      <c r="W132" s="37"/>
      <c r="X132" s="54" t="str">
        <f>IF(NOTA[[#This Row],[HARGA/ CTN]]="",NOTA[[#This Row],[JUMLAH_H]],NOTA[[#This Row],[HARGA/ CTN]]*IF(NOTA[[#This Row],[C]]="",0,NOTA[[#This Row],[C]]))</f>
        <v/>
      </c>
      <c r="Y132" s="54" t="str">
        <f>IF(NOTA[[#This Row],[JUMLAH]]="","",NOTA[[#This Row],[JUMLAH]]*NOTA[[#This Row],[DISC 1]])</f>
        <v/>
      </c>
      <c r="Z132" s="54" t="str">
        <f>IF(NOTA[[#This Row],[JUMLAH]]="","",(NOTA[[#This Row],[JUMLAH]]-NOTA[[#This Row],[DISC 1-]])*NOTA[[#This Row],[DISC 2]])</f>
        <v/>
      </c>
      <c r="AA132" s="54" t="str">
        <f>IF(NOTA[[#This Row],[JUMLAH]]="","",NOTA[[#This Row],[DISC 1-]]+NOTA[[#This Row],[DISC 2-]])</f>
        <v/>
      </c>
      <c r="AB132" s="54" t="str">
        <f>IF(NOTA[[#This Row],[JUMLAH]]="","",NOTA[[#This Row],[JUMLAH]]-NOTA[[#This Row],[DISC]])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54" t="str">
        <f>IF(OR(NOTA[[#This Row],[QTY]]="",NOTA[[#This Row],[HARGA SATUAN]]="",),"",NOTA[[#This Row],[QTY]]*NOTA[[#This Row],[HARGA SATUAN]])</f>
        <v/>
      </c>
      <c r="AG132" s="51" t="str">
        <f ca="1">IF(NOTA[ID_H]="","",INDEX(NOTA[TANGGAL],MATCH(,INDIRECT(ADDRESS(ROW(NOTA[TANGGAL]),COLUMN(NOTA[TANGGAL]))&amp;":"&amp;ADDRESS(ROW(),COLUMN(NOTA[TANGGAL]))),-1)))</f>
        <v/>
      </c>
      <c r="AH132" s="65" t="str">
        <f ca="1">IF(NOTA[[#This Row],[NAMA BARANG]]="","",INDEX(NOTA[SUPPLIER],MATCH(,INDIRECT(ADDRESS(ROW(NOTA[ID]),COLUMN(NOTA[ID]))&amp;":"&amp;ADDRESS(ROW(),COLUMN(NOTA[ID]))),-1)))</f>
        <v/>
      </c>
      <c r="AI132" s="65" t="str">
        <f ca="1">IF(NOTA[[#This Row],[ID_H]]="","",IF(NOTA[[#This Row],[FAKTUR]]="",INDIRECT(ADDRESS(ROW()-1,COLUMN())),NOTA[[#This Row],[FAKTUR]]))</f>
        <v/>
      </c>
      <c r="AJ132" s="38" t="str">
        <f ca="1">IF(NOTA[[#This Row],[ID]]="","",COUNTIF(NOTA[ID_H],NOTA[[#This Row],[ID_H]]))</f>
        <v/>
      </c>
      <c r="AK132" s="38" t="str">
        <f ca="1">IF(NOTA[[#This Row],[TGL.NOTA]]="",IF(NOTA[[#This Row],[SUPPLIER_H]]="","",AK131),MONTH(NOTA[[#This Row],[TGL.NOTA]]))</f>
        <v/>
      </c>
      <c r="AL132" s="38" t="str">
        <f>LOWER(SUBSTITUTE(SUBSTITUTE(SUBSTITUTE(SUBSTITUTE(SUBSTITUTE(SUBSTITUTE(SUBSTITUTE(SUBSTITUTE(SUBSTITUTE(NOTA[NAMA BARANG]," ",),".",""),"-",""),"(",""),")",""),",",""),"/",""),"""",""),"+",""))</f>
        <v/>
      </c>
      <c r="AM132" s="38" t="str">
        <f>IF(NOTA[C]="",NOTA[[#This Row],[CONCAT1]]&amp;NOTA[[#This Row],[HARGA SATUAN]],NOTA[[#This Row],[CONCAT1]]&amp;NOTA[[#This Row],[HARGA/ CTN_H]]&amp;NOTA[[#This Row],[DISC 1]]&amp;NOTA[[#This Row],[DISC 2]])</f>
        <v/>
      </c>
      <c r="AN132" s="184" t="str">
        <f>IF(NOTA[[#This Row],[CONCAT1]]="","",MATCH(NOTA[[#This Row],[CONCAT1]],[1]!db[NB NOTA_C],0)+1)</f>
        <v/>
      </c>
    </row>
    <row r="133" spans="1:40" ht="20.100000000000001" customHeight="1" x14ac:dyDescent="0.25">
      <c r="A133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DUT_0701_23H-1</v>
      </c>
      <c r="C133" s="50" t="str">
        <f>IF(NOTA[[#This Row],[CEK_EXP]]&lt;D132,"err","")</f>
        <v/>
      </c>
      <c r="D133" s="50">
        <f>IF(NOTA[[#This Row],[TANGGAL]]="",D132,NOTA[[#This Row],[TANGGAL]])</f>
        <v>44933</v>
      </c>
      <c r="E133" s="50">
        <f ca="1">IF(NOTA[[#This Row],[NAMA BARANG]]="","",INDEX(NOTA[ID],MATCH(,INDIRECT(ADDRESS(ROW(NOTA[ID]),COLUMN(NOTA[ID]))&amp;":"&amp;ADDRESS(ROW(),COLUMN(NOTA[ID]))),-1)))</f>
        <v>30</v>
      </c>
      <c r="F133" s="23"/>
      <c r="G133" s="26" t="s">
        <v>237</v>
      </c>
      <c r="H133" s="26" t="s">
        <v>87</v>
      </c>
      <c r="I133" s="31" t="s">
        <v>289</v>
      </c>
      <c r="J133" s="26"/>
      <c r="K133" s="51">
        <v>44932</v>
      </c>
      <c r="L133" s="26"/>
      <c r="M133" s="26" t="s">
        <v>290</v>
      </c>
      <c r="N133" s="39">
        <v>15</v>
      </c>
      <c r="O133" s="26">
        <v>1440</v>
      </c>
      <c r="P133" s="26" t="s">
        <v>90</v>
      </c>
      <c r="Q133" s="49">
        <v>26500</v>
      </c>
      <c r="R133" s="52"/>
      <c r="S133" s="39" t="s">
        <v>223</v>
      </c>
      <c r="T133" s="53"/>
      <c r="U133" s="53"/>
      <c r="V133" s="54"/>
      <c r="W133" s="37"/>
      <c r="X133" s="54">
        <f>IF(NOTA[[#This Row],[HARGA/ CTN]]="",NOTA[[#This Row],[JUMLAH_H]],NOTA[[#This Row],[HARGA/ CTN]]*IF(NOTA[[#This Row],[C]]="",0,NOTA[[#This Row],[C]]))</f>
        <v>38160000</v>
      </c>
      <c r="Y133" s="54">
        <f>IF(NOTA[[#This Row],[JUMLAH]]="","",NOTA[[#This Row],[JUMLAH]]*NOTA[[#This Row],[DISC 1]])</f>
        <v>0</v>
      </c>
      <c r="Z133" s="54">
        <f>IF(NOTA[[#This Row],[JUMLAH]]="","",(NOTA[[#This Row],[JUMLAH]]-NOTA[[#This Row],[DISC 1-]])*NOTA[[#This Row],[DISC 2]])</f>
        <v>0</v>
      </c>
      <c r="AA133" s="54">
        <f>IF(NOTA[[#This Row],[JUMLAH]]="","",NOTA[[#This Row],[DISC 1-]]+NOTA[[#This Row],[DISC 2-]])</f>
        <v>0</v>
      </c>
      <c r="AB133" s="54">
        <f>IF(NOTA[[#This Row],[JUMLAH]]="","",NOTA[[#This Row],[JUMLAH]]-NOTA[[#This Row],[DISC]])</f>
        <v>38160000</v>
      </c>
      <c r="AC1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E133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33" s="54">
        <f>IF(OR(NOTA[[#This Row],[QTY]]="",NOTA[[#This Row],[HARGA SATUAN]]="",),"",NOTA[[#This Row],[QTY]]*NOTA[[#This Row],[HARGA SATUAN]])</f>
        <v>38160000</v>
      </c>
      <c r="AG133" s="51">
        <f ca="1">IF(NOTA[ID_H]="","",INDEX(NOTA[TANGGAL],MATCH(,INDIRECT(ADDRESS(ROW(NOTA[TANGGAL]),COLUMN(NOTA[TANGGAL]))&amp;":"&amp;ADDRESS(ROW(),COLUMN(NOTA[TANGGAL]))),-1)))</f>
        <v>44933</v>
      </c>
      <c r="AH133" s="65" t="str">
        <f ca="1">IF(NOTA[[#This Row],[NAMA BARANG]]="","",INDEX(NOTA[SUPPLIER],MATCH(,INDIRECT(ADDRESS(ROW(NOTA[ID]),COLUMN(NOTA[ID]))&amp;":"&amp;ADDRESS(ROW(),COLUMN(NOTA[ID]))),-1)))</f>
        <v>DUTA BUANA</v>
      </c>
      <c r="AI133" s="65" t="str">
        <f ca="1">IF(NOTA[[#This Row],[ID_H]]="","",IF(NOTA[[#This Row],[FAKTUR]]="",INDIRECT(ADDRESS(ROW()-1,COLUMN())),NOTA[[#This Row],[FAKTUR]]))</f>
        <v>UNTANA</v>
      </c>
      <c r="AJ133" s="38">
        <f ca="1">IF(NOTA[[#This Row],[ID]]="","",COUNTIF(NOTA[ID_H],NOTA[[#This Row],[ID_H]]))</f>
        <v>1</v>
      </c>
      <c r="AK133" s="38">
        <f>IF(NOTA[[#This Row],[TGL.NOTA]]="",IF(NOTA[[#This Row],[SUPPLIER_H]]="","",AK132),MONTH(NOTA[[#This Row],[TGL.NOTA]]))</f>
        <v>1</v>
      </c>
      <c r="AL13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133" s="38" t="str">
        <f>IF(NOTA[C]="",NOTA[[#This Row],[CONCAT1]]&amp;NOTA[[#This Row],[HARGA SATUAN]],NOTA[[#This Row],[CONCAT1]]&amp;NOTA[[#This Row],[HARGA/ CTN_H]]&amp;NOTA[[#This Row],[DISC 1]]&amp;NOTA[[#This Row],[DISC 2]])</f>
        <v>ballpengeltf1190htm03mmhightech2544000</v>
      </c>
      <c r="AN133" s="184">
        <f>IF(NOTA[[#This Row],[CONCAT1]]="","",MATCH(NOTA[[#This Row],[CONCAT1]],[1]!db[NB NOTA_C],0)+1)</f>
        <v>90</v>
      </c>
    </row>
    <row r="134" spans="1:40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Row],[CEK_EXP]]&lt;D133,"err","")</f>
        <v/>
      </c>
      <c r="D134" s="50">
        <f>IF(NOTA[[#This Row],[TANGGAL]]="",D133,NOTA[[#This Row],[TANGGAL]])</f>
        <v>44933</v>
      </c>
      <c r="E134" s="50" t="str">
        <f ca="1">IF(NOTA[[#This Row],[NAMA BARANG]]="","",INDEX(NOTA[ID],MATCH(,INDIRECT(ADDRESS(ROW(NOTA[ID]),COLUMN(NOTA[ID]))&amp;":"&amp;ADDRESS(ROW(),COLUMN(NOTA[ID]))),-1)))</f>
        <v/>
      </c>
      <c r="F134" s="23"/>
      <c r="G134" s="26"/>
      <c r="H134" s="26"/>
      <c r="I134" s="31"/>
      <c r="J134" s="26"/>
      <c r="K134" s="51"/>
      <c r="L134" s="26"/>
      <c r="M134" s="26"/>
      <c r="N134" s="39"/>
      <c r="O134" s="26"/>
      <c r="P134" s="26"/>
      <c r="Q134" s="49"/>
      <c r="R134" s="52"/>
      <c r="S134" s="39"/>
      <c r="T134" s="53"/>
      <c r="U134" s="53"/>
      <c r="V134" s="54"/>
      <c r="W134" s="37"/>
      <c r="X134" s="54" t="str">
        <f>IF(NOTA[[#This Row],[HARGA/ CTN]]="",NOTA[[#This Row],[JUMLAH_H]],NOTA[[#This Row],[HARGA/ CTN]]*IF(NOTA[[#This Row],[C]]="",0,NOTA[[#This Row],[C]]))</f>
        <v/>
      </c>
      <c r="Y134" s="54" t="str">
        <f>IF(NOTA[[#This Row],[JUMLAH]]="","",NOTA[[#This Row],[JUMLAH]]*NOTA[[#This Row],[DISC 1]])</f>
        <v/>
      </c>
      <c r="Z134" s="54" t="str">
        <f>IF(NOTA[[#This Row],[JUMLAH]]="","",(NOTA[[#This Row],[JUMLAH]]-NOTA[[#This Row],[DISC 1-]])*NOTA[[#This Row],[DISC 2]])</f>
        <v/>
      </c>
      <c r="AA134" s="54" t="str">
        <f>IF(NOTA[[#This Row],[JUMLAH]]="","",NOTA[[#This Row],[DISC 1-]]+NOTA[[#This Row],[DISC 2-]])</f>
        <v/>
      </c>
      <c r="AB134" s="54" t="str">
        <f>IF(NOTA[[#This Row],[JUMLAH]]="","",NOTA[[#This Row],[JUMLAH]]-NOTA[[#This Row],[DISC]])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54" t="str">
        <f>IF(OR(NOTA[[#This Row],[QTY]]="",NOTA[[#This Row],[HARGA SATUAN]]="",),"",NOTA[[#This Row],[QTY]]*NOTA[[#This Row],[HARGA SATUAN]])</f>
        <v/>
      </c>
      <c r="AG134" s="51" t="str">
        <f ca="1">IF(NOTA[ID_H]="","",INDEX(NOTA[TANGGAL],MATCH(,INDIRECT(ADDRESS(ROW(NOTA[TANGGAL]),COLUMN(NOTA[TANGGAL]))&amp;":"&amp;ADDRESS(ROW(),COLUMN(NOTA[TANGGAL]))),-1)))</f>
        <v/>
      </c>
      <c r="AH134" s="65" t="str">
        <f ca="1">IF(NOTA[[#This Row],[NAMA BARANG]]="","",INDEX(NOTA[SUPPLIER],MATCH(,INDIRECT(ADDRESS(ROW(NOTA[ID]),COLUMN(NOTA[ID]))&amp;":"&amp;ADDRESS(ROW(),COLUMN(NOTA[ID]))),-1)))</f>
        <v/>
      </c>
      <c r="AI134" s="65" t="str">
        <f ca="1">IF(NOTA[[#This Row],[ID_H]]="","",IF(NOTA[[#This Row],[FAKTUR]]="",INDIRECT(ADDRESS(ROW()-1,COLUMN())),NOTA[[#This Row],[FAKTUR]]))</f>
        <v/>
      </c>
      <c r="AJ134" s="38" t="str">
        <f ca="1">IF(NOTA[[#This Row],[ID]]="","",COUNTIF(NOTA[ID_H],NOTA[[#This Row],[ID_H]]))</f>
        <v/>
      </c>
      <c r="AK134" s="38" t="str">
        <f ca="1">IF(NOTA[[#This Row],[TGL.NOTA]]="",IF(NOTA[[#This Row],[SUPPLIER_H]]="","",AK133),MONTH(NOTA[[#This Row],[TGL.NOTA]]))</f>
        <v/>
      </c>
      <c r="AL134" s="38" t="str">
        <f>LOWER(SUBSTITUTE(SUBSTITUTE(SUBSTITUTE(SUBSTITUTE(SUBSTITUTE(SUBSTITUTE(SUBSTITUTE(SUBSTITUTE(SUBSTITUTE(NOTA[NAMA BARANG]," ",),".",""),"-",""),"(",""),")",""),",",""),"/",""),"""",""),"+",""))</f>
        <v/>
      </c>
      <c r="AM134" s="38" t="str">
        <f>IF(NOTA[C]="",NOTA[[#This Row],[CONCAT1]]&amp;NOTA[[#This Row],[HARGA SATUAN]],NOTA[[#This Row],[CONCAT1]]&amp;NOTA[[#This Row],[HARGA/ CTN_H]]&amp;NOTA[[#This Row],[DISC 1]]&amp;NOTA[[#This Row],[DISC 2]])</f>
        <v/>
      </c>
      <c r="AN134" s="184" t="str">
        <f>IF(NOTA[[#This Row],[CONCAT1]]="","",MATCH(NOTA[[#This Row],[CONCAT1]],[1]!db[NB NOTA_C],0)+1)</f>
        <v/>
      </c>
    </row>
    <row r="135" spans="1:40" ht="20.100000000000001" customHeight="1" x14ac:dyDescent="0.25">
      <c r="A135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CAH_0901_003-1</v>
      </c>
      <c r="C135" s="50" t="str">
        <f>IF(NOTA[[#This Row],[CEK_EXP]]&lt;D134,"err","")</f>
        <v/>
      </c>
      <c r="D135" s="50">
        <f>IF(NOTA[[#This Row],[TANGGAL]]="",D134,NOTA[[#This Row],[TANGGAL]])</f>
        <v>44935</v>
      </c>
      <c r="E135" s="50">
        <f ca="1">IF(NOTA[[#This Row],[NAMA BARANG]]="","",INDEX(NOTA[ID],MATCH(,INDIRECT(ADDRESS(ROW(NOTA[ID]),COLUMN(NOTA[ID]))&amp;":"&amp;ADDRESS(ROW(),COLUMN(NOTA[ID]))),-1)))</f>
        <v>31</v>
      </c>
      <c r="F135" s="23">
        <v>44935</v>
      </c>
      <c r="G135" s="26" t="s">
        <v>292</v>
      </c>
      <c r="H135" s="26" t="s">
        <v>87</v>
      </c>
      <c r="I135" s="31" t="s">
        <v>293</v>
      </c>
      <c r="J135" s="26"/>
      <c r="K135" s="51">
        <v>44931</v>
      </c>
      <c r="L135" s="26"/>
      <c r="M135" s="26" t="s">
        <v>982</v>
      </c>
      <c r="N135" s="39">
        <v>40</v>
      </c>
      <c r="O135" s="26">
        <v>3360</v>
      </c>
      <c r="P135" s="26" t="s">
        <v>90</v>
      </c>
      <c r="Q135" s="49">
        <v>7000</v>
      </c>
      <c r="R135" s="52"/>
      <c r="S135" s="39" t="s">
        <v>294</v>
      </c>
      <c r="T135" s="53"/>
      <c r="U135" s="53"/>
      <c r="V135" s="54"/>
      <c r="W135" s="37"/>
      <c r="X135" s="54">
        <f>IF(NOTA[[#This Row],[HARGA/ CTN]]="",NOTA[[#This Row],[JUMLAH_H]],NOTA[[#This Row],[HARGA/ CTN]]*IF(NOTA[[#This Row],[C]]="",0,NOTA[[#This Row],[C]]))</f>
        <v>23520000</v>
      </c>
      <c r="Y135" s="54">
        <f>IF(NOTA[[#This Row],[JUMLAH]]="","",NOTA[[#This Row],[JUMLAH]]*NOTA[[#This Row],[DISC 1]])</f>
        <v>0</v>
      </c>
      <c r="Z135" s="54">
        <f>IF(NOTA[[#This Row],[JUMLAH]]="","",(NOTA[[#This Row],[JUMLAH]]-NOTA[[#This Row],[DISC 1-]])*NOTA[[#This Row],[DISC 2]])</f>
        <v>0</v>
      </c>
      <c r="AA135" s="54">
        <f>IF(NOTA[[#This Row],[JUMLAH]]="","",NOTA[[#This Row],[DISC 1-]]+NOTA[[#This Row],[DISC 2-]])</f>
        <v>0</v>
      </c>
      <c r="AB135" s="54">
        <f>IF(NOTA[[#This Row],[JUMLAH]]="","",NOTA[[#This Row],[JUMLAH]]-NOTA[[#This Row],[DISC]])</f>
        <v>23520000</v>
      </c>
      <c r="AC1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23520000</v>
      </c>
      <c r="AE135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F135" s="54">
        <f>IF(OR(NOTA[[#This Row],[QTY]]="",NOTA[[#This Row],[HARGA SATUAN]]="",),"",NOTA[[#This Row],[QTY]]*NOTA[[#This Row],[HARGA SATUAN]])</f>
        <v>23520000</v>
      </c>
      <c r="AG135" s="51">
        <f ca="1">IF(NOTA[ID_H]="","",INDEX(NOTA[TANGGAL],MATCH(,INDIRECT(ADDRESS(ROW(NOTA[TANGGAL]),COLUMN(NOTA[TANGGAL]))&amp;":"&amp;ADDRESS(ROW(),COLUMN(NOTA[TANGGAL]))),-1)))</f>
        <v>44935</v>
      </c>
      <c r="AH135" s="65" t="str">
        <f ca="1">IF(NOTA[[#This Row],[NAMA BARANG]]="","",INDEX(NOTA[SUPPLIER],MATCH(,INDIRECT(ADDRESS(ROW(NOTA[ID]),COLUMN(NOTA[ID]))&amp;":"&amp;ADDRESS(ROW(),COLUMN(NOTA[ID]))),-1)))</f>
        <v>CAHAYA GEMILANG</v>
      </c>
      <c r="AI135" s="65" t="str">
        <f ca="1">IF(NOTA[[#This Row],[ID_H]]="","",IF(NOTA[[#This Row],[FAKTUR]]="",INDIRECT(ADDRESS(ROW()-1,COLUMN())),NOTA[[#This Row],[FAKTUR]]))</f>
        <v>UNTANA</v>
      </c>
      <c r="AJ135" s="38">
        <f ca="1">IF(NOTA[[#This Row],[ID]]="","",COUNTIF(NOTA[ID_H],NOTA[[#This Row],[ID_H]]))</f>
        <v>1</v>
      </c>
      <c r="AK135" s="38">
        <f>IF(NOTA[[#This Row],[TGL.NOTA]]="",IF(NOTA[[#This Row],[SUPPLIER_H]]="","",#REF!),MONTH(NOTA[[#This Row],[TGL.NOTA]]))</f>
        <v>1</v>
      </c>
      <c r="AL135" s="38" t="str">
        <f>LOWER(SUBSTITUTE(SUBSTITUTE(SUBSTITUTE(SUBSTITUTE(SUBSTITUTE(SUBSTITUTE(SUBSTITUTE(SUBSTITUTE(SUBSTITUTE(NOTA[NAMA BARANG]," ",),".",""),"-",""),"(",""),")",""),",",""),"/",""),"""",""),"+",""))</f>
        <v>paletcatairbiasadof06013</v>
      </c>
      <c r="AM135" s="38" t="str">
        <f>IF(NOTA[C]="",NOTA[[#This Row],[CONCAT1]]&amp;NOTA[[#This Row],[HARGA SATUAN]],NOTA[[#This Row],[CONCAT1]]&amp;NOTA[[#This Row],[HARGA/ CTN_H]]&amp;NOTA[[#This Row],[DISC 1]]&amp;NOTA[[#This Row],[DISC 2]])</f>
        <v>paletcatairbiasadof06013588000</v>
      </c>
      <c r="AN135" s="184">
        <f>IF(NOTA[[#This Row],[CONCAT1]]="","",MATCH(NOTA[[#This Row],[CONCAT1]],[1]!db[NB NOTA_C],0)+1)</f>
        <v>1613</v>
      </c>
    </row>
    <row r="136" spans="1:40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Row],[CEK_EXP]]&lt;D135,"err","")</f>
        <v/>
      </c>
      <c r="D136" s="50">
        <f>IF(NOTA[[#This Row],[TANGGAL]]="",D135,NOTA[[#This Row],[TANGGAL]])</f>
        <v>44935</v>
      </c>
      <c r="E136" s="50" t="str">
        <f ca="1">IF(NOTA[[#This Row],[NAMA BARANG]]="","",INDEX(NOTA[ID],MATCH(,INDIRECT(ADDRESS(ROW(NOTA[ID]),COLUMN(NOTA[ID]))&amp;":"&amp;ADDRESS(ROW(),COLUMN(NOTA[ID]))),-1)))</f>
        <v/>
      </c>
      <c r="F136" s="23"/>
      <c r="G136" s="26"/>
      <c r="H136" s="26"/>
      <c r="I136" s="31"/>
      <c r="J136" s="26"/>
      <c r="K136" s="51"/>
      <c r="L136" s="26"/>
      <c r="M136" s="26"/>
      <c r="N136" s="39"/>
      <c r="O136" s="26"/>
      <c r="P136" s="26"/>
      <c r="Q136" s="49"/>
      <c r="R136" s="52"/>
      <c r="S136" s="39"/>
      <c r="T136" s="53"/>
      <c r="U136" s="53"/>
      <c r="V136" s="54"/>
      <c r="W136" s="37"/>
      <c r="X136" s="54" t="str">
        <f>IF(NOTA[[#This Row],[HARGA/ CTN]]="",NOTA[[#This Row],[JUMLAH_H]],NOTA[[#This Row],[HARGA/ CTN]]*IF(NOTA[[#This Row],[C]]="",0,NOTA[[#This Row],[C]]))</f>
        <v/>
      </c>
      <c r="Y136" s="54" t="str">
        <f>IF(NOTA[[#This Row],[JUMLAH]]="","",NOTA[[#This Row],[JUMLAH]]*NOTA[[#This Row],[DISC 1]])</f>
        <v/>
      </c>
      <c r="Z136" s="54" t="str">
        <f>IF(NOTA[[#This Row],[JUMLAH]]="","",(NOTA[[#This Row],[JUMLAH]]-NOTA[[#This Row],[DISC 1-]])*NOTA[[#This Row],[DISC 2]])</f>
        <v/>
      </c>
      <c r="AA136" s="54" t="str">
        <f>IF(NOTA[[#This Row],[JUMLAH]]="","",NOTA[[#This Row],[DISC 1-]]+NOTA[[#This Row],[DISC 2-]])</f>
        <v/>
      </c>
      <c r="AB136" s="54" t="str">
        <f>IF(NOTA[[#This Row],[JUMLAH]]="","",NOTA[[#This Row],[JUMLAH]]-NOTA[[#This Row],[DISC]])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6" s="54" t="str">
        <f>IF(OR(NOTA[[#This Row],[QTY]]="",NOTA[[#This Row],[HARGA SATUAN]]="",),"",NOTA[[#This Row],[QTY]]*NOTA[[#This Row],[HARGA SATUAN]])</f>
        <v/>
      </c>
      <c r="AG136" s="51" t="str">
        <f ca="1">IF(NOTA[ID_H]="","",INDEX(NOTA[TANGGAL],MATCH(,INDIRECT(ADDRESS(ROW(NOTA[TANGGAL]),COLUMN(NOTA[TANGGAL]))&amp;":"&amp;ADDRESS(ROW(),COLUMN(NOTA[TANGGAL]))),-1)))</f>
        <v/>
      </c>
      <c r="AH136" s="65" t="str">
        <f ca="1">IF(NOTA[[#This Row],[NAMA BARANG]]="","",INDEX(NOTA[SUPPLIER],MATCH(,INDIRECT(ADDRESS(ROW(NOTA[ID]),COLUMN(NOTA[ID]))&amp;":"&amp;ADDRESS(ROW(),COLUMN(NOTA[ID]))),-1)))</f>
        <v/>
      </c>
      <c r="AI136" s="65" t="str">
        <f ca="1">IF(NOTA[[#This Row],[ID_H]]="","",IF(NOTA[[#This Row],[FAKTUR]]="",INDIRECT(ADDRESS(ROW()-1,COLUMN())),NOTA[[#This Row],[FAKTUR]]))</f>
        <v/>
      </c>
      <c r="AJ136" s="38" t="str">
        <f ca="1">IF(NOTA[[#This Row],[ID]]="","",COUNTIF(NOTA[ID_H],NOTA[[#This Row],[ID_H]]))</f>
        <v/>
      </c>
      <c r="AK136" s="38" t="str">
        <f ca="1">IF(NOTA[[#This Row],[TGL.NOTA]]="",IF(NOTA[[#This Row],[SUPPLIER_H]]="","",AK135),MONTH(NOTA[[#This Row],[TGL.NOTA]]))</f>
        <v/>
      </c>
      <c r="AL136" s="38" t="str">
        <f>LOWER(SUBSTITUTE(SUBSTITUTE(SUBSTITUTE(SUBSTITUTE(SUBSTITUTE(SUBSTITUTE(SUBSTITUTE(SUBSTITUTE(SUBSTITUTE(NOTA[NAMA BARANG]," ",),".",""),"-",""),"(",""),")",""),",",""),"/",""),"""",""),"+",""))</f>
        <v/>
      </c>
      <c r="AM136" s="38" t="str">
        <f>IF(NOTA[C]="",NOTA[[#This Row],[CONCAT1]]&amp;NOTA[[#This Row],[HARGA SATUAN]],NOTA[[#This Row],[CONCAT1]]&amp;NOTA[[#This Row],[HARGA/ CTN_H]]&amp;NOTA[[#This Row],[DISC 1]]&amp;NOTA[[#This Row],[DISC 2]])</f>
        <v/>
      </c>
      <c r="AN136" s="184" t="str">
        <f>IF(NOTA[[#This Row],[CONCAT1]]="","",MATCH(NOTA[[#This Row],[CONCAT1]],[1]!db[NB NOTA_C],0)+1)</f>
        <v/>
      </c>
    </row>
    <row r="137" spans="1:40" ht="20.100000000000001" customHeight="1" x14ac:dyDescent="0.25">
      <c r="A137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LES_0901_162-4</v>
      </c>
      <c r="C137" s="50" t="str">
        <f>IF(NOTA[[#This Row],[CEK_EXP]]&lt;D136,"err","")</f>
        <v/>
      </c>
      <c r="D137" s="50">
        <f>IF(NOTA[[#This Row],[TANGGAL]]="",D136,NOTA[[#This Row],[TANGGAL]])</f>
        <v>44935</v>
      </c>
      <c r="E137" s="50">
        <f ca="1">IF(NOTA[[#This Row],[NAMA BARANG]]="","",INDEX(NOTA[ID],MATCH(,INDIRECT(ADDRESS(ROW(NOTA[ID]),COLUMN(NOTA[ID]))&amp;":"&amp;ADDRESS(ROW(),COLUMN(NOTA[ID]))),-1)))</f>
        <v>32</v>
      </c>
      <c r="F137" s="23"/>
      <c r="G137" s="26" t="s">
        <v>295</v>
      </c>
      <c r="H137" s="26" t="s">
        <v>87</v>
      </c>
      <c r="I137" s="31" t="s">
        <v>296</v>
      </c>
      <c r="J137" s="26"/>
      <c r="K137" s="51">
        <v>44930</v>
      </c>
      <c r="L137" s="26"/>
      <c r="M137" s="26" t="s">
        <v>297</v>
      </c>
      <c r="N137" s="39">
        <v>2</v>
      </c>
      <c r="O137" s="26">
        <v>20</v>
      </c>
      <c r="P137" s="26" t="s">
        <v>90</v>
      </c>
      <c r="Q137" s="49">
        <v>116500</v>
      </c>
      <c r="R137" s="52"/>
      <c r="S137" s="39" t="s">
        <v>176</v>
      </c>
      <c r="T137" s="53"/>
      <c r="U137" s="53"/>
      <c r="V137" s="54"/>
      <c r="W137" s="37"/>
      <c r="X137" s="54">
        <f>IF(NOTA[[#This Row],[HARGA/ CTN]]="",NOTA[[#This Row],[JUMLAH_H]],NOTA[[#This Row],[HARGA/ CTN]]*IF(NOTA[[#This Row],[C]]="",0,NOTA[[#This Row],[C]]))</f>
        <v>2330000</v>
      </c>
      <c r="Y137" s="54">
        <f>IF(NOTA[[#This Row],[JUMLAH]]="","",NOTA[[#This Row],[JUMLAH]]*NOTA[[#This Row],[DISC 1]])</f>
        <v>0</v>
      </c>
      <c r="Z137" s="54">
        <f>IF(NOTA[[#This Row],[JUMLAH]]="","",(NOTA[[#This Row],[JUMLAH]]-NOTA[[#This Row],[DISC 1-]])*NOTA[[#This Row],[DISC 2]])</f>
        <v>0</v>
      </c>
      <c r="AA137" s="54">
        <f>IF(NOTA[[#This Row],[JUMLAH]]="","",NOTA[[#This Row],[DISC 1-]]+NOTA[[#This Row],[DISC 2-]])</f>
        <v>0</v>
      </c>
      <c r="AB137" s="54">
        <f>IF(NOTA[[#This Row],[JUMLAH]]="","",NOTA[[#This Row],[JUMLAH]]-NOTA[[#This Row],[DISC]])</f>
        <v>2330000</v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F137" s="54">
        <f>IF(OR(NOTA[[#This Row],[QTY]]="",NOTA[[#This Row],[HARGA SATUAN]]="",),"",NOTA[[#This Row],[QTY]]*NOTA[[#This Row],[HARGA SATUAN]])</f>
        <v>2330000</v>
      </c>
      <c r="AG137" s="51">
        <f ca="1">IF(NOTA[ID_H]="","",INDEX(NOTA[TANGGAL],MATCH(,INDIRECT(ADDRESS(ROW(NOTA[TANGGAL]),COLUMN(NOTA[TANGGAL]))&amp;":"&amp;ADDRESS(ROW(),COLUMN(NOTA[TANGGAL]))),-1)))</f>
        <v>44935</v>
      </c>
      <c r="AH137" s="65" t="str">
        <f ca="1">IF(NOTA[[#This Row],[NAMA BARANG]]="","",INDEX(NOTA[SUPPLIER],MATCH(,INDIRECT(ADDRESS(ROW(NOTA[ID]),COLUMN(NOTA[ID]))&amp;":"&amp;ADDRESS(ROW(),COLUMN(NOTA[ID]))),-1)))</f>
        <v>LESTARY STATIONERY</v>
      </c>
      <c r="AI137" s="65" t="str">
        <f ca="1">IF(NOTA[[#This Row],[ID_H]]="","",IF(NOTA[[#This Row],[FAKTUR]]="",INDIRECT(ADDRESS(ROW()-1,COLUMN())),NOTA[[#This Row],[FAKTUR]]))</f>
        <v>UNTANA</v>
      </c>
      <c r="AJ137" s="38">
        <f ca="1">IF(NOTA[[#This Row],[ID]]="","",COUNTIF(NOTA[ID_H],NOTA[[#This Row],[ID_H]]))</f>
        <v>4</v>
      </c>
      <c r="AK137" s="38">
        <f>IF(NOTA[[#This Row],[TGL.NOTA]]="",IF(NOTA[[#This Row],[SUPPLIER_H]]="","",AK136),MONTH(NOTA[[#This Row],[TGL.NOTA]]))</f>
        <v>1</v>
      </c>
      <c r="AL137" s="38" t="str">
        <f>LOWER(SUBSTITUTE(SUBSTITUTE(SUBSTITUTE(SUBSTITUTE(SUBSTITUTE(SUBSTITUTE(SUBSTITUTE(SUBSTITUTE(SUBSTITUTE(NOTA[NAMA BARANG]," ",),".",""),"-",""),"(",""),")",""),",",""),"/",""),"""",""),"+",""))</f>
        <v>bag35*40*20beltbg15025</v>
      </c>
      <c r="AM137" s="38" t="str">
        <f>IF(NOTA[C]="",NOTA[[#This Row],[CONCAT1]]&amp;NOTA[[#This Row],[HARGA SATUAN]],NOTA[[#This Row],[CONCAT1]]&amp;NOTA[[#This Row],[HARGA/ CTN_H]]&amp;NOTA[[#This Row],[DISC 1]]&amp;NOTA[[#This Row],[DISC 2]])</f>
        <v>bag35*40*20beltbg150251165000</v>
      </c>
      <c r="AN137" s="184">
        <f>IF(NOTA[[#This Row],[CONCAT1]]="","",MATCH(NOTA[[#This Row],[CONCAT1]],[1]!db[NB NOTA_C],0)+1)</f>
        <v>48</v>
      </c>
    </row>
    <row r="138" spans="1:40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Row],[CEK_EXP]]&lt;D137,"err","")</f>
        <v/>
      </c>
      <c r="D138" s="50">
        <f>IF(NOTA[[#This Row],[TANGGAL]]="",D137,NOTA[[#This Row],[TANGGAL]])</f>
        <v>44935</v>
      </c>
      <c r="E138" s="50">
        <f ca="1">IF(NOTA[[#This Row],[NAMA BARANG]]="","",INDEX(NOTA[ID],MATCH(,INDIRECT(ADDRESS(ROW(NOTA[ID]),COLUMN(NOTA[ID]))&amp;":"&amp;ADDRESS(ROW(),COLUMN(NOTA[ID]))),-1)))</f>
        <v>32</v>
      </c>
      <c r="F138" s="23"/>
      <c r="G138" s="26"/>
      <c r="H138" s="26"/>
      <c r="I138" s="31"/>
      <c r="J138" s="26"/>
      <c r="K138" s="51"/>
      <c r="L138" s="26"/>
      <c r="M138" s="26" t="s">
        <v>298</v>
      </c>
      <c r="N138" s="39">
        <v>2</v>
      </c>
      <c r="O138" s="26">
        <v>20</v>
      </c>
      <c r="P138" s="26" t="s">
        <v>90</v>
      </c>
      <c r="Q138" s="49">
        <v>130500</v>
      </c>
      <c r="R138" s="52"/>
      <c r="S138" s="39" t="s">
        <v>176</v>
      </c>
      <c r="T138" s="53"/>
      <c r="U138" s="53"/>
      <c r="V138" s="54"/>
      <c r="W138" s="37"/>
      <c r="X138" s="54">
        <f>IF(NOTA[[#This Row],[HARGA/ CTN]]="",NOTA[[#This Row],[JUMLAH_H]],NOTA[[#This Row],[HARGA/ CTN]]*IF(NOTA[[#This Row],[C]]="",0,NOTA[[#This Row],[C]]))</f>
        <v>2610000</v>
      </c>
      <c r="Y138" s="54">
        <f>IF(NOTA[[#This Row],[JUMLAH]]="","",NOTA[[#This Row],[JUMLAH]]*NOTA[[#This Row],[DISC 1]])</f>
        <v>0</v>
      </c>
      <c r="Z138" s="54">
        <f>IF(NOTA[[#This Row],[JUMLAH]]="","",(NOTA[[#This Row],[JUMLAH]]-NOTA[[#This Row],[DISC 1-]])*NOTA[[#This Row],[DISC 2]])</f>
        <v>0</v>
      </c>
      <c r="AA138" s="54">
        <f>IF(NOTA[[#This Row],[JUMLAH]]="","",NOTA[[#This Row],[DISC 1-]]+NOTA[[#This Row],[DISC 2-]])</f>
        <v>0</v>
      </c>
      <c r="AB138" s="54">
        <f>IF(NOTA[[#This Row],[JUMLAH]]="","",NOTA[[#This Row],[JUMLAH]]-NOTA[[#This Row],[DISC]])</f>
        <v>2610000</v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F138" s="54">
        <f>IF(OR(NOTA[[#This Row],[QTY]]="",NOTA[[#This Row],[HARGA SATUAN]]="",),"",NOTA[[#This Row],[QTY]]*NOTA[[#This Row],[HARGA SATUAN]])</f>
        <v>2610000</v>
      </c>
      <c r="AG138" s="51">
        <f ca="1">IF(NOTA[ID_H]="","",INDEX(NOTA[TANGGAL],MATCH(,INDIRECT(ADDRESS(ROW(NOTA[TANGGAL]),COLUMN(NOTA[TANGGAL]))&amp;":"&amp;ADDRESS(ROW(),COLUMN(NOTA[TANGGAL]))),-1)))</f>
        <v>44935</v>
      </c>
      <c r="AH138" s="65" t="str">
        <f ca="1">IF(NOTA[[#This Row],[NAMA BARANG]]="","",INDEX(NOTA[SUPPLIER],MATCH(,INDIRECT(ADDRESS(ROW(NOTA[ID]),COLUMN(NOTA[ID]))&amp;":"&amp;ADDRESS(ROW(),COLUMN(NOTA[ID]))),-1)))</f>
        <v>LESTARY STATIONERY</v>
      </c>
      <c r="AI138" s="65" t="str">
        <f ca="1">IF(NOTA[[#This Row],[ID_H]]="","",IF(NOTA[[#This Row],[FAKTUR]]="",INDIRECT(ADDRESS(ROW()-1,COLUMN())),NOTA[[#This Row],[FAKTUR]]))</f>
        <v>UNTANA</v>
      </c>
      <c r="AJ138" s="38" t="str">
        <f ca="1">IF(NOTA[[#This Row],[ID]]="","",COUNTIF(NOTA[ID_H],NOTA[[#This Row],[ID_H]]))</f>
        <v/>
      </c>
      <c r="AK138" s="38">
        <f ca="1">IF(NOTA[[#This Row],[TGL.NOTA]]="",IF(NOTA[[#This Row],[SUPPLIER_H]]="","",AK137),MONTH(NOTA[[#This Row],[TGL.NOTA]]))</f>
        <v>1</v>
      </c>
      <c r="AL138" s="38" t="str">
        <f>LOWER(SUBSTITUTE(SUBSTITUTE(SUBSTITUTE(SUBSTITUTE(SUBSTITUTE(SUBSTITUTE(SUBSTITUTE(SUBSTITUTE(SUBSTITUTE(NOTA[NAMA BARANG]," ",),".",""),"-",""),"(",""),")",""),",",""),"/",""),"""",""),"+",""))</f>
        <v>bag40*45*20beltbg15026</v>
      </c>
      <c r="AM138" s="38" t="str">
        <f>IF(NOTA[C]="",NOTA[[#This Row],[CONCAT1]]&amp;NOTA[[#This Row],[HARGA SATUAN]],NOTA[[#This Row],[CONCAT1]]&amp;NOTA[[#This Row],[HARGA/ CTN_H]]&amp;NOTA[[#This Row],[DISC 1]]&amp;NOTA[[#This Row],[DISC 2]])</f>
        <v>bag40*45*20beltbg150261305000</v>
      </c>
      <c r="AN138" s="184">
        <f>IF(NOTA[[#This Row],[CONCAT1]]="","",MATCH(NOTA[[#This Row],[CONCAT1]],[1]!db[NB NOTA_C],0)+1)</f>
        <v>50</v>
      </c>
    </row>
    <row r="139" spans="1:40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Row],[CEK_EXP]]&lt;D138,"err","")</f>
        <v/>
      </c>
      <c r="D139" s="50">
        <f>IF(NOTA[[#This Row],[TANGGAL]]="",D138,NOTA[[#This Row],[TANGGAL]])</f>
        <v>44935</v>
      </c>
      <c r="E139" s="50">
        <f ca="1">IF(NOTA[[#This Row],[NAMA BARANG]]="","",INDEX(NOTA[ID],MATCH(,INDIRECT(ADDRESS(ROW(NOTA[ID]),COLUMN(NOTA[ID]))&amp;":"&amp;ADDRESS(ROW(),COLUMN(NOTA[ID]))),-1)))</f>
        <v>32</v>
      </c>
      <c r="F139" s="23"/>
      <c r="G139" s="26"/>
      <c r="H139" s="26"/>
      <c r="I139" s="31"/>
      <c r="J139" s="26"/>
      <c r="K139" s="51"/>
      <c r="L139" s="26"/>
      <c r="M139" s="26" t="s">
        <v>299</v>
      </c>
      <c r="N139" s="39">
        <v>2</v>
      </c>
      <c r="O139" s="26">
        <v>20</v>
      </c>
      <c r="P139" s="26" t="s">
        <v>90</v>
      </c>
      <c r="Q139" s="49">
        <v>147500</v>
      </c>
      <c r="R139" s="52"/>
      <c r="S139" s="39" t="s">
        <v>176</v>
      </c>
      <c r="T139" s="53"/>
      <c r="U139" s="53"/>
      <c r="V139" s="54"/>
      <c r="W139" s="37"/>
      <c r="X139" s="54">
        <f>IF(NOTA[[#This Row],[HARGA/ CTN]]="",NOTA[[#This Row],[JUMLAH_H]],NOTA[[#This Row],[HARGA/ CTN]]*IF(NOTA[[#This Row],[C]]="",0,NOTA[[#This Row],[C]]))</f>
        <v>2950000</v>
      </c>
      <c r="Y139" s="54">
        <f>IF(NOTA[[#This Row],[JUMLAH]]="","",NOTA[[#This Row],[JUMLAH]]*NOTA[[#This Row],[DISC 1]])</f>
        <v>0</v>
      </c>
      <c r="Z139" s="54">
        <f>IF(NOTA[[#This Row],[JUMLAH]]="","",(NOTA[[#This Row],[JUMLAH]]-NOTA[[#This Row],[DISC 1-]])*NOTA[[#This Row],[DISC 2]])</f>
        <v>0</v>
      </c>
      <c r="AA139" s="54">
        <f>IF(NOTA[[#This Row],[JUMLAH]]="","",NOTA[[#This Row],[DISC 1-]]+NOTA[[#This Row],[DISC 2-]])</f>
        <v>0</v>
      </c>
      <c r="AB139" s="54">
        <f>IF(NOTA[[#This Row],[JUMLAH]]="","",NOTA[[#This Row],[JUMLAH]]-NOTA[[#This Row],[DISC]])</f>
        <v>2950000</v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F139" s="54">
        <f>IF(OR(NOTA[[#This Row],[QTY]]="",NOTA[[#This Row],[HARGA SATUAN]]="",),"",NOTA[[#This Row],[QTY]]*NOTA[[#This Row],[HARGA SATUAN]])</f>
        <v>2950000</v>
      </c>
      <c r="AG139" s="51">
        <f ca="1">IF(NOTA[ID_H]="","",INDEX(NOTA[TANGGAL],MATCH(,INDIRECT(ADDRESS(ROW(NOTA[TANGGAL]),COLUMN(NOTA[TANGGAL]))&amp;":"&amp;ADDRESS(ROW(),COLUMN(NOTA[TANGGAL]))),-1)))</f>
        <v>44935</v>
      </c>
      <c r="AH139" s="65" t="str">
        <f ca="1">IF(NOTA[[#This Row],[NAMA BARANG]]="","",INDEX(NOTA[SUPPLIER],MATCH(,INDIRECT(ADDRESS(ROW(NOTA[ID]),COLUMN(NOTA[ID]))&amp;":"&amp;ADDRESS(ROW(),COLUMN(NOTA[ID]))),-1)))</f>
        <v>LESTARY STATIONERY</v>
      </c>
      <c r="AI139" s="65" t="str">
        <f ca="1">IF(NOTA[[#This Row],[ID_H]]="","",IF(NOTA[[#This Row],[FAKTUR]]="",INDIRECT(ADDRESS(ROW()-1,COLUMN())),NOTA[[#This Row],[FAKTUR]]))</f>
        <v>UNTANA</v>
      </c>
      <c r="AJ139" s="38" t="str">
        <f ca="1">IF(NOTA[[#This Row],[ID]]="","",COUNTIF(NOTA[ID_H],NOTA[[#This Row],[ID_H]]))</f>
        <v/>
      </c>
      <c r="AK139" s="38">
        <f ca="1">IF(NOTA[[#This Row],[TGL.NOTA]]="",IF(NOTA[[#This Row],[SUPPLIER_H]]="","",AK138),MONTH(NOTA[[#This Row],[TGL.NOTA]]))</f>
        <v>1</v>
      </c>
      <c r="AL139" s="38" t="str">
        <f>LOWER(SUBSTITUTE(SUBSTITUTE(SUBSTITUTE(SUBSTITUTE(SUBSTITUTE(SUBSTITUTE(SUBSTITUTE(SUBSTITUTE(SUBSTITUTE(NOTA[NAMA BARANG]," ",),".",""),"-",""),"(",""),")",""),",",""),"/",""),"""",""),"+",""))</f>
        <v>bag45*50*20beltbg15027</v>
      </c>
      <c r="AM139" s="38" t="str">
        <f>IF(NOTA[C]="",NOTA[[#This Row],[CONCAT1]]&amp;NOTA[[#This Row],[HARGA SATUAN]],NOTA[[#This Row],[CONCAT1]]&amp;NOTA[[#This Row],[HARGA/ CTN_H]]&amp;NOTA[[#This Row],[DISC 1]]&amp;NOTA[[#This Row],[DISC 2]])</f>
        <v>bag45*50*20beltbg150271475000</v>
      </c>
      <c r="AN139" s="184">
        <f>IF(NOTA[[#This Row],[CONCAT1]]="","",MATCH(NOTA[[#This Row],[CONCAT1]],[1]!db[NB NOTA_C],0)+1)</f>
        <v>52</v>
      </c>
    </row>
    <row r="140" spans="1:40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Row],[CEK_EXP]]&lt;D139,"err","")</f>
        <v/>
      </c>
      <c r="D140" s="50">
        <f>IF(NOTA[[#This Row],[TANGGAL]]="",D139,NOTA[[#This Row],[TANGGAL]])</f>
        <v>44935</v>
      </c>
      <c r="E140" s="50">
        <f ca="1">IF(NOTA[[#This Row],[NAMA BARANG]]="","",INDEX(NOTA[ID],MATCH(,INDIRECT(ADDRESS(ROW(NOTA[ID]),COLUMN(NOTA[ID]))&amp;":"&amp;ADDRESS(ROW(),COLUMN(NOTA[ID]))),-1)))</f>
        <v>32</v>
      </c>
      <c r="F140" s="23"/>
      <c r="G140" s="26"/>
      <c r="H140" s="26"/>
      <c r="I140" s="31"/>
      <c r="J140" s="26"/>
      <c r="K140" s="51"/>
      <c r="L140" s="26"/>
      <c r="M140" s="26" t="s">
        <v>725</v>
      </c>
      <c r="N140" s="39">
        <v>2</v>
      </c>
      <c r="O140" s="26">
        <v>20</v>
      </c>
      <c r="P140" s="26" t="s">
        <v>90</v>
      </c>
      <c r="Q140" s="49">
        <v>242000</v>
      </c>
      <c r="R140" s="52"/>
      <c r="S140" s="39" t="s">
        <v>176</v>
      </c>
      <c r="T140" s="53"/>
      <c r="U140" s="53"/>
      <c r="V140" s="54"/>
      <c r="W140" s="37"/>
      <c r="X140" s="54">
        <f>IF(NOTA[[#This Row],[HARGA/ CTN]]="",NOTA[[#This Row],[JUMLAH_H]],NOTA[[#This Row],[HARGA/ CTN]]*IF(NOTA[[#This Row],[C]]="",0,NOTA[[#This Row],[C]]))</f>
        <v>4840000</v>
      </c>
      <c r="Y140" s="54">
        <f>IF(NOTA[[#This Row],[JUMLAH]]="","",NOTA[[#This Row],[JUMLAH]]*NOTA[[#This Row],[DISC 1]])</f>
        <v>0</v>
      </c>
      <c r="Z140" s="54">
        <f>IF(NOTA[[#This Row],[JUMLAH]]="","",(NOTA[[#This Row],[JUMLAH]]-NOTA[[#This Row],[DISC 1-]])*NOTA[[#This Row],[DISC 2]])</f>
        <v>0</v>
      </c>
      <c r="AA140" s="54">
        <f>IF(NOTA[[#This Row],[JUMLAH]]="","",NOTA[[#This Row],[DISC 1-]]+NOTA[[#This Row],[DISC 2-]])</f>
        <v>0</v>
      </c>
      <c r="AB140" s="54">
        <f>IF(NOTA[[#This Row],[JUMLAH]]="","",NOTA[[#This Row],[JUMLAH]]-NOTA[[#This Row],[DISC]])</f>
        <v>4840000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12730000</v>
      </c>
      <c r="AE14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F140" s="54">
        <f>IF(OR(NOTA[[#This Row],[QTY]]="",NOTA[[#This Row],[HARGA SATUAN]]="",),"",NOTA[[#This Row],[QTY]]*NOTA[[#This Row],[HARGA SATUAN]])</f>
        <v>4840000</v>
      </c>
      <c r="AG140" s="51">
        <f ca="1">IF(NOTA[ID_H]="","",INDEX(NOTA[TANGGAL],MATCH(,INDIRECT(ADDRESS(ROW(NOTA[TANGGAL]),COLUMN(NOTA[TANGGAL]))&amp;":"&amp;ADDRESS(ROW(),COLUMN(NOTA[TANGGAL]))),-1)))</f>
        <v>44935</v>
      </c>
      <c r="AH140" s="65" t="str">
        <f ca="1">IF(NOTA[[#This Row],[NAMA BARANG]]="","",INDEX(NOTA[SUPPLIER],MATCH(,INDIRECT(ADDRESS(ROW(NOTA[ID]),COLUMN(NOTA[ID]))&amp;":"&amp;ADDRESS(ROW(),COLUMN(NOTA[ID]))),-1)))</f>
        <v>LESTARY STATIONERY</v>
      </c>
      <c r="AI140" s="65" t="str">
        <f ca="1">IF(NOTA[[#This Row],[ID_H]]="","",IF(NOTA[[#This Row],[FAKTUR]]="",INDIRECT(ADDRESS(ROW()-1,COLUMN())),NOTA[[#This Row],[FAKTUR]]))</f>
        <v>UNTANA</v>
      </c>
      <c r="AJ140" s="38" t="str">
        <f ca="1">IF(NOTA[[#This Row],[ID]]="","",COUNTIF(NOTA[ID_H],NOTA[[#This Row],[ID_H]]))</f>
        <v/>
      </c>
      <c r="AK140" s="38">
        <f ca="1">IF(NOTA[[#This Row],[TGL.NOTA]]="",IF(NOTA[[#This Row],[SUPPLIER_H]]="","",AK139),MONTH(NOTA[[#This Row],[TGL.NOTA]]))</f>
        <v>1</v>
      </c>
      <c r="AL140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M140" s="38" t="str">
        <f>IF(NOTA[C]="",NOTA[[#This Row],[CONCAT1]]&amp;NOTA[[#This Row],[HARGA SATUAN]],NOTA[[#This Row],[CONCAT1]]&amp;NOTA[[#This Row],[HARGA/ CTN_H]]&amp;NOTA[[#This Row],[DISC 1]]&amp;NOTA[[#This Row],[DISC 2]])</f>
        <v>bag60*70*25beltbg150292420000</v>
      </c>
      <c r="AN140" s="184">
        <f>IF(NOTA[[#This Row],[CONCAT1]]="","",MATCH(NOTA[[#This Row],[CONCAT1]],[1]!db[NB NOTA_C],0)+1)</f>
        <v>56</v>
      </c>
    </row>
    <row r="141" spans="1:40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Row],[CEK_EXP]]&lt;D140,"err","")</f>
        <v/>
      </c>
      <c r="D141" s="50">
        <f>IF(NOTA[[#This Row],[TANGGAL]]="",D140,NOTA[[#This Row],[TANGGAL]])</f>
        <v>44935</v>
      </c>
      <c r="E141" s="50" t="str">
        <f ca="1">IF(NOTA[[#This Row],[NAMA BARANG]]="","",INDEX(NOTA[ID],MATCH(,INDIRECT(ADDRESS(ROW(NOTA[ID]),COLUMN(NOTA[ID]))&amp;":"&amp;ADDRESS(ROW(),COLUMN(NOTA[ID]))),-1)))</f>
        <v/>
      </c>
      <c r="F141" s="23"/>
      <c r="G141" s="26"/>
      <c r="H141" s="26"/>
      <c r="I141" s="31"/>
      <c r="J141" s="26"/>
      <c r="K141" s="51"/>
      <c r="L141" s="26"/>
      <c r="M141" s="26"/>
      <c r="N141" s="39"/>
      <c r="O141" s="26"/>
      <c r="P141" s="26"/>
      <c r="Q141" s="49"/>
      <c r="R141" s="52"/>
      <c r="S141" s="39"/>
      <c r="T141" s="53"/>
      <c r="U141" s="53"/>
      <c r="V141" s="54"/>
      <c r="W141" s="37"/>
      <c r="X141" s="54" t="str">
        <f>IF(NOTA[[#This Row],[HARGA/ CTN]]="",NOTA[[#This Row],[JUMLAH_H]],NOTA[[#This Row],[HARGA/ CTN]]*IF(NOTA[[#This Row],[C]]="",0,NOTA[[#This Row],[C]]))</f>
        <v/>
      </c>
      <c r="Y141" s="54" t="str">
        <f>IF(NOTA[[#This Row],[JUMLAH]]="","",NOTA[[#This Row],[JUMLAH]]*NOTA[[#This Row],[DISC 1]])</f>
        <v/>
      </c>
      <c r="Z141" s="54" t="str">
        <f>IF(NOTA[[#This Row],[JUMLAH]]="","",(NOTA[[#This Row],[JUMLAH]]-NOTA[[#This Row],[DISC 1-]])*NOTA[[#This Row],[DISC 2]])</f>
        <v/>
      </c>
      <c r="AA141" s="54" t="str">
        <f>IF(NOTA[[#This Row],[JUMLAH]]="","",NOTA[[#This Row],[DISC 1-]]+NOTA[[#This Row],[DISC 2-]])</f>
        <v/>
      </c>
      <c r="AB141" s="54" t="str">
        <f>IF(NOTA[[#This Row],[JUMLAH]]="","",NOTA[[#This Row],[JUMLAH]]-NOTA[[#This Row],[DISC]])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4" t="str">
        <f>IF(OR(NOTA[[#This Row],[QTY]]="",NOTA[[#This Row],[HARGA SATUAN]]="",),"",NOTA[[#This Row],[QTY]]*NOTA[[#This Row],[HARGA SATUAN]])</f>
        <v/>
      </c>
      <c r="AG141" s="51" t="str">
        <f ca="1">IF(NOTA[ID_H]="","",INDEX(NOTA[TANGGAL],MATCH(,INDIRECT(ADDRESS(ROW(NOTA[TANGGAL]),COLUMN(NOTA[TANGGAL]))&amp;":"&amp;ADDRESS(ROW(),COLUMN(NOTA[TANGGAL]))),-1)))</f>
        <v/>
      </c>
      <c r="AH141" s="65" t="str">
        <f ca="1">IF(NOTA[[#This Row],[NAMA BARANG]]="","",INDEX(NOTA[SUPPLIER],MATCH(,INDIRECT(ADDRESS(ROW(NOTA[ID]),COLUMN(NOTA[ID]))&amp;":"&amp;ADDRESS(ROW(),COLUMN(NOTA[ID]))),-1)))</f>
        <v/>
      </c>
      <c r="AI141" s="65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IF(NOTA[C]="",NOTA[[#This Row],[CONCAT1]]&amp;NOTA[[#This Row],[HARGA SATUAN]],NOTA[[#This Row],[CONCAT1]]&amp;NOTA[[#This Row],[HARGA/ CTN_H]]&amp;NOTA[[#This Row],[DISC 1]]&amp;NOTA[[#This Row],[DISC 2]])</f>
        <v/>
      </c>
      <c r="AN141" s="184" t="str">
        <f>IF(NOTA[[#This Row],[CONCAT1]]="","",MATCH(NOTA[[#This Row],[CONCAT1]],[1]!db[NB NOTA_C],0)+1)</f>
        <v/>
      </c>
    </row>
    <row r="142" spans="1:40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BIN_0901_694-1</v>
      </c>
      <c r="C142" s="50" t="str">
        <f>IF(NOTA[[#This Row],[CEK_EXP]]&lt;D141,"err","")</f>
        <v/>
      </c>
      <c r="D142" s="50">
        <f>IF(NOTA[[#This Row],[TANGGAL]]="",D141,NOTA[[#This Row],[TANGGAL]])</f>
        <v>44935</v>
      </c>
      <c r="E142" s="50">
        <f ca="1">IF(NOTA[[#This Row],[NAMA BARANG]]="","",INDEX(NOTA[ID],MATCH(,INDIRECT(ADDRESS(ROW(NOTA[ID]),COLUMN(NOTA[ID]))&amp;":"&amp;ADDRESS(ROW(),COLUMN(NOTA[ID]))),-1)))</f>
        <v>33</v>
      </c>
      <c r="F142" s="23"/>
      <c r="G142" s="26" t="s">
        <v>92</v>
      </c>
      <c r="H142" s="26" t="s">
        <v>87</v>
      </c>
      <c r="I142" s="31" t="s">
        <v>300</v>
      </c>
      <c r="J142" s="26"/>
      <c r="K142" s="51">
        <v>44930</v>
      </c>
      <c r="L142" s="26"/>
      <c r="M142" s="26" t="s">
        <v>301</v>
      </c>
      <c r="N142" s="39">
        <v>3</v>
      </c>
      <c r="O142" s="26">
        <v>90</v>
      </c>
      <c r="P142" s="26" t="s">
        <v>90</v>
      </c>
      <c r="Q142" s="49">
        <v>25500</v>
      </c>
      <c r="R142" s="52"/>
      <c r="S142" s="39" t="s">
        <v>302</v>
      </c>
      <c r="T142" s="53"/>
      <c r="U142" s="53"/>
      <c r="V142" s="54"/>
      <c r="W142" s="37"/>
      <c r="X142" s="54">
        <f>IF(NOTA[[#This Row],[HARGA/ CTN]]="",NOTA[[#This Row],[JUMLAH_H]],NOTA[[#This Row],[HARGA/ CTN]]*IF(NOTA[[#This Row],[C]]="",0,NOTA[[#This Row],[C]]))</f>
        <v>2295000</v>
      </c>
      <c r="Y142" s="54">
        <f>IF(NOTA[[#This Row],[JUMLAH]]="","",NOTA[[#This Row],[JUMLAH]]*NOTA[[#This Row],[DISC 1]])</f>
        <v>0</v>
      </c>
      <c r="Z142" s="54">
        <f>IF(NOTA[[#This Row],[JUMLAH]]="","",(NOTA[[#This Row],[JUMLAH]]-NOTA[[#This Row],[DISC 1-]])*NOTA[[#This Row],[DISC 2]])</f>
        <v>0</v>
      </c>
      <c r="AA142" s="54">
        <f>IF(NOTA[[#This Row],[JUMLAH]]="","",NOTA[[#This Row],[DISC 1-]]+NOTA[[#This Row],[DISC 2-]])</f>
        <v>0</v>
      </c>
      <c r="AB142" s="54">
        <f>IF(NOTA[[#This Row],[JUMLAH]]="","",NOTA[[#This Row],[JUMLAH]]-NOTA[[#This Row],[DISC]])</f>
        <v>2295000</v>
      </c>
      <c r="AC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E142" s="4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42" s="54">
        <f>IF(OR(NOTA[[#This Row],[QTY]]="",NOTA[[#This Row],[HARGA SATUAN]]="",),"",NOTA[[#This Row],[QTY]]*NOTA[[#This Row],[HARGA SATUAN]])</f>
        <v>2295000</v>
      </c>
      <c r="AG142" s="51">
        <f ca="1">IF(NOTA[ID_H]="","",INDEX(NOTA[TANGGAL],MATCH(,INDIRECT(ADDRESS(ROW(NOTA[TANGGAL]),COLUMN(NOTA[TANGGAL]))&amp;":"&amp;ADDRESS(ROW(),COLUMN(NOTA[TANGGAL]))),-1)))</f>
        <v>44935</v>
      </c>
      <c r="AH142" s="65" t="str">
        <f ca="1">IF(NOTA[[#This Row],[NAMA BARANG]]="","",INDEX(NOTA[SUPPLIER],MATCH(,INDIRECT(ADDRESS(ROW(NOTA[ID]),COLUMN(NOTA[ID]))&amp;":"&amp;ADDRESS(ROW(),COLUMN(NOTA[ID]))),-1)))</f>
        <v>BINTANG SAUDARA</v>
      </c>
      <c r="AI142" s="65" t="str">
        <f ca="1">IF(NOTA[[#This Row],[ID_H]]="","",IF(NOTA[[#This Row],[FAKTUR]]="",INDIRECT(ADDRESS(ROW()-1,COLUMN())),NOTA[[#This Row],[FAKTUR]]))</f>
        <v>UNTANA</v>
      </c>
      <c r="AJ142" s="38">
        <f ca="1">IF(NOTA[[#This Row],[ID]]="","",COUNTIF(NOTA[ID_H],NOTA[[#This Row],[ID_H]]))</f>
        <v>1</v>
      </c>
      <c r="AK142" s="38">
        <f>IF(NOTA[[#This Row],[TGL.NOTA]]="",IF(NOTA[[#This Row],[SUPPLIER_H]]="","",AK141),MONTH(NOTA[[#This Row],[TGL.NOTA]]))</f>
        <v>1</v>
      </c>
      <c r="AL142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142" s="38" t="str">
        <f>IF(NOTA[C]="",NOTA[[#This Row],[CONCAT1]]&amp;NOTA[[#This Row],[HARGA SATUAN]],NOTA[[#This Row],[CONCAT1]]&amp;NOTA[[#This Row],[HARGA/ CTN_H]]&amp;NOTA[[#This Row],[DISC 1]]&amp;NOTA[[#This Row],[DISC 2]])</f>
        <v>paperbagcoklatbesartebal765000</v>
      </c>
      <c r="AN142" s="184">
        <f>IF(NOTA[[#This Row],[CONCAT1]]="","",MATCH(NOTA[[#This Row],[CONCAT1]],[1]!db[NB NOTA_C],0)+1)</f>
        <v>1620</v>
      </c>
    </row>
    <row r="143" spans="1:40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Row],[CEK_EXP]]&lt;D142,"err","")</f>
        <v/>
      </c>
      <c r="D143" s="50">
        <f>IF(NOTA[[#This Row],[TANGGAL]]="",D142,NOTA[[#This Row],[TANGGAL]])</f>
        <v>44935</v>
      </c>
      <c r="E143" s="50" t="str">
        <f ca="1">IF(NOTA[[#This Row],[NAMA BARANG]]="","",INDEX(NOTA[ID],MATCH(,INDIRECT(ADDRESS(ROW(NOTA[ID]),COLUMN(NOTA[ID]))&amp;":"&amp;ADDRESS(ROW(),COLUMN(NOTA[ID]))),-1)))</f>
        <v/>
      </c>
      <c r="F143" s="23"/>
      <c r="G143" s="26"/>
      <c r="H143" s="26"/>
      <c r="I143" s="31"/>
      <c r="J143" s="26"/>
      <c r="K143" s="51"/>
      <c r="L143" s="26"/>
      <c r="M143" s="26"/>
      <c r="N143" s="39"/>
      <c r="O143" s="26"/>
      <c r="P143" s="26"/>
      <c r="Q143" s="49"/>
      <c r="R143" s="52"/>
      <c r="S143" s="39"/>
      <c r="T143" s="53"/>
      <c r="U143" s="53"/>
      <c r="V143" s="54"/>
      <c r="W143" s="37"/>
      <c r="X143" s="54" t="str">
        <f>IF(NOTA[[#This Row],[HARGA/ CTN]]="",NOTA[[#This Row],[JUMLAH_H]],NOTA[[#This Row],[HARGA/ CTN]]*IF(NOTA[[#This Row],[C]]="",0,NOTA[[#This Row],[C]]))</f>
        <v/>
      </c>
      <c r="Y143" s="54" t="str">
        <f>IF(NOTA[[#This Row],[JUMLAH]]="","",NOTA[[#This Row],[JUMLAH]]*NOTA[[#This Row],[DISC 1]])</f>
        <v/>
      </c>
      <c r="Z143" s="54" t="str">
        <f>IF(NOTA[[#This Row],[JUMLAH]]="","",(NOTA[[#This Row],[JUMLAH]]-NOTA[[#This Row],[DISC 1-]])*NOTA[[#This Row],[DISC 2]])</f>
        <v/>
      </c>
      <c r="AA143" s="54" t="str">
        <f>IF(NOTA[[#This Row],[JUMLAH]]="","",NOTA[[#This Row],[DISC 1-]]+NOTA[[#This Row],[DISC 2-]])</f>
        <v/>
      </c>
      <c r="AB143" s="54" t="str">
        <f>IF(NOTA[[#This Row],[JUMLAH]]="","",NOTA[[#This Row],[JUMLAH]]-NOTA[[#This Row],[DISC]])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3" s="54" t="str">
        <f>IF(OR(NOTA[[#This Row],[QTY]]="",NOTA[[#This Row],[HARGA SATUAN]]="",),"",NOTA[[#This Row],[QTY]]*NOTA[[#This Row],[HARGA SATUAN]])</f>
        <v/>
      </c>
      <c r="AG143" s="51" t="str">
        <f ca="1">IF(NOTA[ID_H]="","",INDEX(NOTA[TANGGAL],MATCH(,INDIRECT(ADDRESS(ROW(NOTA[TANGGAL]),COLUMN(NOTA[TANGGAL]))&amp;":"&amp;ADDRESS(ROW(),COLUMN(NOTA[TANGGAL]))),-1)))</f>
        <v/>
      </c>
      <c r="AH143" s="65" t="str">
        <f ca="1">IF(NOTA[[#This Row],[NAMA BARANG]]="","",INDEX(NOTA[SUPPLIER],MATCH(,INDIRECT(ADDRESS(ROW(NOTA[ID]),COLUMN(NOTA[ID]))&amp;":"&amp;ADDRESS(ROW(),COLUMN(NOTA[ID]))),-1)))</f>
        <v/>
      </c>
      <c r="AI143" s="65" t="str">
        <f ca="1">IF(NOTA[[#This Row],[ID_H]]="","",IF(NOTA[[#This Row],[FAKTUR]]="",INDIRECT(ADDRESS(ROW()-1,COLUMN())),NOTA[[#This Row],[FAKTUR]]))</f>
        <v/>
      </c>
      <c r="AJ143" s="38" t="str">
        <f ca="1">IF(NOTA[[#This Row],[ID]]="","",COUNTIF(NOTA[ID_H],NOTA[[#This Row],[ID_H]]))</f>
        <v/>
      </c>
      <c r="AK143" s="38" t="str">
        <f ca="1">IF(NOTA[[#This Row],[TGL.NOTA]]="",IF(NOTA[[#This Row],[SUPPLIER_H]]="","",AK142),MONTH(NOTA[[#This Row],[TGL.NOTA]]))</f>
        <v/>
      </c>
      <c r="AL143" s="38" t="str">
        <f>LOWER(SUBSTITUTE(SUBSTITUTE(SUBSTITUTE(SUBSTITUTE(SUBSTITUTE(SUBSTITUTE(SUBSTITUTE(SUBSTITUTE(SUBSTITUTE(NOTA[NAMA BARANG]," ",),".",""),"-",""),"(",""),")",""),",",""),"/",""),"""",""),"+",""))</f>
        <v/>
      </c>
      <c r="AM143" s="38" t="str">
        <f>IF(NOTA[C]="",NOTA[[#This Row],[CONCAT1]]&amp;NOTA[[#This Row],[HARGA SATUAN]],NOTA[[#This Row],[CONCAT1]]&amp;NOTA[[#This Row],[HARGA/ CTN_H]]&amp;NOTA[[#This Row],[DISC 1]]&amp;NOTA[[#This Row],[DISC 2]])</f>
        <v/>
      </c>
      <c r="AN143" s="184" t="str">
        <f>IF(NOTA[[#This Row],[CONCAT1]]="","",MATCH(NOTA[[#This Row],[CONCAT1]],[1]!db[NB NOTA_C],0)+1)</f>
        <v/>
      </c>
    </row>
    <row r="144" spans="1:40" ht="20.100000000000001" customHeight="1" x14ac:dyDescent="0.25">
      <c r="A144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DBS_0901_223-4</v>
      </c>
      <c r="C144" s="50" t="str">
        <f>IF(NOTA[[#This Row],[CEK_EXP]]&lt;D143,"err","")</f>
        <v/>
      </c>
      <c r="D144" s="50">
        <f>IF(NOTA[[#This Row],[TANGGAL]]="",D143,NOTA[[#This Row],[TANGGAL]])</f>
        <v>44935</v>
      </c>
      <c r="E144" s="50">
        <f ca="1">IF(NOTA[[#This Row],[NAMA BARANG]]="","",INDEX(NOTA[ID],MATCH(,INDIRECT(ADDRESS(ROW(NOTA[ID]),COLUMN(NOTA[ID]))&amp;":"&amp;ADDRESS(ROW(),COLUMN(NOTA[ID]))),-1)))</f>
        <v>34</v>
      </c>
      <c r="F144" s="23"/>
      <c r="G144" s="26" t="s">
        <v>220</v>
      </c>
      <c r="H144" s="26" t="s">
        <v>87</v>
      </c>
      <c r="I144" s="31" t="s">
        <v>303</v>
      </c>
      <c r="J144" s="26"/>
      <c r="K144" s="51">
        <v>44932</v>
      </c>
      <c r="L144" s="26"/>
      <c r="M144" s="26" t="s">
        <v>304</v>
      </c>
      <c r="N144" s="39">
        <v>3</v>
      </c>
      <c r="O144" s="26">
        <v>540</v>
      </c>
      <c r="P144" s="26" t="s">
        <v>104</v>
      </c>
      <c r="Q144" s="49">
        <v>16800</v>
      </c>
      <c r="R144" s="52"/>
      <c r="S144" s="39" t="s">
        <v>305</v>
      </c>
      <c r="T144" s="53">
        <v>2.5000000000000001E-2</v>
      </c>
      <c r="U144" s="53"/>
      <c r="V144" s="54"/>
      <c r="W144" s="37"/>
      <c r="X144" s="54">
        <f>IF(NOTA[[#This Row],[HARGA/ CTN]]="",NOTA[[#This Row],[JUMLAH_H]],NOTA[[#This Row],[HARGA/ CTN]]*IF(NOTA[[#This Row],[C]]="",0,NOTA[[#This Row],[C]]))</f>
        <v>9072000</v>
      </c>
      <c r="Y144" s="54">
        <f>IF(NOTA[[#This Row],[JUMLAH]]="","",NOTA[[#This Row],[JUMLAH]]*NOTA[[#This Row],[DISC 1]])</f>
        <v>226800</v>
      </c>
      <c r="Z144" s="54">
        <f>IF(NOTA[[#This Row],[JUMLAH]]="","",(NOTA[[#This Row],[JUMLAH]]-NOTA[[#This Row],[DISC 1-]])*NOTA[[#This Row],[DISC 2]])</f>
        <v>0</v>
      </c>
      <c r="AA144" s="54">
        <f>IF(NOTA[[#This Row],[JUMLAH]]="","",NOTA[[#This Row],[DISC 1-]]+NOTA[[#This Row],[DISC 2-]])</f>
        <v>226800</v>
      </c>
      <c r="AB144" s="54">
        <f>IF(NOTA[[#This Row],[JUMLAH]]="","",NOTA[[#This Row],[JUMLAH]]-NOTA[[#This Row],[DISC]])</f>
        <v>8845200</v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44" s="54">
        <f>IF(OR(NOTA[[#This Row],[QTY]]="",NOTA[[#This Row],[HARGA SATUAN]]="",),"",NOTA[[#This Row],[QTY]]*NOTA[[#This Row],[HARGA SATUAN]])</f>
        <v>9072000</v>
      </c>
      <c r="AG144" s="51">
        <f ca="1">IF(NOTA[ID_H]="","",INDEX(NOTA[TANGGAL],MATCH(,INDIRECT(ADDRESS(ROW(NOTA[TANGGAL]),COLUMN(NOTA[TANGGAL]))&amp;":"&amp;ADDRESS(ROW(),COLUMN(NOTA[TANGGAL]))),-1)))</f>
        <v>44935</v>
      </c>
      <c r="AH144" s="65" t="str">
        <f ca="1">IF(NOTA[[#This Row],[NAMA BARANG]]="","",INDEX(NOTA[SUPPLIER],MATCH(,INDIRECT(ADDRESS(ROW(NOTA[ID]),COLUMN(NOTA[ID]))&amp;":"&amp;ADDRESS(ROW(),COLUMN(NOTA[ID]))),-1)))</f>
        <v>DB STATIONERY</v>
      </c>
      <c r="AI144" s="65" t="str">
        <f ca="1">IF(NOTA[[#This Row],[ID_H]]="","",IF(NOTA[[#This Row],[FAKTUR]]="",INDIRECT(ADDRESS(ROW()-1,COLUMN())),NOTA[[#This Row],[FAKTUR]]))</f>
        <v>UNTANA</v>
      </c>
      <c r="AJ144" s="38">
        <f ca="1">IF(NOTA[[#This Row],[ID]]="","",COUNTIF(NOTA[ID_H],NOTA[[#This Row],[ID_H]]))</f>
        <v>4</v>
      </c>
      <c r="AK144" s="38">
        <f>IF(NOTA[[#This Row],[TGL.NOTA]]="",IF(NOTA[[#This Row],[SUPPLIER_H]]="","",AK143),MONTH(NOTA[[#This Row],[TGL.NOTA]]))</f>
        <v>1</v>
      </c>
      <c r="AL144" s="38" t="str">
        <f>LOWER(SUBSTITUTE(SUBSTITUTE(SUBSTITUTE(SUBSTITUTE(SUBSTITUTE(SUBSTITUTE(SUBSTITUTE(SUBSTITUTE(SUBSTITUTE(NOTA[NAMA BARANG]," ",),".",""),"-",""),"(",""),")",""),",",""),"/",""),"""",""),"+",""))</f>
        <v>tpbd19126</v>
      </c>
      <c r="AM144" s="38" t="str">
        <f>IF(NOTA[C]="",NOTA[[#This Row],[CONCAT1]]&amp;NOTA[[#This Row],[HARGA SATUAN]],NOTA[[#This Row],[CONCAT1]]&amp;NOTA[[#This Row],[HARGA/ CTN_H]]&amp;NOTA[[#This Row],[DISC 1]]&amp;NOTA[[#This Row],[DISC 2]])</f>
        <v>tpbd1912630240000.025</v>
      </c>
      <c r="AN144" s="184">
        <f>IF(NOTA[[#This Row],[CONCAT1]]="","",MATCH(NOTA[[#This Row],[CONCAT1]],[1]!db[NB NOTA_C],0)+1)</f>
        <v>2251</v>
      </c>
    </row>
    <row r="145" spans="1:40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Row],[CEK_EXP]]&lt;D144,"err","")</f>
        <v/>
      </c>
      <c r="D145" s="50">
        <f>IF(NOTA[[#This Row],[TANGGAL]]="",D144,NOTA[[#This Row],[TANGGAL]])</f>
        <v>44935</v>
      </c>
      <c r="E145" s="50">
        <f ca="1">IF(NOTA[[#This Row],[NAMA BARANG]]="","",INDEX(NOTA[ID],MATCH(,INDIRECT(ADDRESS(ROW(NOTA[ID]),COLUMN(NOTA[ID]))&amp;":"&amp;ADDRESS(ROW(),COLUMN(NOTA[ID]))),-1)))</f>
        <v>34</v>
      </c>
      <c r="F145" s="23"/>
      <c r="G145" s="26"/>
      <c r="H145" s="26"/>
      <c r="I145" s="31"/>
      <c r="J145" s="26"/>
      <c r="K145" s="51"/>
      <c r="L145" s="26"/>
      <c r="M145" s="26" t="s">
        <v>306</v>
      </c>
      <c r="N145" s="39">
        <v>3</v>
      </c>
      <c r="O145" s="26">
        <v>540</v>
      </c>
      <c r="P145" s="26" t="s">
        <v>104</v>
      </c>
      <c r="Q145" s="49">
        <v>24500</v>
      </c>
      <c r="R145" s="52"/>
      <c r="S145" s="39" t="s">
        <v>305</v>
      </c>
      <c r="T145" s="53">
        <v>2.5000000000000001E-2</v>
      </c>
      <c r="U145" s="53"/>
      <c r="V145" s="54"/>
      <c r="W145" s="37"/>
      <c r="X145" s="54">
        <f>IF(NOTA[[#This Row],[HARGA/ CTN]]="",NOTA[[#This Row],[JUMLAH_H]],NOTA[[#This Row],[HARGA/ CTN]]*IF(NOTA[[#This Row],[C]]="",0,NOTA[[#This Row],[C]]))</f>
        <v>13230000</v>
      </c>
      <c r="Y145" s="54">
        <f>IF(NOTA[[#This Row],[JUMLAH]]="","",NOTA[[#This Row],[JUMLAH]]*NOTA[[#This Row],[DISC 1]])</f>
        <v>330750</v>
      </c>
      <c r="Z145" s="54">
        <f>IF(NOTA[[#This Row],[JUMLAH]]="","",(NOTA[[#This Row],[JUMLAH]]-NOTA[[#This Row],[DISC 1-]])*NOTA[[#This Row],[DISC 2]])</f>
        <v>0</v>
      </c>
      <c r="AA145" s="54">
        <f>IF(NOTA[[#This Row],[JUMLAH]]="","",NOTA[[#This Row],[DISC 1-]]+NOTA[[#This Row],[DISC 2-]])</f>
        <v>330750</v>
      </c>
      <c r="AB145" s="54">
        <f>IF(NOTA[[#This Row],[JUMLAH]]="","",NOTA[[#This Row],[JUMLAH]]-NOTA[[#This Row],[DISC]])</f>
        <v>12899250</v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9">
        <f>IF(NOTA[[#This Row],[NAMA BARANG]]="","",IF(NOTA[[#This Row],[JUMLAH_H]]="",NOTA[[#This Row],[HARGA/ CTN]],NOTA[[#This Row],[QTY]]*NOTA[[#This Row],[HARGA SATUAN]]/IF(ISNUMBER(NOTA[[#This Row],[C]]),NOTA[[#This Row],[C]],1)))</f>
        <v>4410000</v>
      </c>
      <c r="AF145" s="54">
        <f>IF(OR(NOTA[[#This Row],[QTY]]="",NOTA[[#This Row],[HARGA SATUAN]]="",),"",NOTA[[#This Row],[QTY]]*NOTA[[#This Row],[HARGA SATUAN]])</f>
        <v>13230000</v>
      </c>
      <c r="AG145" s="51">
        <f ca="1">IF(NOTA[ID_H]="","",INDEX(NOTA[TANGGAL],MATCH(,INDIRECT(ADDRESS(ROW(NOTA[TANGGAL]),COLUMN(NOTA[TANGGAL]))&amp;":"&amp;ADDRESS(ROW(),COLUMN(NOTA[TANGGAL]))),-1)))</f>
        <v>44935</v>
      </c>
      <c r="AH145" s="65" t="str">
        <f ca="1">IF(NOTA[[#This Row],[NAMA BARANG]]="","",INDEX(NOTA[SUPPLIER],MATCH(,INDIRECT(ADDRESS(ROW(NOTA[ID]),COLUMN(NOTA[ID]))&amp;":"&amp;ADDRESS(ROW(),COLUMN(NOTA[ID]))),-1)))</f>
        <v>DB STATIONERY</v>
      </c>
      <c r="AI145" s="65" t="str">
        <f ca="1">IF(NOTA[[#This Row],[ID_H]]="","",IF(NOTA[[#This Row],[FAKTUR]]="",INDIRECT(ADDRESS(ROW()-1,COLUMN())),NOTA[[#This Row],[FAKTUR]]))</f>
        <v>UNTANA</v>
      </c>
      <c r="AJ145" s="38" t="str">
        <f ca="1">IF(NOTA[[#This Row],[ID]]="","",COUNTIF(NOTA[ID_H],NOTA[[#This Row],[ID_H]]))</f>
        <v/>
      </c>
      <c r="AK145" s="38">
        <f ca="1">IF(NOTA[[#This Row],[TGL.NOTA]]="",IF(NOTA[[#This Row],[SUPPLIER_H]]="","",AK144),MONTH(NOTA[[#This Row],[TGL.NOTA]]))</f>
        <v>1</v>
      </c>
      <c r="AL145" s="38" t="str">
        <f>LOWER(SUBSTITUTE(SUBSTITUTE(SUBSTITUTE(SUBSTITUTE(SUBSTITUTE(SUBSTITUTE(SUBSTITUTE(SUBSTITUTE(SUBSTITUTE(NOTA[NAMA BARANG]," ",),".",""),"-",""),"(",""),")",""),",",""),"/",""),"""",""),"+",""))</f>
        <v>tpbd933</v>
      </c>
      <c r="AM145" s="38" t="str">
        <f>IF(NOTA[C]="",NOTA[[#This Row],[CONCAT1]]&amp;NOTA[[#This Row],[HARGA SATUAN]],NOTA[[#This Row],[CONCAT1]]&amp;NOTA[[#This Row],[HARGA/ CTN_H]]&amp;NOTA[[#This Row],[DISC 1]]&amp;NOTA[[#This Row],[DISC 2]])</f>
        <v>tpbd93344100000.025</v>
      </c>
      <c r="AN145" s="184">
        <f>IF(NOTA[[#This Row],[CONCAT1]]="","",MATCH(NOTA[[#This Row],[CONCAT1]],[1]!db[NB NOTA_C],0)+1)</f>
        <v>2233</v>
      </c>
    </row>
    <row r="146" spans="1:40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Row],[CEK_EXP]]&lt;D145,"err","")</f>
        <v/>
      </c>
      <c r="D146" s="50">
        <f>IF(NOTA[[#This Row],[TANGGAL]]="",D145,NOTA[[#This Row],[TANGGAL]])</f>
        <v>44935</v>
      </c>
      <c r="E146" s="50">
        <f ca="1">IF(NOTA[[#This Row],[NAMA BARANG]]="","",INDEX(NOTA[ID],MATCH(,INDIRECT(ADDRESS(ROW(NOTA[ID]),COLUMN(NOTA[ID]))&amp;":"&amp;ADDRESS(ROW(),COLUMN(NOTA[ID]))),-1)))</f>
        <v>34</v>
      </c>
      <c r="F146" s="23"/>
      <c r="G146" s="26"/>
      <c r="H146" s="26"/>
      <c r="I146" s="31"/>
      <c r="J146" s="26"/>
      <c r="K146" s="51"/>
      <c r="L146" s="26"/>
      <c r="M146" s="26" t="s">
        <v>307</v>
      </c>
      <c r="N146" s="39">
        <v>3</v>
      </c>
      <c r="O146" s="26">
        <v>540</v>
      </c>
      <c r="P146" s="26" t="s">
        <v>104</v>
      </c>
      <c r="Q146" s="49">
        <v>11000</v>
      </c>
      <c r="R146" s="52"/>
      <c r="S146" s="39" t="s">
        <v>305</v>
      </c>
      <c r="T146" s="53">
        <v>2.5000000000000001E-2</v>
      </c>
      <c r="U146" s="53"/>
      <c r="V146" s="54"/>
      <c r="W146" s="37"/>
      <c r="X146" s="54">
        <f>IF(NOTA[[#This Row],[HARGA/ CTN]]="",NOTA[[#This Row],[JUMLAH_H]],NOTA[[#This Row],[HARGA/ CTN]]*IF(NOTA[[#This Row],[C]]="",0,NOTA[[#This Row],[C]]))</f>
        <v>5940000</v>
      </c>
      <c r="Y146" s="54">
        <f>IF(NOTA[[#This Row],[JUMLAH]]="","",NOTA[[#This Row],[JUMLAH]]*NOTA[[#This Row],[DISC 1]])</f>
        <v>148500</v>
      </c>
      <c r="Z146" s="54">
        <f>IF(NOTA[[#This Row],[JUMLAH]]="","",(NOTA[[#This Row],[JUMLAH]]-NOTA[[#This Row],[DISC 1-]])*NOTA[[#This Row],[DISC 2]])</f>
        <v>0</v>
      </c>
      <c r="AA146" s="54">
        <f>IF(NOTA[[#This Row],[JUMLAH]]="","",NOTA[[#This Row],[DISC 1-]]+NOTA[[#This Row],[DISC 2-]])</f>
        <v>148500</v>
      </c>
      <c r="AB146" s="54">
        <f>IF(NOTA[[#This Row],[JUMLAH]]="","",NOTA[[#This Row],[JUMLAH]]-NOTA[[#This Row],[DISC]])</f>
        <v>5791500</v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46" s="54">
        <f>IF(OR(NOTA[[#This Row],[QTY]]="",NOTA[[#This Row],[HARGA SATUAN]]="",),"",NOTA[[#This Row],[QTY]]*NOTA[[#This Row],[HARGA SATUAN]])</f>
        <v>5940000</v>
      </c>
      <c r="AG146" s="51">
        <f ca="1">IF(NOTA[ID_H]="","",INDEX(NOTA[TANGGAL],MATCH(,INDIRECT(ADDRESS(ROW(NOTA[TANGGAL]),COLUMN(NOTA[TANGGAL]))&amp;":"&amp;ADDRESS(ROW(),COLUMN(NOTA[TANGGAL]))),-1)))</f>
        <v>44935</v>
      </c>
      <c r="AH146" s="65" t="str">
        <f ca="1">IF(NOTA[[#This Row],[NAMA BARANG]]="","",INDEX(NOTA[SUPPLIER],MATCH(,INDIRECT(ADDRESS(ROW(NOTA[ID]),COLUMN(NOTA[ID]))&amp;":"&amp;ADDRESS(ROW(),COLUMN(NOTA[ID]))),-1)))</f>
        <v>DB STATIONERY</v>
      </c>
      <c r="AI146" s="65" t="str">
        <f ca="1">IF(NOTA[[#This Row],[ID_H]]="","",IF(NOTA[[#This Row],[FAKTUR]]="",INDIRECT(ADDRESS(ROW()-1,COLUMN())),NOTA[[#This Row],[FAKTUR]]))</f>
        <v>UNTANA</v>
      </c>
      <c r="AJ146" s="38" t="str">
        <f ca="1">IF(NOTA[[#This Row],[ID]]="","",COUNTIF(NOTA[ID_H],NOTA[[#This Row],[ID_H]]))</f>
        <v/>
      </c>
      <c r="AK146" s="38">
        <f ca="1">IF(NOTA[[#This Row],[TGL.NOTA]]="",IF(NOTA[[#This Row],[SUPPLIER_H]]="","",AK145),MONTH(NOTA[[#This Row],[TGL.NOTA]]))</f>
        <v>1</v>
      </c>
      <c r="AL146" s="38" t="str">
        <f>LOWER(SUBSTITUTE(SUBSTITUTE(SUBSTITUTE(SUBSTITUTE(SUBSTITUTE(SUBSTITUTE(SUBSTITUTE(SUBSTITUTE(SUBSTITUTE(NOTA[NAMA BARANG]," ",),".",""),"-",""),"(",""),")",""),",",""),"/",""),"""",""),"+",""))</f>
        <v>tpensilbdxlgbd18026</v>
      </c>
      <c r="AM146" s="38" t="str">
        <f>IF(NOTA[C]="",NOTA[[#This Row],[CONCAT1]]&amp;NOTA[[#This Row],[HARGA SATUAN]],NOTA[[#This Row],[CONCAT1]]&amp;NOTA[[#This Row],[HARGA/ CTN_H]]&amp;NOTA[[#This Row],[DISC 1]]&amp;NOTA[[#This Row],[DISC 2]])</f>
        <v>tpensilbdxlgbd1802619800000.025</v>
      </c>
      <c r="AN146" s="184">
        <f>IF(NOTA[[#This Row],[CONCAT1]]="","",MATCH(NOTA[[#This Row],[CONCAT1]],[1]!db[NB NOTA_C],0)+1)</f>
        <v>2008</v>
      </c>
    </row>
    <row r="147" spans="1:40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Row],[CEK_EXP]]&lt;D146,"err","")</f>
        <v/>
      </c>
      <c r="D147" s="50">
        <f>IF(NOTA[[#This Row],[TANGGAL]]="",D146,NOTA[[#This Row],[TANGGAL]])</f>
        <v>44935</v>
      </c>
      <c r="E147" s="50">
        <f ca="1">IF(NOTA[[#This Row],[NAMA BARANG]]="","",INDEX(NOTA[ID],MATCH(,INDIRECT(ADDRESS(ROW(NOTA[ID]),COLUMN(NOTA[ID]))&amp;":"&amp;ADDRESS(ROW(),COLUMN(NOTA[ID]))),-1)))</f>
        <v>34</v>
      </c>
      <c r="F147" s="23"/>
      <c r="G147" s="26"/>
      <c r="H147" s="26"/>
      <c r="I147" s="31"/>
      <c r="J147" s="26"/>
      <c r="K147" s="51"/>
      <c r="L147" s="26"/>
      <c r="M147" s="26" t="s">
        <v>308</v>
      </c>
      <c r="N147" s="39">
        <v>3</v>
      </c>
      <c r="O147" s="26">
        <v>540</v>
      </c>
      <c r="P147" s="26" t="s">
        <v>104</v>
      </c>
      <c r="Q147" s="49">
        <v>18000</v>
      </c>
      <c r="R147" s="52"/>
      <c r="S147" s="39" t="s">
        <v>305</v>
      </c>
      <c r="T147" s="53">
        <v>2.5000000000000001E-2</v>
      </c>
      <c r="U147" s="53"/>
      <c r="V147" s="54"/>
      <c r="W147" s="37"/>
      <c r="X147" s="54">
        <f>IF(NOTA[[#This Row],[HARGA/ CTN]]="",NOTA[[#This Row],[JUMLAH_H]],NOTA[[#This Row],[HARGA/ CTN]]*IF(NOTA[[#This Row],[C]]="",0,NOTA[[#This Row],[C]]))</f>
        <v>9720000</v>
      </c>
      <c r="Y147" s="54">
        <f>IF(NOTA[[#This Row],[JUMLAH]]="","",NOTA[[#This Row],[JUMLAH]]*NOTA[[#This Row],[DISC 1]])</f>
        <v>243000</v>
      </c>
      <c r="Z147" s="54">
        <f>IF(NOTA[[#This Row],[JUMLAH]]="","",(NOTA[[#This Row],[JUMLAH]]-NOTA[[#This Row],[DISC 1-]])*NOTA[[#This Row],[DISC 2]])</f>
        <v>0</v>
      </c>
      <c r="AA147" s="54">
        <f>IF(NOTA[[#This Row],[JUMLAH]]="","",NOTA[[#This Row],[DISC 1-]]+NOTA[[#This Row],[DISC 2-]])</f>
        <v>243000</v>
      </c>
      <c r="AB147" s="54">
        <f>IF(NOTA[[#This Row],[JUMLAH]]="","",NOTA[[#This Row],[JUMLAH]]-NOTA[[#This Row],[DISC]])</f>
        <v>9477000</v>
      </c>
      <c r="AC1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949050</v>
      </c>
      <c r="AD1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37012950</v>
      </c>
      <c r="AE147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47" s="54">
        <f>IF(OR(NOTA[[#This Row],[QTY]]="",NOTA[[#This Row],[HARGA SATUAN]]="",),"",NOTA[[#This Row],[QTY]]*NOTA[[#This Row],[HARGA SATUAN]])</f>
        <v>9720000</v>
      </c>
      <c r="AG147" s="51">
        <f ca="1">IF(NOTA[ID_H]="","",INDEX(NOTA[TANGGAL],MATCH(,INDIRECT(ADDRESS(ROW(NOTA[TANGGAL]),COLUMN(NOTA[TANGGAL]))&amp;":"&amp;ADDRESS(ROW(),COLUMN(NOTA[TANGGAL]))),-1)))</f>
        <v>44935</v>
      </c>
      <c r="AH147" s="65" t="str">
        <f ca="1">IF(NOTA[[#This Row],[NAMA BARANG]]="","",INDEX(NOTA[SUPPLIER],MATCH(,INDIRECT(ADDRESS(ROW(NOTA[ID]),COLUMN(NOTA[ID]))&amp;":"&amp;ADDRESS(ROW(),COLUMN(NOTA[ID]))),-1)))</f>
        <v>DB STATIONERY</v>
      </c>
      <c r="AI147" s="65" t="str">
        <f ca="1">IF(NOTA[[#This Row],[ID_H]]="","",IF(NOTA[[#This Row],[FAKTUR]]="",INDIRECT(ADDRESS(ROW()-1,COLUMN())),NOTA[[#This Row],[FAKTUR]]))</f>
        <v>UNTANA</v>
      </c>
      <c r="AJ147" s="38" t="str">
        <f ca="1">IF(NOTA[[#This Row],[ID]]="","",COUNTIF(NOTA[ID_H],NOTA[[#This Row],[ID_H]]))</f>
        <v/>
      </c>
      <c r="AK147" s="38">
        <f ca="1">IF(NOTA[[#This Row],[TGL.NOTA]]="",IF(NOTA[[#This Row],[SUPPLIER_H]]="","",AK146),MONTH(NOTA[[#This Row],[TGL.NOTA]]))</f>
        <v>1</v>
      </c>
      <c r="AL147" s="38" t="str">
        <f>LOWER(SUBSTITUTE(SUBSTITUTE(SUBSTITUTE(SUBSTITUTE(SUBSTITUTE(SUBSTITUTE(SUBSTITUTE(SUBSTITUTE(SUBSTITUTE(NOTA[NAMA BARANG]," ",),".",""),"-",""),"(",""),")",""),",",""),"/",""),"""",""),"+",""))</f>
        <v>tpbdbd931</v>
      </c>
      <c r="AM147" s="38" t="str">
        <f>IF(NOTA[C]="",NOTA[[#This Row],[CONCAT1]]&amp;NOTA[[#This Row],[HARGA SATUAN]],NOTA[[#This Row],[CONCAT1]]&amp;NOTA[[#This Row],[HARGA/ CTN_H]]&amp;NOTA[[#This Row],[DISC 1]]&amp;NOTA[[#This Row],[DISC 2]])</f>
        <v>tpbdbd93132400000.025</v>
      </c>
      <c r="AN147" s="184">
        <f>IF(NOTA[[#This Row],[CONCAT1]]="","",MATCH(NOTA[[#This Row],[CONCAT1]],[1]!db[NB NOTA_C],0)+1)</f>
        <v>2072</v>
      </c>
    </row>
    <row r="148" spans="1:40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Row],[CEK_EXP]]&lt;D147,"err","")</f>
        <v/>
      </c>
      <c r="D148" s="50">
        <f>IF(NOTA[[#This Row],[TANGGAL]]="",D147,NOTA[[#This Row],[TANGGAL]])</f>
        <v>44935</v>
      </c>
      <c r="E148" s="50" t="str">
        <f ca="1">IF(NOTA[[#This Row],[NAMA BARANG]]="","",INDEX(NOTA[ID],MATCH(,INDIRECT(ADDRESS(ROW(NOTA[ID]),COLUMN(NOTA[ID]))&amp;":"&amp;ADDRESS(ROW(),COLUMN(NOTA[ID]))),-1)))</f>
        <v/>
      </c>
      <c r="F148" s="23"/>
      <c r="G148" s="26"/>
      <c r="H148" s="26"/>
      <c r="I148" s="31"/>
      <c r="J148" s="26"/>
      <c r="K148" s="51"/>
      <c r="L148" s="26"/>
      <c r="M148" s="26"/>
      <c r="N148" s="39"/>
      <c r="O148" s="26"/>
      <c r="P148" s="26"/>
      <c r="Q148" s="49"/>
      <c r="R148" s="52"/>
      <c r="S148" s="39"/>
      <c r="T148" s="53"/>
      <c r="U148" s="53"/>
      <c r="V148" s="54"/>
      <c r="W148" s="37"/>
      <c r="X148" s="54" t="str">
        <f>IF(NOTA[[#This Row],[HARGA/ CTN]]="",NOTA[[#This Row],[JUMLAH_H]],NOTA[[#This Row],[HARGA/ CTN]]*IF(NOTA[[#This Row],[C]]="",0,NOTA[[#This Row],[C]]))</f>
        <v/>
      </c>
      <c r="Y148" s="54" t="str">
        <f>IF(NOTA[[#This Row],[JUMLAH]]="","",NOTA[[#This Row],[JUMLAH]]*NOTA[[#This Row],[DISC 1]])</f>
        <v/>
      </c>
      <c r="Z148" s="54" t="str">
        <f>IF(NOTA[[#This Row],[JUMLAH]]="","",(NOTA[[#This Row],[JUMLAH]]-NOTA[[#This Row],[DISC 1-]])*NOTA[[#This Row],[DISC 2]])</f>
        <v/>
      </c>
      <c r="AA148" s="54" t="str">
        <f>IF(NOTA[[#This Row],[JUMLAH]]="","",NOTA[[#This Row],[DISC 1-]]+NOTA[[#This Row],[DISC 2-]])</f>
        <v/>
      </c>
      <c r="AB148" s="54" t="str">
        <f>IF(NOTA[[#This Row],[JUMLAH]]="","",NOTA[[#This Row],[JUMLAH]]-NOTA[[#This Row],[DISC]])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8" s="54" t="str">
        <f>IF(OR(NOTA[[#This Row],[QTY]]="",NOTA[[#This Row],[HARGA SATUAN]]="",),"",NOTA[[#This Row],[QTY]]*NOTA[[#This Row],[HARGA SATUAN]])</f>
        <v/>
      </c>
      <c r="AG148" s="51" t="str">
        <f ca="1">IF(NOTA[ID_H]="","",INDEX(NOTA[TANGGAL],MATCH(,INDIRECT(ADDRESS(ROW(NOTA[TANGGAL]),COLUMN(NOTA[TANGGAL]))&amp;":"&amp;ADDRESS(ROW(),COLUMN(NOTA[TANGGAL]))),-1)))</f>
        <v/>
      </c>
      <c r="AH148" s="65" t="str">
        <f ca="1">IF(NOTA[[#This Row],[NAMA BARANG]]="","",INDEX(NOTA[SUPPLIER],MATCH(,INDIRECT(ADDRESS(ROW(NOTA[ID]),COLUMN(NOTA[ID]))&amp;":"&amp;ADDRESS(ROW(),COLUMN(NOTA[ID]))),-1)))</f>
        <v/>
      </c>
      <c r="AI148" s="65" t="str">
        <f ca="1">IF(NOTA[[#This Row],[ID_H]]="","",IF(NOTA[[#This Row],[FAKTUR]]="",INDIRECT(ADDRESS(ROW()-1,COLUMN())),NOTA[[#This Row],[FAKTUR]]))</f>
        <v/>
      </c>
      <c r="AJ148" s="38" t="str">
        <f ca="1">IF(NOTA[[#This Row],[ID]]="","",COUNTIF(NOTA[ID_H],NOTA[[#This Row],[ID_H]]))</f>
        <v/>
      </c>
      <c r="AK148" s="38" t="str">
        <f ca="1">IF(NOTA[[#This Row],[TGL.NOTA]]="",IF(NOTA[[#This Row],[SUPPLIER_H]]="","",AK147),MONTH(NOTA[[#This Row],[TGL.NOTA]]))</f>
        <v/>
      </c>
      <c r="AL148" s="38" t="str">
        <f>LOWER(SUBSTITUTE(SUBSTITUTE(SUBSTITUTE(SUBSTITUTE(SUBSTITUTE(SUBSTITUTE(SUBSTITUTE(SUBSTITUTE(SUBSTITUTE(NOTA[NAMA BARANG]," ",),".",""),"-",""),"(",""),")",""),",",""),"/",""),"""",""),"+",""))</f>
        <v/>
      </c>
      <c r="AM148" s="38" t="str">
        <f>IF(NOTA[C]="",NOTA[[#This Row],[CONCAT1]]&amp;NOTA[[#This Row],[HARGA SATUAN]],NOTA[[#This Row],[CONCAT1]]&amp;NOTA[[#This Row],[HARGA/ CTN_H]]&amp;NOTA[[#This Row],[DISC 1]]&amp;NOTA[[#This Row],[DISC 2]])</f>
        <v/>
      </c>
      <c r="AN148" s="184" t="str">
        <f>IF(NOTA[[#This Row],[CONCAT1]]="","",MATCH(NOTA[[#This Row],[CONCAT1]],[1]!db[NB NOTA_C],0)+1)</f>
        <v/>
      </c>
    </row>
    <row r="149" spans="1:40" ht="20.100000000000001" customHeight="1" x14ac:dyDescent="0.25">
      <c r="A14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SBS_0901_1B1-8</v>
      </c>
      <c r="C149" s="50" t="str">
        <f>IF(NOTA[[#This Row],[CEK_EXP]]&lt;D148,"err","")</f>
        <v/>
      </c>
      <c r="D149" s="50">
        <f>IF(NOTA[[#This Row],[TANGGAL]]="",D148,NOTA[[#This Row],[TANGGAL]])</f>
        <v>44935</v>
      </c>
      <c r="E149" s="50">
        <f ca="1">IF(NOTA[[#This Row],[NAMA BARANG]]="","",INDEX(NOTA[ID],MATCH(,INDIRECT(ADDRESS(ROW(NOTA[ID]),COLUMN(NOTA[ID]))&amp;":"&amp;ADDRESS(ROW(),COLUMN(NOTA[ID]))),-1)))</f>
        <v>35</v>
      </c>
      <c r="F149" s="23"/>
      <c r="G149" s="26" t="s">
        <v>101</v>
      </c>
      <c r="H149" s="26" t="s">
        <v>87</v>
      </c>
      <c r="I149" s="31" t="s">
        <v>309</v>
      </c>
      <c r="J149" s="26"/>
      <c r="K149" s="51">
        <v>44929</v>
      </c>
      <c r="L149" s="26"/>
      <c r="M149" s="26" t="s">
        <v>310</v>
      </c>
      <c r="N149" s="39">
        <v>2</v>
      </c>
      <c r="O149" s="26">
        <v>32</v>
      </c>
      <c r="P149" s="26" t="s">
        <v>131</v>
      </c>
      <c r="Q149" s="49">
        <v>118000</v>
      </c>
      <c r="R149" s="52"/>
      <c r="S149" s="39" t="s">
        <v>940</v>
      </c>
      <c r="T149" s="53"/>
      <c r="U149" s="53"/>
      <c r="V149" s="54"/>
      <c r="W149" s="37"/>
      <c r="X149" s="54">
        <f>IF(NOTA[[#This Row],[HARGA/ CTN]]="",NOTA[[#This Row],[JUMLAH_H]],NOTA[[#This Row],[HARGA/ CTN]]*IF(NOTA[[#This Row],[C]]="",0,NOTA[[#This Row],[C]]))</f>
        <v>3776000</v>
      </c>
      <c r="Y149" s="54">
        <f>IF(NOTA[[#This Row],[JUMLAH]]="","",NOTA[[#This Row],[JUMLAH]]*NOTA[[#This Row],[DISC 1]])</f>
        <v>0</v>
      </c>
      <c r="Z149" s="54">
        <f>IF(NOTA[[#This Row],[JUMLAH]]="","",(NOTA[[#This Row],[JUMLAH]]-NOTA[[#This Row],[DISC 1-]])*NOTA[[#This Row],[DISC 2]])</f>
        <v>0</v>
      </c>
      <c r="AA149" s="54">
        <f>IF(NOTA[[#This Row],[JUMLAH]]="","",NOTA[[#This Row],[DISC 1-]]+NOTA[[#This Row],[DISC 2-]])</f>
        <v>0</v>
      </c>
      <c r="AB149" s="54">
        <f>IF(NOTA[[#This Row],[JUMLAH]]="","",NOTA[[#This Row],[JUMLAH]]-NOTA[[#This Row],[DISC]])</f>
        <v>3776000</v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49" s="54">
        <f>IF(OR(NOTA[[#This Row],[QTY]]="",NOTA[[#This Row],[HARGA SATUAN]]="",),"",NOTA[[#This Row],[QTY]]*NOTA[[#This Row],[HARGA SATUAN]])</f>
        <v>3776000</v>
      </c>
      <c r="AG149" s="51">
        <f ca="1">IF(NOTA[ID_H]="","",INDEX(NOTA[TANGGAL],MATCH(,INDIRECT(ADDRESS(ROW(NOTA[TANGGAL]),COLUMN(NOTA[TANGGAL]))&amp;":"&amp;ADDRESS(ROW(),COLUMN(NOTA[TANGGAL]))),-1)))</f>
        <v>44935</v>
      </c>
      <c r="AH149" s="65" t="str">
        <f ca="1">IF(NOTA[[#This Row],[NAMA BARANG]]="","",INDEX(NOTA[SUPPLIER],MATCH(,INDIRECT(ADDRESS(ROW(NOTA[ID]),COLUMN(NOTA[ID]))&amp;":"&amp;ADDRESS(ROW(),COLUMN(NOTA[ID]))),-1)))</f>
        <v>SBS</v>
      </c>
      <c r="AI149" s="65" t="str">
        <f ca="1">IF(NOTA[[#This Row],[ID_H]]="","",IF(NOTA[[#This Row],[FAKTUR]]="",INDIRECT(ADDRESS(ROW()-1,COLUMN())),NOTA[[#This Row],[FAKTUR]]))</f>
        <v>UNTANA</v>
      </c>
      <c r="AJ149" s="38">
        <f ca="1">IF(NOTA[[#This Row],[ID]]="","",COUNTIF(NOTA[ID_H],NOTA[[#This Row],[ID_H]]))</f>
        <v>8</v>
      </c>
      <c r="AK149" s="38">
        <f>IF(NOTA[[#This Row],[TGL.NOTA]]="",IF(NOTA[[#This Row],[SUPPLIER_H]]="","",AK148),MONTH(NOTA[[#This Row],[TGL.NOTA]]))</f>
        <v>1</v>
      </c>
      <c r="AL149" s="38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M149" s="38" t="str">
        <f>IF(NOTA[C]="",NOTA[[#This Row],[CONCAT1]]&amp;NOTA[[#This Row],[HARGA SATUAN]],NOTA[[#This Row],[CONCAT1]]&amp;NOTA[[#This Row],[HARGA/ CTN_H]]&amp;NOTA[[#This Row],[DISC 1]]&amp;NOTA[[#This Row],[DISC 2]])</f>
        <v>penggarissetpayups880120cmpkdino1888000</v>
      </c>
      <c r="AN149" s="184">
        <f>IF(NOTA[[#This Row],[CONCAT1]]="","",MATCH(NOTA[[#This Row],[CONCAT1]],[1]!db[NB NOTA_C],0)+1)</f>
        <v>2243</v>
      </c>
    </row>
    <row r="150" spans="1:40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Row],[CEK_EXP]]&lt;D149,"err","")</f>
        <v/>
      </c>
      <c r="D150" s="50">
        <f>IF(NOTA[[#This Row],[TANGGAL]]="",D149,NOTA[[#This Row],[TANGGAL]])</f>
        <v>44935</v>
      </c>
      <c r="E150" s="50">
        <f ca="1">IF(NOTA[[#This Row],[NAMA BARANG]]="","",INDEX(NOTA[ID],MATCH(,INDIRECT(ADDRESS(ROW(NOTA[ID]),COLUMN(NOTA[ID]))&amp;":"&amp;ADDRESS(ROW(),COLUMN(NOTA[ID]))),-1)))</f>
        <v>35</v>
      </c>
      <c r="F150" s="23"/>
      <c r="G150" s="26"/>
      <c r="H150" s="26"/>
      <c r="I150" s="31"/>
      <c r="J150" s="26"/>
      <c r="K150" s="51"/>
      <c r="L150" s="26"/>
      <c r="M150" s="26" t="s">
        <v>311</v>
      </c>
      <c r="N150" s="39">
        <v>2</v>
      </c>
      <c r="O150" s="26">
        <v>32</v>
      </c>
      <c r="P150" s="26" t="s">
        <v>131</v>
      </c>
      <c r="Q150" s="49">
        <v>118000</v>
      </c>
      <c r="R150" s="52"/>
      <c r="S150" s="39" t="s">
        <v>940</v>
      </c>
      <c r="T150" s="53"/>
      <c r="U150" s="53"/>
      <c r="V150" s="54"/>
      <c r="W150" s="37"/>
      <c r="X150" s="54">
        <f>IF(NOTA[[#This Row],[HARGA/ CTN]]="",NOTA[[#This Row],[JUMLAH_H]],NOTA[[#This Row],[HARGA/ CTN]]*IF(NOTA[[#This Row],[C]]="",0,NOTA[[#This Row],[C]]))</f>
        <v>3776000</v>
      </c>
      <c r="Y150" s="54">
        <f>IF(NOTA[[#This Row],[JUMLAH]]="","",NOTA[[#This Row],[JUMLAH]]*NOTA[[#This Row],[DISC 1]])</f>
        <v>0</v>
      </c>
      <c r="Z150" s="54">
        <f>IF(NOTA[[#This Row],[JUMLAH]]="","",(NOTA[[#This Row],[JUMLAH]]-NOTA[[#This Row],[DISC 1-]])*NOTA[[#This Row],[DISC 2]])</f>
        <v>0</v>
      </c>
      <c r="AA150" s="54">
        <f>IF(NOTA[[#This Row],[JUMLAH]]="","",NOTA[[#This Row],[DISC 1-]]+NOTA[[#This Row],[DISC 2-]])</f>
        <v>0</v>
      </c>
      <c r="AB150" s="54">
        <f>IF(NOTA[[#This Row],[JUMLAH]]="","",NOTA[[#This Row],[JUMLAH]]-NOTA[[#This Row],[DISC]])</f>
        <v>3776000</v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0" s="54">
        <f>IF(OR(NOTA[[#This Row],[QTY]]="",NOTA[[#This Row],[HARGA SATUAN]]="",),"",NOTA[[#This Row],[QTY]]*NOTA[[#This Row],[HARGA SATUAN]])</f>
        <v>3776000</v>
      </c>
      <c r="AG150" s="51">
        <f ca="1">IF(NOTA[ID_H]="","",INDEX(NOTA[TANGGAL],MATCH(,INDIRECT(ADDRESS(ROW(NOTA[TANGGAL]),COLUMN(NOTA[TANGGAL]))&amp;":"&amp;ADDRESS(ROW(),COLUMN(NOTA[TANGGAL]))),-1)))</f>
        <v>44935</v>
      </c>
      <c r="AH150" s="65" t="str">
        <f ca="1">IF(NOTA[[#This Row],[NAMA BARANG]]="","",INDEX(NOTA[SUPPLIER],MATCH(,INDIRECT(ADDRESS(ROW(NOTA[ID]),COLUMN(NOTA[ID]))&amp;":"&amp;ADDRESS(ROW(),COLUMN(NOTA[ID]))),-1)))</f>
        <v>SBS</v>
      </c>
      <c r="AI150" s="65" t="str">
        <f ca="1">IF(NOTA[[#This Row],[ID_H]]="","",IF(NOTA[[#This Row],[FAKTUR]]="",INDIRECT(ADDRESS(ROW()-1,COLUMN())),NOTA[[#This Row],[FAKTUR]]))</f>
        <v>UNTANA</v>
      </c>
      <c r="AJ150" s="38" t="str">
        <f ca="1">IF(NOTA[[#This Row],[ID]]="","",COUNTIF(NOTA[ID_H],NOTA[[#This Row],[ID_H]]))</f>
        <v/>
      </c>
      <c r="AK150" s="38">
        <f ca="1">IF(NOTA[[#This Row],[TGL.NOTA]]="",IF(NOTA[[#This Row],[SUPPLIER_H]]="","",AK149),MONTH(NOTA[[#This Row],[TGL.NOTA]]))</f>
        <v>1</v>
      </c>
      <c r="AL150" s="38" t="str">
        <f>LOWER(SUBSTITUTE(SUBSTITUTE(SUBSTITUTE(SUBSTITUTE(SUBSTITUTE(SUBSTITUTE(SUBSTITUTE(SUBSTITUTE(SUBSTITUTE(NOTA[NAMA BARANG]," ",),".",""),"-",""),"(",""),")",""),",",""),"/",""),"""",""),"+",""))</f>
        <v>penggarissetpayups880220cmpkastro</v>
      </c>
      <c r="AM150" s="38" t="str">
        <f>IF(NOTA[C]="",NOTA[[#This Row],[CONCAT1]]&amp;NOTA[[#This Row],[HARGA SATUAN]],NOTA[[#This Row],[CONCAT1]]&amp;NOTA[[#This Row],[HARGA/ CTN_H]]&amp;NOTA[[#This Row],[DISC 1]]&amp;NOTA[[#This Row],[DISC 2]])</f>
        <v>penggarissetpayups880220cmpkastro1888000</v>
      </c>
      <c r="AN150" s="184">
        <f>IF(NOTA[[#This Row],[CONCAT1]]="","",MATCH(NOTA[[#This Row],[CONCAT1]],[1]!db[NB NOTA_C],0)+1)</f>
        <v>2244</v>
      </c>
    </row>
    <row r="151" spans="1:40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Row],[CEK_EXP]]&lt;D150,"err","")</f>
        <v/>
      </c>
      <c r="D151" s="50">
        <f>IF(NOTA[[#This Row],[TANGGAL]]="",D150,NOTA[[#This Row],[TANGGAL]])</f>
        <v>44935</v>
      </c>
      <c r="E151" s="50">
        <f ca="1">IF(NOTA[[#This Row],[NAMA BARANG]]="","",INDEX(NOTA[ID],MATCH(,INDIRECT(ADDRESS(ROW(NOTA[ID]),COLUMN(NOTA[ID]))&amp;":"&amp;ADDRESS(ROW(),COLUMN(NOTA[ID]))),-1)))</f>
        <v>35</v>
      </c>
      <c r="F151" s="23"/>
      <c r="G151" s="26"/>
      <c r="H151" s="26"/>
      <c r="I151" s="31"/>
      <c r="J151" s="26"/>
      <c r="K151" s="51"/>
      <c r="L151" s="26"/>
      <c r="M151" s="26" t="s">
        <v>312</v>
      </c>
      <c r="N151" s="39">
        <v>2</v>
      </c>
      <c r="O151" s="26">
        <v>32</v>
      </c>
      <c r="P151" s="26" t="s">
        <v>131</v>
      </c>
      <c r="Q151" s="49">
        <v>118000</v>
      </c>
      <c r="R151" s="52"/>
      <c r="S151" s="39" t="s">
        <v>940</v>
      </c>
      <c r="T151" s="53"/>
      <c r="U151" s="53"/>
      <c r="V151" s="54"/>
      <c r="W151" s="37"/>
      <c r="X151" s="54">
        <f>IF(NOTA[[#This Row],[HARGA/ CTN]]="",NOTA[[#This Row],[JUMLAH_H]],NOTA[[#This Row],[HARGA/ CTN]]*IF(NOTA[[#This Row],[C]]="",0,NOTA[[#This Row],[C]]))</f>
        <v>3776000</v>
      </c>
      <c r="Y151" s="54">
        <f>IF(NOTA[[#This Row],[JUMLAH]]="","",NOTA[[#This Row],[JUMLAH]]*NOTA[[#This Row],[DISC 1]])</f>
        <v>0</v>
      </c>
      <c r="Z151" s="54">
        <f>IF(NOTA[[#This Row],[JUMLAH]]="","",(NOTA[[#This Row],[JUMLAH]]-NOTA[[#This Row],[DISC 1-]])*NOTA[[#This Row],[DISC 2]])</f>
        <v>0</v>
      </c>
      <c r="AA151" s="54">
        <f>IF(NOTA[[#This Row],[JUMLAH]]="","",NOTA[[#This Row],[DISC 1-]]+NOTA[[#This Row],[DISC 2-]])</f>
        <v>0</v>
      </c>
      <c r="AB151" s="54">
        <f>IF(NOTA[[#This Row],[JUMLAH]]="","",NOTA[[#This Row],[JUMLAH]]-NOTA[[#This Row],[DISC]])</f>
        <v>3776000</v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1" s="54">
        <f>IF(OR(NOTA[[#This Row],[QTY]]="",NOTA[[#This Row],[HARGA SATUAN]]="",),"",NOTA[[#This Row],[QTY]]*NOTA[[#This Row],[HARGA SATUAN]])</f>
        <v>3776000</v>
      </c>
      <c r="AG151" s="51">
        <f ca="1">IF(NOTA[ID_H]="","",INDEX(NOTA[TANGGAL],MATCH(,INDIRECT(ADDRESS(ROW(NOTA[TANGGAL]),COLUMN(NOTA[TANGGAL]))&amp;":"&amp;ADDRESS(ROW(),COLUMN(NOTA[TANGGAL]))),-1)))</f>
        <v>44935</v>
      </c>
      <c r="AH151" s="65" t="str">
        <f ca="1">IF(NOTA[[#This Row],[NAMA BARANG]]="","",INDEX(NOTA[SUPPLIER],MATCH(,INDIRECT(ADDRESS(ROW(NOTA[ID]),COLUMN(NOTA[ID]))&amp;":"&amp;ADDRESS(ROW(),COLUMN(NOTA[ID]))),-1)))</f>
        <v>SBS</v>
      </c>
      <c r="AI151" s="65" t="str">
        <f ca="1">IF(NOTA[[#This Row],[ID_H]]="","",IF(NOTA[[#This Row],[FAKTUR]]="",INDIRECT(ADDRESS(ROW()-1,COLUMN())),NOTA[[#This Row],[FAKTUR]]))</f>
        <v>UNTANA</v>
      </c>
      <c r="AJ151" s="38" t="str">
        <f ca="1">IF(NOTA[[#This Row],[ID]]="","",COUNTIF(NOTA[ID_H],NOTA[[#This Row],[ID_H]]))</f>
        <v/>
      </c>
      <c r="AK151" s="38">
        <f ca="1">IF(NOTA[[#This Row],[TGL.NOTA]]="",IF(NOTA[[#This Row],[SUPPLIER_H]]="","",AK150),MONTH(NOTA[[#This Row],[TGL.NOTA]]))</f>
        <v>1</v>
      </c>
      <c r="AL151" s="38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M151" s="38" t="str">
        <f>IF(NOTA[C]="",NOTA[[#This Row],[CONCAT1]]&amp;NOTA[[#This Row],[HARGA SATUAN]],NOTA[[#This Row],[CONCAT1]]&amp;NOTA[[#This Row],[HARGA/ CTN_H]]&amp;NOTA[[#This Row],[DISC 1]]&amp;NOTA[[#This Row],[DISC 2]])</f>
        <v>penggarissetpayups880320cmpkmilk1888000</v>
      </c>
      <c r="AN151" s="184">
        <f>IF(NOTA[[#This Row],[CONCAT1]]="","",MATCH(NOTA[[#This Row],[CONCAT1]],[1]!db[NB NOTA_C],0)+1)</f>
        <v>2245</v>
      </c>
    </row>
    <row r="152" spans="1:40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Row],[CEK_EXP]]&lt;D151,"err","")</f>
        <v/>
      </c>
      <c r="D152" s="50">
        <f>IF(NOTA[[#This Row],[TANGGAL]]="",D151,NOTA[[#This Row],[TANGGAL]])</f>
        <v>44935</v>
      </c>
      <c r="E152" s="50">
        <f ca="1">IF(NOTA[[#This Row],[NAMA BARANG]]="","",INDEX(NOTA[ID],MATCH(,INDIRECT(ADDRESS(ROW(NOTA[ID]),COLUMN(NOTA[ID]))&amp;":"&amp;ADDRESS(ROW(),COLUMN(NOTA[ID]))),-1)))</f>
        <v>35</v>
      </c>
      <c r="F152" s="23"/>
      <c r="G152" s="26"/>
      <c r="H152" s="26"/>
      <c r="I152" s="69"/>
      <c r="J152" s="31"/>
      <c r="K152" s="51"/>
      <c r="L152" s="26"/>
      <c r="M152" s="26" t="s">
        <v>313</v>
      </c>
      <c r="N152" s="39">
        <v>2</v>
      </c>
      <c r="O152" s="26">
        <v>32</v>
      </c>
      <c r="P152" s="26" t="s">
        <v>131</v>
      </c>
      <c r="Q152" s="49">
        <v>118000</v>
      </c>
      <c r="R152" s="52"/>
      <c r="S152" s="39" t="s">
        <v>940</v>
      </c>
      <c r="T152" s="53"/>
      <c r="U152" s="53"/>
      <c r="V152" s="54"/>
      <c r="W152" s="37"/>
      <c r="X152" s="54">
        <f>IF(NOTA[[#This Row],[HARGA/ CTN]]="",NOTA[[#This Row],[JUMLAH_H]],NOTA[[#This Row],[HARGA/ CTN]]*IF(NOTA[[#This Row],[C]]="",0,NOTA[[#This Row],[C]]))</f>
        <v>3776000</v>
      </c>
      <c r="Y152" s="54">
        <f>IF(NOTA[[#This Row],[JUMLAH]]="","",NOTA[[#This Row],[JUMLAH]]*NOTA[[#This Row],[DISC 1]])</f>
        <v>0</v>
      </c>
      <c r="Z152" s="54">
        <f>IF(NOTA[[#This Row],[JUMLAH]]="","",(NOTA[[#This Row],[JUMLAH]]-NOTA[[#This Row],[DISC 1-]])*NOTA[[#This Row],[DISC 2]])</f>
        <v>0</v>
      </c>
      <c r="AA152" s="54">
        <f>IF(NOTA[[#This Row],[JUMLAH]]="","",NOTA[[#This Row],[DISC 1-]]+NOTA[[#This Row],[DISC 2-]])</f>
        <v>0</v>
      </c>
      <c r="AB152" s="54">
        <f>IF(NOTA[[#This Row],[JUMLAH]]="","",NOTA[[#This Row],[JUMLAH]]-NOTA[[#This Row],[DISC]])</f>
        <v>3776000</v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2" s="54">
        <f>IF(OR(NOTA[[#This Row],[QTY]]="",NOTA[[#This Row],[HARGA SATUAN]]="",),"",NOTA[[#This Row],[QTY]]*NOTA[[#This Row],[HARGA SATUAN]])</f>
        <v>3776000</v>
      </c>
      <c r="AG152" s="51">
        <f ca="1">IF(NOTA[ID_H]="","",INDEX(NOTA[TANGGAL],MATCH(,INDIRECT(ADDRESS(ROW(NOTA[TANGGAL]),COLUMN(NOTA[TANGGAL]))&amp;":"&amp;ADDRESS(ROW(),COLUMN(NOTA[TANGGAL]))),-1)))</f>
        <v>44935</v>
      </c>
      <c r="AH152" s="65" t="str">
        <f ca="1">IF(NOTA[[#This Row],[NAMA BARANG]]="","",INDEX(NOTA[SUPPLIER],MATCH(,INDIRECT(ADDRESS(ROW(NOTA[ID]),COLUMN(NOTA[ID]))&amp;":"&amp;ADDRESS(ROW(),COLUMN(NOTA[ID]))),-1)))</f>
        <v>SBS</v>
      </c>
      <c r="AI152" s="65" t="str">
        <f ca="1">IF(NOTA[[#This Row],[ID_H]]="","",IF(NOTA[[#This Row],[FAKTUR]]="",INDIRECT(ADDRESS(ROW()-1,COLUMN())),NOTA[[#This Row],[FAKTUR]]))</f>
        <v>UNTANA</v>
      </c>
      <c r="AJ152" s="38" t="str">
        <f ca="1">IF(NOTA[[#This Row],[ID]]="","",COUNTIF(NOTA[ID_H],NOTA[[#This Row],[ID_H]]))</f>
        <v/>
      </c>
      <c r="AK152" s="38">
        <f ca="1">IF(NOTA[[#This Row],[TGL.NOTA]]="",IF(NOTA[[#This Row],[SUPPLIER_H]]="","",AK151),MONTH(NOTA[[#This Row],[TGL.NOTA]]))</f>
        <v>1</v>
      </c>
      <c r="AL152" s="38" t="str">
        <f>LOWER(SUBSTITUTE(SUBSTITUTE(SUBSTITUTE(SUBSTITUTE(SUBSTITUTE(SUBSTITUTE(SUBSTITUTE(SUBSTITUTE(SUBSTITUTE(NOTA[NAMA BARANG]," ",),".",""),"-",""),"(",""),")",""),",",""),"/",""),"""",""),"+",""))</f>
        <v>penggarissetpayups880420cmpkbear</v>
      </c>
      <c r="AM152" s="38" t="str">
        <f>IF(NOTA[C]="",NOTA[[#This Row],[CONCAT1]]&amp;NOTA[[#This Row],[HARGA SATUAN]],NOTA[[#This Row],[CONCAT1]]&amp;NOTA[[#This Row],[HARGA/ CTN_H]]&amp;NOTA[[#This Row],[DISC 1]]&amp;NOTA[[#This Row],[DISC 2]])</f>
        <v>penggarissetpayups880420cmpkbear1888000</v>
      </c>
      <c r="AN152" s="184">
        <f>IF(NOTA[[#This Row],[CONCAT1]]="","",MATCH(NOTA[[#This Row],[CONCAT1]],[1]!db[NB NOTA_C],0)+1)</f>
        <v>2246</v>
      </c>
    </row>
    <row r="153" spans="1:40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Row],[CEK_EXP]]&lt;D152,"err","")</f>
        <v/>
      </c>
      <c r="D153" s="50">
        <f>IF(NOTA[[#This Row],[TANGGAL]]="",D152,NOTA[[#This Row],[TANGGAL]])</f>
        <v>44935</v>
      </c>
      <c r="E153" s="50">
        <f ca="1">IF(NOTA[[#This Row],[NAMA BARANG]]="","",INDEX(NOTA[ID],MATCH(,INDIRECT(ADDRESS(ROW(NOTA[ID]),COLUMN(NOTA[ID]))&amp;":"&amp;ADDRESS(ROW(),COLUMN(NOTA[ID]))),-1)))</f>
        <v>35</v>
      </c>
      <c r="F153" s="23"/>
      <c r="G153" s="26"/>
      <c r="H153" s="26"/>
      <c r="I153" s="31"/>
      <c r="J153" s="26"/>
      <c r="K153" s="51"/>
      <c r="L153" s="26"/>
      <c r="M153" s="26" t="s">
        <v>314</v>
      </c>
      <c r="N153" s="39">
        <v>2</v>
      </c>
      <c r="O153" s="26">
        <v>32</v>
      </c>
      <c r="P153" s="26" t="s">
        <v>131</v>
      </c>
      <c r="Q153" s="49">
        <v>118000</v>
      </c>
      <c r="R153" s="52"/>
      <c r="S153" s="39" t="s">
        <v>940</v>
      </c>
      <c r="T153" s="53"/>
      <c r="U153" s="53"/>
      <c r="V153" s="54"/>
      <c r="W153" s="37"/>
      <c r="X153" s="54">
        <f>IF(NOTA[[#This Row],[HARGA/ CTN]]="",NOTA[[#This Row],[JUMLAH_H]],NOTA[[#This Row],[HARGA/ CTN]]*IF(NOTA[[#This Row],[C]]="",0,NOTA[[#This Row],[C]]))</f>
        <v>3776000</v>
      </c>
      <c r="Y153" s="54">
        <f>IF(NOTA[[#This Row],[JUMLAH]]="","",NOTA[[#This Row],[JUMLAH]]*NOTA[[#This Row],[DISC 1]])</f>
        <v>0</v>
      </c>
      <c r="Z153" s="54">
        <f>IF(NOTA[[#This Row],[JUMLAH]]="","",(NOTA[[#This Row],[JUMLAH]]-NOTA[[#This Row],[DISC 1-]])*NOTA[[#This Row],[DISC 2]])</f>
        <v>0</v>
      </c>
      <c r="AA153" s="54">
        <f>IF(NOTA[[#This Row],[JUMLAH]]="","",NOTA[[#This Row],[DISC 1-]]+NOTA[[#This Row],[DISC 2-]])</f>
        <v>0</v>
      </c>
      <c r="AB153" s="54">
        <f>IF(NOTA[[#This Row],[JUMLAH]]="","",NOTA[[#This Row],[JUMLAH]]-NOTA[[#This Row],[DISC]])</f>
        <v>3776000</v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3" s="54">
        <f>IF(OR(NOTA[[#This Row],[QTY]]="",NOTA[[#This Row],[HARGA SATUAN]]="",),"",NOTA[[#This Row],[QTY]]*NOTA[[#This Row],[HARGA SATUAN]])</f>
        <v>3776000</v>
      </c>
      <c r="AG153" s="51">
        <f ca="1">IF(NOTA[ID_H]="","",INDEX(NOTA[TANGGAL],MATCH(,INDIRECT(ADDRESS(ROW(NOTA[TANGGAL]),COLUMN(NOTA[TANGGAL]))&amp;":"&amp;ADDRESS(ROW(),COLUMN(NOTA[TANGGAL]))),-1)))</f>
        <v>44935</v>
      </c>
      <c r="AH153" s="65" t="str">
        <f ca="1">IF(NOTA[[#This Row],[NAMA BARANG]]="","",INDEX(NOTA[SUPPLIER],MATCH(,INDIRECT(ADDRESS(ROW(NOTA[ID]),COLUMN(NOTA[ID]))&amp;":"&amp;ADDRESS(ROW(),COLUMN(NOTA[ID]))),-1)))</f>
        <v>SBS</v>
      </c>
      <c r="AI153" s="65" t="str">
        <f ca="1">IF(NOTA[[#This Row],[ID_H]]="","",IF(NOTA[[#This Row],[FAKTUR]]="",INDIRECT(ADDRESS(ROW()-1,COLUMN())),NOTA[[#This Row],[FAKTUR]]))</f>
        <v>UNTANA</v>
      </c>
      <c r="AJ153" s="38" t="str">
        <f ca="1">IF(NOTA[[#This Row],[ID]]="","",COUNTIF(NOTA[ID_H],NOTA[[#This Row],[ID_H]]))</f>
        <v/>
      </c>
      <c r="AK153" s="38">
        <f ca="1">IF(NOTA[[#This Row],[TGL.NOTA]]="",IF(NOTA[[#This Row],[SUPPLIER_H]]="","",AK152),MONTH(NOTA[[#This Row],[TGL.NOTA]]))</f>
        <v>1</v>
      </c>
      <c r="AL153" s="38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M153" s="38" t="str">
        <f>IF(NOTA[C]="",NOTA[[#This Row],[CONCAT1]]&amp;NOTA[[#This Row],[HARGA SATUAN]],NOTA[[#This Row],[CONCAT1]]&amp;NOTA[[#This Row],[HARGA/ CTN_H]]&amp;NOTA[[#This Row],[DISC 1]]&amp;NOTA[[#This Row],[DISC 2]])</f>
        <v>penggarissetpayups880520cmpklucu1888000</v>
      </c>
      <c r="AN153" s="184">
        <f>IF(NOTA[[#This Row],[CONCAT1]]="","",MATCH(NOTA[[#This Row],[CONCAT1]],[1]!db[NB NOTA_C],0)+1)</f>
        <v>2247</v>
      </c>
    </row>
    <row r="154" spans="1:40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Row],[CEK_EXP]]&lt;D153,"err","")</f>
        <v/>
      </c>
      <c r="D154" s="50">
        <f>IF(NOTA[[#This Row],[TANGGAL]]="",D153,NOTA[[#This Row],[TANGGAL]])</f>
        <v>44935</v>
      </c>
      <c r="E154" s="50">
        <f ca="1">IF(NOTA[[#This Row],[NAMA BARANG]]="","",INDEX(NOTA[ID],MATCH(,INDIRECT(ADDRESS(ROW(NOTA[ID]),COLUMN(NOTA[ID]))&amp;":"&amp;ADDRESS(ROW(),COLUMN(NOTA[ID]))),-1)))</f>
        <v>35</v>
      </c>
      <c r="F154" s="23"/>
      <c r="G154" s="26"/>
      <c r="H154" s="26"/>
      <c r="I154" s="31"/>
      <c r="J154" s="26"/>
      <c r="K154" s="51"/>
      <c r="L154" s="26"/>
      <c r="M154" s="26" t="s">
        <v>315</v>
      </c>
      <c r="N154" s="39">
        <v>2</v>
      </c>
      <c r="O154" s="26">
        <v>32</v>
      </c>
      <c r="P154" s="26" t="s">
        <v>131</v>
      </c>
      <c r="Q154" s="49">
        <v>118000</v>
      </c>
      <c r="R154" s="52"/>
      <c r="S154" s="39" t="s">
        <v>940</v>
      </c>
      <c r="T154" s="53"/>
      <c r="U154" s="53"/>
      <c r="V154" s="54"/>
      <c r="W154" s="37"/>
      <c r="X154" s="54">
        <f>IF(NOTA[[#This Row],[HARGA/ CTN]]="",NOTA[[#This Row],[JUMLAH_H]],NOTA[[#This Row],[HARGA/ CTN]]*IF(NOTA[[#This Row],[C]]="",0,NOTA[[#This Row],[C]]))</f>
        <v>3776000</v>
      </c>
      <c r="Y154" s="54">
        <f>IF(NOTA[[#This Row],[JUMLAH]]="","",NOTA[[#This Row],[JUMLAH]]*NOTA[[#This Row],[DISC 1]])</f>
        <v>0</v>
      </c>
      <c r="Z154" s="54">
        <f>IF(NOTA[[#This Row],[JUMLAH]]="","",(NOTA[[#This Row],[JUMLAH]]-NOTA[[#This Row],[DISC 1-]])*NOTA[[#This Row],[DISC 2]])</f>
        <v>0</v>
      </c>
      <c r="AA154" s="54">
        <f>IF(NOTA[[#This Row],[JUMLAH]]="","",NOTA[[#This Row],[DISC 1-]]+NOTA[[#This Row],[DISC 2-]])</f>
        <v>0</v>
      </c>
      <c r="AB154" s="54">
        <f>IF(NOTA[[#This Row],[JUMLAH]]="","",NOTA[[#This Row],[JUMLAH]]-NOTA[[#This Row],[DISC]])</f>
        <v>3776000</v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4" s="54">
        <f>IF(OR(NOTA[[#This Row],[QTY]]="",NOTA[[#This Row],[HARGA SATUAN]]="",),"",NOTA[[#This Row],[QTY]]*NOTA[[#This Row],[HARGA SATUAN]])</f>
        <v>3776000</v>
      </c>
      <c r="AG154" s="51">
        <f ca="1">IF(NOTA[ID_H]="","",INDEX(NOTA[TANGGAL],MATCH(,INDIRECT(ADDRESS(ROW(NOTA[TANGGAL]),COLUMN(NOTA[TANGGAL]))&amp;":"&amp;ADDRESS(ROW(),COLUMN(NOTA[TANGGAL]))),-1)))</f>
        <v>44935</v>
      </c>
      <c r="AH154" s="65" t="str">
        <f ca="1">IF(NOTA[[#This Row],[NAMA BARANG]]="","",INDEX(NOTA[SUPPLIER],MATCH(,INDIRECT(ADDRESS(ROW(NOTA[ID]),COLUMN(NOTA[ID]))&amp;":"&amp;ADDRESS(ROW(),COLUMN(NOTA[ID]))),-1)))</f>
        <v>SBS</v>
      </c>
      <c r="AI154" s="65" t="str">
        <f ca="1">IF(NOTA[[#This Row],[ID_H]]="","",IF(NOTA[[#This Row],[FAKTUR]]="",INDIRECT(ADDRESS(ROW()-1,COLUMN())),NOTA[[#This Row],[FAKTUR]]))</f>
        <v>UNTANA</v>
      </c>
      <c r="AJ154" s="38" t="str">
        <f ca="1">IF(NOTA[[#This Row],[ID]]="","",COUNTIF(NOTA[ID_H],NOTA[[#This Row],[ID_H]]))</f>
        <v/>
      </c>
      <c r="AK154" s="38">
        <f ca="1">IF(NOTA[[#This Row],[TGL.NOTA]]="",IF(NOTA[[#This Row],[SUPPLIER_H]]="","",AK153),MONTH(NOTA[[#This Row],[TGL.NOTA]]))</f>
        <v>1</v>
      </c>
      <c r="AL154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M154" s="38" t="str">
        <f>IF(NOTA[C]="",NOTA[[#This Row],[CONCAT1]]&amp;NOTA[[#This Row],[HARGA SATUAN]],NOTA[[#This Row],[CONCAT1]]&amp;NOTA[[#This Row],[HARGA/ CTN_H]]&amp;NOTA[[#This Row],[DISC 1]]&amp;NOTA[[#This Row],[DISC 2]])</f>
        <v>penggarissetps981020cmppkunicorn1888000</v>
      </c>
      <c r="AN154" s="184">
        <f>IF(NOTA[[#This Row],[CONCAT1]]="","",MATCH(NOTA[[#This Row],[CONCAT1]],[1]!db[NB NOTA_C],0)+1)</f>
        <v>2248</v>
      </c>
    </row>
    <row r="155" spans="1:40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Row],[CEK_EXP]]&lt;D154,"err","")</f>
        <v/>
      </c>
      <c r="D155" s="50">
        <f>IF(NOTA[[#This Row],[TANGGAL]]="",D154,NOTA[[#This Row],[TANGGAL]])</f>
        <v>44935</v>
      </c>
      <c r="E155" s="50">
        <f ca="1">IF(NOTA[[#This Row],[NAMA BARANG]]="","",INDEX(NOTA[ID],MATCH(,INDIRECT(ADDRESS(ROW(NOTA[ID]),COLUMN(NOTA[ID]))&amp;":"&amp;ADDRESS(ROW(),COLUMN(NOTA[ID]))),-1)))</f>
        <v>35</v>
      </c>
      <c r="F155" s="23"/>
      <c r="G155" s="26"/>
      <c r="H155" s="26"/>
      <c r="I155" s="31"/>
      <c r="J155" s="26"/>
      <c r="K155" s="51"/>
      <c r="L155" s="26"/>
      <c r="M155" s="26" t="s">
        <v>316</v>
      </c>
      <c r="N155" s="39">
        <v>2</v>
      </c>
      <c r="O155" s="26">
        <v>32</v>
      </c>
      <c r="P155" s="26" t="s">
        <v>131</v>
      </c>
      <c r="Q155" s="49">
        <v>118000</v>
      </c>
      <c r="R155" s="52"/>
      <c r="S155" s="39" t="s">
        <v>940</v>
      </c>
      <c r="T155" s="53"/>
      <c r="U155" s="53"/>
      <c r="V155" s="54"/>
      <c r="W155" s="37"/>
      <c r="X155" s="54">
        <f>IF(NOTA[[#This Row],[HARGA/ CTN]]="",NOTA[[#This Row],[JUMLAH_H]],NOTA[[#This Row],[HARGA/ CTN]]*IF(NOTA[[#This Row],[C]]="",0,NOTA[[#This Row],[C]]))</f>
        <v>3776000</v>
      </c>
      <c r="Y155" s="54">
        <f>IF(NOTA[[#This Row],[JUMLAH]]="","",NOTA[[#This Row],[JUMLAH]]*NOTA[[#This Row],[DISC 1]])</f>
        <v>0</v>
      </c>
      <c r="Z155" s="54">
        <f>IF(NOTA[[#This Row],[JUMLAH]]="","",(NOTA[[#This Row],[JUMLAH]]-NOTA[[#This Row],[DISC 1-]])*NOTA[[#This Row],[DISC 2]])</f>
        <v>0</v>
      </c>
      <c r="AA155" s="54">
        <f>IF(NOTA[[#This Row],[JUMLAH]]="","",NOTA[[#This Row],[DISC 1-]]+NOTA[[#This Row],[DISC 2-]])</f>
        <v>0</v>
      </c>
      <c r="AB155" s="54">
        <f>IF(NOTA[[#This Row],[JUMLAH]]="","",NOTA[[#This Row],[JUMLAH]]-NOTA[[#This Row],[DISC]])</f>
        <v>3776000</v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5" s="54">
        <f>IF(OR(NOTA[[#This Row],[QTY]]="",NOTA[[#This Row],[HARGA SATUAN]]="",),"",NOTA[[#This Row],[QTY]]*NOTA[[#This Row],[HARGA SATUAN]])</f>
        <v>3776000</v>
      </c>
      <c r="AG155" s="51">
        <f ca="1">IF(NOTA[ID_H]="","",INDEX(NOTA[TANGGAL],MATCH(,INDIRECT(ADDRESS(ROW(NOTA[TANGGAL]),COLUMN(NOTA[TANGGAL]))&amp;":"&amp;ADDRESS(ROW(),COLUMN(NOTA[TANGGAL]))),-1)))</f>
        <v>44935</v>
      </c>
      <c r="AH155" s="65" t="str">
        <f ca="1">IF(NOTA[[#This Row],[NAMA BARANG]]="","",INDEX(NOTA[SUPPLIER],MATCH(,INDIRECT(ADDRESS(ROW(NOTA[ID]),COLUMN(NOTA[ID]))&amp;":"&amp;ADDRESS(ROW(),COLUMN(NOTA[ID]))),-1)))</f>
        <v>SBS</v>
      </c>
      <c r="AI155" s="65" t="str">
        <f ca="1">IF(NOTA[[#This Row],[ID_H]]="","",IF(NOTA[[#This Row],[FAKTUR]]="",INDIRECT(ADDRESS(ROW()-1,COLUMN())),NOTA[[#This Row],[FAKTUR]]))</f>
        <v>UNTANA</v>
      </c>
      <c r="AJ155" s="38" t="str">
        <f ca="1">IF(NOTA[[#This Row],[ID]]="","",COUNTIF(NOTA[ID_H],NOTA[[#This Row],[ID_H]]))</f>
        <v/>
      </c>
      <c r="AK155" s="38">
        <f ca="1">IF(NOTA[[#This Row],[TGL.NOTA]]="",IF(NOTA[[#This Row],[SUPPLIER_H]]="","",AK154),MONTH(NOTA[[#This Row],[TGL.NOTA]]))</f>
        <v>1</v>
      </c>
      <c r="AL155" s="38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M155" s="38" t="str">
        <f>IF(NOTA[C]="",NOTA[[#This Row],[CONCAT1]]&amp;NOTA[[#This Row],[HARGA SATUAN]],NOTA[[#This Row],[CONCAT1]]&amp;NOTA[[#This Row],[HARGA/ CTN_H]]&amp;NOTA[[#This Row],[DISC 1]]&amp;NOTA[[#This Row],[DISC 2]])</f>
        <v>penggarissetps981120cmppkbt211888000</v>
      </c>
      <c r="AN155" s="184">
        <f>IF(NOTA[[#This Row],[CONCAT1]]="","",MATCH(NOTA[[#This Row],[CONCAT1]],[1]!db[NB NOTA_C],0)+1)</f>
        <v>2249</v>
      </c>
    </row>
    <row r="156" spans="1:40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Row],[CEK_EXP]]&lt;D155,"err","")</f>
        <v/>
      </c>
      <c r="D156" s="50">
        <f>IF(NOTA[[#This Row],[TANGGAL]]="",D155,NOTA[[#This Row],[TANGGAL]])</f>
        <v>44935</v>
      </c>
      <c r="E156" s="50">
        <f ca="1">IF(NOTA[[#This Row],[NAMA BARANG]]="","",INDEX(NOTA[ID],MATCH(,INDIRECT(ADDRESS(ROW(NOTA[ID]),COLUMN(NOTA[ID]))&amp;":"&amp;ADDRESS(ROW(),COLUMN(NOTA[ID]))),-1)))</f>
        <v>35</v>
      </c>
      <c r="F156" s="23"/>
      <c r="G156" s="26"/>
      <c r="H156" s="26"/>
      <c r="I156" s="31"/>
      <c r="J156" s="26"/>
      <c r="K156" s="51"/>
      <c r="L156" s="26"/>
      <c r="M156" s="26" t="s">
        <v>317</v>
      </c>
      <c r="N156" s="39">
        <v>2</v>
      </c>
      <c r="O156" s="26">
        <v>32</v>
      </c>
      <c r="P156" s="26" t="s">
        <v>131</v>
      </c>
      <c r="Q156" s="49">
        <v>118000</v>
      </c>
      <c r="R156" s="52"/>
      <c r="S156" s="39" t="s">
        <v>940</v>
      </c>
      <c r="T156" s="53"/>
      <c r="U156" s="53"/>
      <c r="V156" s="54"/>
      <c r="W156" s="37"/>
      <c r="X156" s="54">
        <f>IF(NOTA[[#This Row],[HARGA/ CTN]]="",NOTA[[#This Row],[JUMLAH_H]],NOTA[[#This Row],[HARGA/ CTN]]*IF(NOTA[[#This Row],[C]]="",0,NOTA[[#This Row],[C]]))</f>
        <v>3776000</v>
      </c>
      <c r="Y156" s="54">
        <f>IF(NOTA[[#This Row],[JUMLAH]]="","",NOTA[[#This Row],[JUMLAH]]*NOTA[[#This Row],[DISC 1]])</f>
        <v>0</v>
      </c>
      <c r="Z156" s="54">
        <f>IF(NOTA[[#This Row],[JUMLAH]]="","",(NOTA[[#This Row],[JUMLAH]]-NOTA[[#This Row],[DISC 1-]])*NOTA[[#This Row],[DISC 2]])</f>
        <v>0</v>
      </c>
      <c r="AA156" s="54">
        <f>IF(NOTA[[#This Row],[JUMLAH]]="","",NOTA[[#This Row],[DISC 1-]]+NOTA[[#This Row],[DISC 2-]])</f>
        <v>0</v>
      </c>
      <c r="AB156" s="54">
        <f>IF(NOTA[[#This Row],[JUMLAH]]="","",NOTA[[#This Row],[JUMLAH]]-NOTA[[#This Row],[DISC]])</f>
        <v>3776000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30208000</v>
      </c>
      <c r="AE156" s="49">
        <f>IF(NOTA[[#This Row],[NAMA BARANG]]="","",IF(NOTA[[#This Row],[JUMLAH_H]]="",NOTA[[#This Row],[HARGA/ CTN]],NOTA[[#This Row],[QTY]]*NOTA[[#This Row],[HARGA SATUAN]]/IF(ISNUMBER(NOTA[[#This Row],[C]]),NOTA[[#This Row],[C]],1)))</f>
        <v>1888000</v>
      </c>
      <c r="AF156" s="54">
        <f>IF(OR(NOTA[[#This Row],[QTY]]="",NOTA[[#This Row],[HARGA SATUAN]]="",),"",NOTA[[#This Row],[QTY]]*NOTA[[#This Row],[HARGA SATUAN]])</f>
        <v>3776000</v>
      </c>
      <c r="AG156" s="51">
        <f ca="1">IF(NOTA[ID_H]="","",INDEX(NOTA[TANGGAL],MATCH(,INDIRECT(ADDRESS(ROW(NOTA[TANGGAL]),COLUMN(NOTA[TANGGAL]))&amp;":"&amp;ADDRESS(ROW(),COLUMN(NOTA[TANGGAL]))),-1)))</f>
        <v>44935</v>
      </c>
      <c r="AH156" s="65" t="str">
        <f ca="1">IF(NOTA[[#This Row],[NAMA BARANG]]="","",INDEX(NOTA[SUPPLIER],MATCH(,INDIRECT(ADDRESS(ROW(NOTA[ID]),COLUMN(NOTA[ID]))&amp;":"&amp;ADDRESS(ROW(),COLUMN(NOTA[ID]))),-1)))</f>
        <v>SBS</v>
      </c>
      <c r="AI156" s="65" t="str">
        <f ca="1">IF(NOTA[[#This Row],[ID_H]]="","",IF(NOTA[[#This Row],[FAKTUR]]="",INDIRECT(ADDRESS(ROW()-1,COLUMN())),NOTA[[#This Row],[FAKTUR]]))</f>
        <v>UNTANA</v>
      </c>
      <c r="AJ156" s="38" t="str">
        <f ca="1">IF(NOTA[[#This Row],[ID]]="","",COUNTIF(NOTA[ID_H],NOTA[[#This Row],[ID_H]]))</f>
        <v/>
      </c>
      <c r="AK156" s="38">
        <f ca="1">IF(NOTA[[#This Row],[TGL.NOTA]]="",IF(NOTA[[#This Row],[SUPPLIER_H]]="","",AK155),MONTH(NOTA[[#This Row],[TGL.NOTA]]))</f>
        <v>1</v>
      </c>
      <c r="AL156" s="38" t="str">
        <f>LOWER(SUBSTITUTE(SUBSTITUTE(SUBSTITUTE(SUBSTITUTE(SUBSTITUTE(SUBSTITUTE(SUBSTITUTE(SUBSTITUTE(SUBSTITUTE(NOTA[NAMA BARANG]," ",),".",""),"-",""),"(",""),")",""),",",""),"/",""),"""",""),"+",""))</f>
        <v>penggarissetps981220cmppkd</v>
      </c>
      <c r="AM156" s="38" t="str">
        <f>IF(NOTA[C]="",NOTA[[#This Row],[CONCAT1]]&amp;NOTA[[#This Row],[HARGA SATUAN]],NOTA[[#This Row],[CONCAT1]]&amp;NOTA[[#This Row],[HARGA/ CTN_H]]&amp;NOTA[[#This Row],[DISC 1]]&amp;NOTA[[#This Row],[DISC 2]])</f>
        <v>penggarissetps981220cmppkd1888000</v>
      </c>
      <c r="AN156" s="184">
        <f>IF(NOTA[[#This Row],[CONCAT1]]="","",MATCH(NOTA[[#This Row],[CONCAT1]],[1]!db[NB NOTA_C],0)+1)</f>
        <v>2250</v>
      </c>
    </row>
    <row r="157" spans="1:40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Row],[CEK_EXP]]&lt;D156,"err","")</f>
        <v/>
      </c>
      <c r="D157" s="50">
        <f>IF(NOTA[[#This Row],[TANGGAL]]="",D156,NOTA[[#This Row],[TANGGAL]])</f>
        <v>44935</v>
      </c>
      <c r="E157" s="50" t="str">
        <f ca="1">IF(NOTA[[#This Row],[NAMA BARANG]]="","",INDEX(NOTA[ID],MATCH(,INDIRECT(ADDRESS(ROW(NOTA[ID]),COLUMN(NOTA[ID]))&amp;":"&amp;ADDRESS(ROW(),COLUMN(NOTA[ID]))),-1)))</f>
        <v/>
      </c>
      <c r="F157" s="23"/>
      <c r="G157" s="26"/>
      <c r="H157" s="26"/>
      <c r="I157" s="31"/>
      <c r="J157" s="26"/>
      <c r="K157" s="51"/>
      <c r="L157" s="26"/>
      <c r="M157" s="26"/>
      <c r="N157" s="39"/>
      <c r="O157" s="26"/>
      <c r="P157" s="26"/>
      <c r="Q157" s="49"/>
      <c r="R157" s="52"/>
      <c r="S157" s="39"/>
      <c r="T157" s="53"/>
      <c r="U157" s="53"/>
      <c r="V157" s="54"/>
      <c r="W157" s="37"/>
      <c r="X157" s="54" t="str">
        <f>IF(NOTA[[#This Row],[HARGA/ CTN]]="",NOTA[[#This Row],[JUMLAH_H]],NOTA[[#This Row],[HARGA/ CTN]]*IF(NOTA[[#This Row],[C]]="",0,NOTA[[#This Row],[C]]))</f>
        <v/>
      </c>
      <c r="Y157" s="54" t="str">
        <f>IF(NOTA[[#This Row],[JUMLAH]]="","",NOTA[[#This Row],[JUMLAH]]*NOTA[[#This Row],[DISC 1]])</f>
        <v/>
      </c>
      <c r="Z157" s="54" t="str">
        <f>IF(NOTA[[#This Row],[JUMLAH]]="","",(NOTA[[#This Row],[JUMLAH]]-NOTA[[#This Row],[DISC 1-]])*NOTA[[#This Row],[DISC 2]])</f>
        <v/>
      </c>
      <c r="AA157" s="54" t="str">
        <f>IF(NOTA[[#This Row],[JUMLAH]]="","",NOTA[[#This Row],[DISC 1-]]+NOTA[[#This Row],[DISC 2-]])</f>
        <v/>
      </c>
      <c r="AB157" s="54" t="str">
        <f>IF(NOTA[[#This Row],[JUMLAH]]="","",NOTA[[#This Row],[JUMLAH]]-NOTA[[#This Row],[DISC]])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54" t="str">
        <f>IF(OR(NOTA[[#This Row],[QTY]]="",NOTA[[#This Row],[HARGA SATUAN]]="",),"",NOTA[[#This Row],[QTY]]*NOTA[[#This Row],[HARGA SATUAN]])</f>
        <v/>
      </c>
      <c r="AG157" s="51" t="str">
        <f ca="1">IF(NOTA[ID_H]="","",INDEX(NOTA[TANGGAL],MATCH(,INDIRECT(ADDRESS(ROW(NOTA[TANGGAL]),COLUMN(NOTA[TANGGAL]))&amp;":"&amp;ADDRESS(ROW(),COLUMN(NOTA[TANGGAL]))),-1)))</f>
        <v/>
      </c>
      <c r="AH157" s="65" t="str">
        <f ca="1">IF(NOTA[[#This Row],[NAMA BARANG]]="","",INDEX(NOTA[SUPPLIER],MATCH(,INDIRECT(ADDRESS(ROW(NOTA[ID]),COLUMN(NOTA[ID]))&amp;":"&amp;ADDRESS(ROW(),COLUMN(NOTA[ID]))),-1)))</f>
        <v/>
      </c>
      <c r="AI157" s="65" t="str">
        <f ca="1">IF(NOTA[[#This Row],[ID_H]]="","",IF(NOTA[[#This Row],[FAKTUR]]="",INDIRECT(ADDRESS(ROW()-1,COLUMN())),NOTA[[#This Row],[FAKTUR]]))</f>
        <v/>
      </c>
      <c r="AJ157" s="38" t="str">
        <f ca="1">IF(NOTA[[#This Row],[ID]]="","",COUNTIF(NOTA[ID_H],NOTA[[#This Row],[ID_H]]))</f>
        <v/>
      </c>
      <c r="AK157" s="38" t="str">
        <f ca="1">IF(NOTA[[#This Row],[TGL.NOTA]]="",IF(NOTA[[#This Row],[SUPPLIER_H]]="","",AK156),MONTH(NOTA[[#This Row],[TGL.NOTA]]))</f>
        <v/>
      </c>
      <c r="AL157" s="38" t="str">
        <f>LOWER(SUBSTITUTE(SUBSTITUTE(SUBSTITUTE(SUBSTITUTE(SUBSTITUTE(SUBSTITUTE(SUBSTITUTE(SUBSTITUTE(SUBSTITUTE(NOTA[NAMA BARANG]," ",),".",""),"-",""),"(",""),")",""),",",""),"/",""),"""",""),"+",""))</f>
        <v/>
      </c>
      <c r="AM157" s="38" t="str">
        <f>IF(NOTA[C]="",NOTA[[#This Row],[CONCAT1]]&amp;NOTA[[#This Row],[HARGA SATUAN]],NOTA[[#This Row],[CONCAT1]]&amp;NOTA[[#This Row],[HARGA/ CTN_H]]&amp;NOTA[[#This Row],[DISC 1]]&amp;NOTA[[#This Row],[DISC 2]])</f>
        <v/>
      </c>
      <c r="AN157" s="184" t="str">
        <f>IF(NOTA[[#This Row],[CONCAT1]]="","",MATCH(NOTA[[#This Row],[CONCAT1]],[1]!db[NB NOTA_C],0)+1)</f>
        <v/>
      </c>
    </row>
    <row r="158" spans="1:40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KEN_0901_463-6</v>
      </c>
      <c r="C158" s="50" t="str">
        <f>IF(NOTA[[#This Row],[CEK_EXP]]&lt;D157,"err","")</f>
        <v/>
      </c>
      <c r="D158" s="50">
        <f>IF(NOTA[[#This Row],[TANGGAL]]="",D157,NOTA[[#This Row],[TANGGAL]])</f>
        <v>44935</v>
      </c>
      <c r="E158" s="50">
        <f ca="1">IF(NOTA[[#This Row],[NAMA BARANG]]="","",INDEX(NOTA[ID],MATCH(,INDIRECT(ADDRESS(ROW(NOTA[ID]),COLUMN(NOTA[ID]))&amp;":"&amp;ADDRESS(ROW(),COLUMN(NOTA[ID]))),-1)))</f>
        <v>36</v>
      </c>
      <c r="F158" s="23"/>
      <c r="G158" s="26" t="s">
        <v>23</v>
      </c>
      <c r="H158" s="26" t="s">
        <v>24</v>
      </c>
      <c r="I158" s="31" t="s">
        <v>334</v>
      </c>
      <c r="J158" s="26" t="s">
        <v>377</v>
      </c>
      <c r="K158" s="51">
        <v>44933</v>
      </c>
      <c r="L158" s="26"/>
      <c r="M158" s="26" t="s">
        <v>335</v>
      </c>
      <c r="N158" s="39">
        <v>5</v>
      </c>
      <c r="O158" s="26"/>
      <c r="P158" s="26"/>
      <c r="Q158" s="49"/>
      <c r="R158" s="52">
        <v>3888000</v>
      </c>
      <c r="S158" s="39" t="s">
        <v>376</v>
      </c>
      <c r="T158" s="53">
        <v>0.17</v>
      </c>
      <c r="U158" s="53"/>
      <c r="V158" s="54"/>
      <c r="W158" s="37"/>
      <c r="X158" s="54">
        <f>IF(NOTA[[#This Row],[HARGA/ CTN]]="",NOTA[[#This Row],[JUMLAH_H]],NOTA[[#This Row],[HARGA/ CTN]]*IF(NOTA[[#This Row],[C]]="",0,NOTA[[#This Row],[C]]))</f>
        <v>19440000</v>
      </c>
      <c r="Y158" s="54">
        <f>IF(NOTA[[#This Row],[JUMLAH]]="","",NOTA[[#This Row],[JUMLAH]]*NOTA[[#This Row],[DISC 1]])</f>
        <v>3304800.0000000005</v>
      </c>
      <c r="Z158" s="54">
        <f>IF(NOTA[[#This Row],[JUMLAH]]="","",(NOTA[[#This Row],[JUMLAH]]-NOTA[[#This Row],[DISC 1-]])*NOTA[[#This Row],[DISC 2]])</f>
        <v>0</v>
      </c>
      <c r="AA158" s="54">
        <f>IF(NOTA[[#This Row],[JUMLAH]]="","",NOTA[[#This Row],[DISC 1-]]+NOTA[[#This Row],[DISC 2-]])</f>
        <v>3304800.0000000005</v>
      </c>
      <c r="AB158" s="54">
        <f>IF(NOTA[[#This Row],[JUMLAH]]="","",NOTA[[#This Row],[JUMLAH]]-NOTA[[#This Row],[DISC]])</f>
        <v>16135200</v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58" s="54" t="str">
        <f>IF(OR(NOTA[[#This Row],[QTY]]="",NOTA[[#This Row],[HARGA SATUAN]]="",),"",NOTA[[#This Row],[QTY]]*NOTA[[#This Row],[HARGA SATUAN]])</f>
        <v/>
      </c>
      <c r="AG158" s="51">
        <f ca="1">IF(NOTA[ID_H]="","",INDEX(NOTA[TANGGAL],MATCH(,INDIRECT(ADDRESS(ROW(NOTA[TANGGAL]),COLUMN(NOTA[TANGGAL]))&amp;":"&amp;ADDRESS(ROW(),COLUMN(NOTA[TANGGAL]))),-1)))</f>
        <v>44935</v>
      </c>
      <c r="AH158" s="65" t="str">
        <f ca="1">IF(NOTA[[#This Row],[NAMA BARANG]]="","",INDEX(NOTA[SUPPLIER],MATCH(,INDIRECT(ADDRESS(ROW(NOTA[ID]),COLUMN(NOTA[ID]))&amp;":"&amp;ADDRESS(ROW(),COLUMN(NOTA[ID]))),-1)))</f>
        <v>KENKO SINAR INDONESIA</v>
      </c>
      <c r="AI158" s="65" t="str">
        <f ca="1">IF(NOTA[[#This Row],[ID_H]]="","",IF(NOTA[[#This Row],[FAKTUR]]="",INDIRECT(ADDRESS(ROW()-1,COLUMN())),NOTA[[#This Row],[FAKTUR]]))</f>
        <v>ARTO MORO</v>
      </c>
      <c r="AJ158" s="38">
        <f ca="1">IF(NOTA[[#This Row],[ID]]="","",COUNTIF(NOTA[ID_H],NOTA[[#This Row],[ID_H]]))</f>
        <v>6</v>
      </c>
      <c r="AK158" s="38">
        <f>IF(NOTA[[#This Row],[TGL.NOTA]]="",IF(NOTA[[#This Row],[SUPPLIER_H]]="","",AK249),MONTH(NOTA[[#This Row],[TGL.NOTA]]))</f>
        <v>1</v>
      </c>
      <c r="AL15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158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N158" s="184">
        <f>IF(NOTA[[#This Row],[CONCAT1]]="","",MATCH(NOTA[[#This Row],[CONCAT1]],[1]!db[NB NOTA_C],0)+1)</f>
        <v>1133</v>
      </c>
    </row>
    <row r="159" spans="1:40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Row],[CEK_EXP]]&lt;D158,"err","")</f>
        <v/>
      </c>
      <c r="D159" s="50">
        <f>IF(NOTA[[#This Row],[TANGGAL]]="",D158,NOTA[[#This Row],[TANGGAL]])</f>
        <v>44935</v>
      </c>
      <c r="E159" s="50">
        <f ca="1">IF(NOTA[[#This Row],[NAMA BARANG]]="","",INDEX(NOTA[ID],MATCH(,INDIRECT(ADDRESS(ROW(NOTA[ID]),COLUMN(NOTA[ID]))&amp;":"&amp;ADDRESS(ROW(),COLUMN(NOTA[ID]))),-1)))</f>
        <v>36</v>
      </c>
      <c r="F159" s="23"/>
      <c r="G159" s="26"/>
      <c r="H159" s="26"/>
      <c r="I159" s="31"/>
      <c r="J159" s="26"/>
      <c r="K159" s="51"/>
      <c r="L159" s="26"/>
      <c r="M159" s="26" t="s">
        <v>336</v>
      </c>
      <c r="N159" s="39">
        <v>5</v>
      </c>
      <c r="O159" s="26"/>
      <c r="P159" s="26"/>
      <c r="Q159" s="49"/>
      <c r="R159" s="52">
        <v>5616000</v>
      </c>
      <c r="S159" s="39" t="s">
        <v>117</v>
      </c>
      <c r="T159" s="53">
        <v>0.17</v>
      </c>
      <c r="U159" s="53"/>
      <c r="V159" s="54"/>
      <c r="W159" s="37"/>
      <c r="X159" s="54">
        <f>IF(NOTA[[#This Row],[HARGA/ CTN]]="",NOTA[[#This Row],[JUMLAH_H]],NOTA[[#This Row],[HARGA/ CTN]]*IF(NOTA[[#This Row],[C]]="",0,NOTA[[#This Row],[C]]))</f>
        <v>28080000</v>
      </c>
      <c r="Y159" s="54">
        <f>IF(NOTA[[#This Row],[JUMLAH]]="","",NOTA[[#This Row],[JUMLAH]]*NOTA[[#This Row],[DISC 1]])</f>
        <v>4773600</v>
      </c>
      <c r="Z159" s="54">
        <f>IF(NOTA[[#This Row],[JUMLAH]]="","",(NOTA[[#This Row],[JUMLAH]]-NOTA[[#This Row],[DISC 1-]])*NOTA[[#This Row],[DISC 2]])</f>
        <v>0</v>
      </c>
      <c r="AA159" s="54">
        <f>IF(NOTA[[#This Row],[JUMLAH]]="","",NOTA[[#This Row],[DISC 1-]]+NOTA[[#This Row],[DISC 2-]])</f>
        <v>4773600</v>
      </c>
      <c r="AB159" s="54">
        <f>IF(NOTA[[#This Row],[JUMLAH]]="","",NOTA[[#This Row],[JUMLAH]]-NOTA[[#This Row],[DISC]])</f>
        <v>23306400</v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9" s="54" t="str">
        <f>IF(OR(NOTA[[#This Row],[QTY]]="",NOTA[[#This Row],[HARGA SATUAN]]="",),"",NOTA[[#This Row],[QTY]]*NOTA[[#This Row],[HARGA SATUAN]])</f>
        <v/>
      </c>
      <c r="AG159" s="51">
        <f ca="1">IF(NOTA[ID_H]="","",INDEX(NOTA[TANGGAL],MATCH(,INDIRECT(ADDRESS(ROW(NOTA[TANGGAL]),COLUMN(NOTA[TANGGAL]))&amp;":"&amp;ADDRESS(ROW(),COLUMN(NOTA[TANGGAL]))),-1)))</f>
        <v>44935</v>
      </c>
      <c r="AH159" s="65" t="str">
        <f ca="1">IF(NOTA[[#This Row],[NAMA BARANG]]="","",INDEX(NOTA[SUPPLIER],MATCH(,INDIRECT(ADDRESS(ROW(NOTA[ID]),COLUMN(NOTA[ID]))&amp;":"&amp;ADDRESS(ROW(),COLUMN(NOTA[ID]))),-1)))</f>
        <v>KENKO SINAR INDONESIA</v>
      </c>
      <c r="AI159" s="65" t="str">
        <f ca="1">IF(NOTA[[#This Row],[ID_H]]="","",IF(NOTA[[#This Row],[FAKTUR]]="",INDIRECT(ADDRESS(ROW()-1,COLUMN())),NOTA[[#This Row],[FAKTUR]]))</f>
        <v>ARTO MORO</v>
      </c>
      <c r="AJ159" s="38" t="str">
        <f ca="1">IF(NOTA[[#This Row],[ID]]="","",COUNTIF(NOTA[ID_H],NOTA[[#This Row],[ID_H]]))</f>
        <v/>
      </c>
      <c r="AK159" s="38">
        <f ca="1">IF(NOTA[[#This Row],[TGL.NOTA]]="",IF(NOTA[[#This Row],[SUPPLIER_H]]="","",AK158),MONTH(NOTA[[#This Row],[TGL.NOTA]]))</f>
        <v>1</v>
      </c>
      <c r="AL159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59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N159" s="184">
        <f>IF(NOTA[[#This Row],[CONCAT1]]="","",MATCH(NOTA[[#This Row],[CONCAT1]],[1]!db[NB NOTA_C],0)+1)</f>
        <v>1153</v>
      </c>
    </row>
    <row r="160" spans="1:40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Row],[CEK_EXP]]&lt;D159,"err","")</f>
        <v/>
      </c>
      <c r="D160" s="50">
        <f>IF(NOTA[[#This Row],[TANGGAL]]="",D159,NOTA[[#This Row],[TANGGAL]])</f>
        <v>44935</v>
      </c>
      <c r="E160" s="50">
        <f ca="1">IF(NOTA[[#This Row],[NAMA BARANG]]="","",INDEX(NOTA[ID],MATCH(,INDIRECT(ADDRESS(ROW(NOTA[ID]),COLUMN(NOTA[ID]))&amp;":"&amp;ADDRESS(ROW(),COLUMN(NOTA[ID]))),-1)))</f>
        <v>36</v>
      </c>
      <c r="F160" s="23"/>
      <c r="G160" s="26"/>
      <c r="H160" s="26"/>
      <c r="I160" s="31"/>
      <c r="J160" s="26"/>
      <c r="K160" s="51"/>
      <c r="L160" s="26"/>
      <c r="M160" s="26" t="s">
        <v>161</v>
      </c>
      <c r="N160" s="39">
        <v>1</v>
      </c>
      <c r="O160" s="26"/>
      <c r="P160" s="26"/>
      <c r="Q160" s="49"/>
      <c r="R160" s="52">
        <v>1416000</v>
      </c>
      <c r="S160" s="39" t="s">
        <v>130</v>
      </c>
      <c r="T160" s="53">
        <v>0.17</v>
      </c>
      <c r="U160" s="53"/>
      <c r="V160" s="54"/>
      <c r="W160" s="37"/>
      <c r="X160" s="54">
        <f>IF(NOTA[[#This Row],[HARGA/ CTN]]="",NOTA[[#This Row],[JUMLAH_H]],NOTA[[#This Row],[HARGA/ CTN]]*IF(NOTA[[#This Row],[C]]="",0,NOTA[[#This Row],[C]]))</f>
        <v>1416000</v>
      </c>
      <c r="Y160" s="54">
        <f>IF(NOTA[[#This Row],[JUMLAH]]="","",NOTA[[#This Row],[JUMLAH]]*NOTA[[#This Row],[DISC 1]])</f>
        <v>240720.00000000003</v>
      </c>
      <c r="Z160" s="54">
        <f>IF(NOTA[[#This Row],[JUMLAH]]="","",(NOTA[[#This Row],[JUMLAH]]-NOTA[[#This Row],[DISC 1-]])*NOTA[[#This Row],[DISC 2]])</f>
        <v>0</v>
      </c>
      <c r="AA160" s="54">
        <f>IF(NOTA[[#This Row],[JUMLAH]]="","",NOTA[[#This Row],[DISC 1-]]+NOTA[[#This Row],[DISC 2-]])</f>
        <v>240720.00000000003</v>
      </c>
      <c r="AB160" s="54">
        <f>IF(NOTA[[#This Row],[JUMLAH]]="","",NOTA[[#This Row],[JUMLAH]]-NOTA[[#This Row],[DISC]])</f>
        <v>1175280</v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9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160" s="54" t="str">
        <f>IF(OR(NOTA[[#This Row],[QTY]]="",NOTA[[#This Row],[HARGA SATUAN]]="",),"",NOTA[[#This Row],[QTY]]*NOTA[[#This Row],[HARGA SATUAN]])</f>
        <v/>
      </c>
      <c r="AG160" s="51">
        <f ca="1">IF(NOTA[ID_H]="","",INDEX(NOTA[TANGGAL],MATCH(,INDIRECT(ADDRESS(ROW(NOTA[TANGGAL]),COLUMN(NOTA[TANGGAL]))&amp;":"&amp;ADDRESS(ROW(),COLUMN(NOTA[TANGGAL]))),-1)))</f>
        <v>44935</v>
      </c>
      <c r="AH160" s="65" t="str">
        <f ca="1">IF(NOTA[[#This Row],[NAMA BARANG]]="","",INDEX(NOTA[SUPPLIER],MATCH(,INDIRECT(ADDRESS(ROW(NOTA[ID]),COLUMN(NOTA[ID]))&amp;":"&amp;ADDRESS(ROW(),COLUMN(NOTA[ID]))),-1)))</f>
        <v>KENKO SINAR INDONESIA</v>
      </c>
      <c r="AI160" s="65" t="str">
        <f ca="1">IF(NOTA[[#This Row],[ID_H]]="","",IF(NOTA[[#This Row],[FAKTUR]]="",INDIRECT(ADDRESS(ROW()-1,COLUMN())),NOTA[[#This Row],[FAKTUR]]))</f>
        <v>ARTO MORO</v>
      </c>
      <c r="AJ160" s="38" t="str">
        <f ca="1">IF(NOTA[[#This Row],[ID]]="","",COUNTIF(NOTA[ID_H],NOTA[[#This Row],[ID_H]]))</f>
        <v/>
      </c>
      <c r="AK160" s="38">
        <f ca="1">IF(NOTA[[#This Row],[TGL.NOTA]]="",IF(NOTA[[#This Row],[SUPPLIER_H]]="","",AK159),MONTH(NOTA[[#This Row],[TGL.NOTA]]))</f>
        <v>1</v>
      </c>
      <c r="AL160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M160" s="38" t="str">
        <f>IF(NOTA[C]="",NOTA[[#This Row],[CONCAT1]]&amp;NOTA[[#This Row],[HARGA SATUAN]],NOTA[[#This Row],[CONCAT1]]&amp;NOTA[[#This Row],[HARGA/ CTN_H]]&amp;NOTA[[#This Row],[DISC 1]]&amp;NOTA[[#This Row],[DISC 2]])</f>
        <v>kenkopunchno85xl14160000.17</v>
      </c>
      <c r="AN160" s="184">
        <f>IF(NOTA[[#This Row],[CONCAT1]]="","",MATCH(NOTA[[#This Row],[CONCAT1]],[1]!db[NB NOTA_C],0)+1)</f>
        <v>1264</v>
      </c>
    </row>
    <row r="161" spans="1:40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Row],[CEK_EXP]]&lt;D160,"err","")</f>
        <v/>
      </c>
      <c r="D161" s="50">
        <f>IF(NOTA[[#This Row],[TANGGAL]]="",D160,NOTA[[#This Row],[TANGGAL]])</f>
        <v>44935</v>
      </c>
      <c r="E161" s="50">
        <f ca="1">IF(NOTA[[#This Row],[NAMA BARANG]]="","",INDEX(NOTA[ID],MATCH(,INDIRECT(ADDRESS(ROW(NOTA[ID]),COLUMN(NOTA[ID]))&amp;":"&amp;ADDRESS(ROW(),COLUMN(NOTA[ID]))),-1)))</f>
        <v>36</v>
      </c>
      <c r="F161" s="23"/>
      <c r="G161" s="26"/>
      <c r="H161" s="26"/>
      <c r="I161" s="31"/>
      <c r="J161" s="26"/>
      <c r="K161" s="51"/>
      <c r="L161" s="26"/>
      <c r="M161" s="26" t="s">
        <v>337</v>
      </c>
      <c r="N161" s="39">
        <v>2</v>
      </c>
      <c r="O161" s="26"/>
      <c r="P161" s="26"/>
      <c r="Q161" s="49"/>
      <c r="R161" s="52">
        <v>800000</v>
      </c>
      <c r="S161" s="39" t="s">
        <v>362</v>
      </c>
      <c r="T161" s="53">
        <v>0.17</v>
      </c>
      <c r="U161" s="53"/>
      <c r="V161" s="54"/>
      <c r="W161" s="37"/>
      <c r="X161" s="54">
        <f>IF(NOTA[[#This Row],[HARGA/ CTN]]="",NOTA[[#This Row],[JUMLAH_H]],NOTA[[#This Row],[HARGA/ CTN]]*IF(NOTA[[#This Row],[C]]="",0,NOTA[[#This Row],[C]]))</f>
        <v>1600000</v>
      </c>
      <c r="Y161" s="54">
        <f>IF(NOTA[[#This Row],[JUMLAH]]="","",NOTA[[#This Row],[JUMLAH]]*NOTA[[#This Row],[DISC 1]])</f>
        <v>272000</v>
      </c>
      <c r="Z161" s="54">
        <f>IF(NOTA[[#This Row],[JUMLAH]]="","",(NOTA[[#This Row],[JUMLAH]]-NOTA[[#This Row],[DISC 1-]])*NOTA[[#This Row],[DISC 2]])</f>
        <v>0</v>
      </c>
      <c r="AA161" s="54">
        <f>IF(NOTA[[#This Row],[JUMLAH]]="","",NOTA[[#This Row],[DISC 1-]]+NOTA[[#This Row],[DISC 2-]])</f>
        <v>272000</v>
      </c>
      <c r="AB161" s="54">
        <f>IF(NOTA[[#This Row],[JUMLAH]]="","",NOTA[[#This Row],[JUMLAH]]-NOTA[[#This Row],[DISC]])</f>
        <v>1328000</v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161" s="54" t="str">
        <f>IF(OR(NOTA[[#This Row],[QTY]]="",NOTA[[#This Row],[HARGA SATUAN]]="",),"",NOTA[[#This Row],[QTY]]*NOTA[[#This Row],[HARGA SATUAN]])</f>
        <v/>
      </c>
      <c r="AG161" s="51">
        <f ca="1">IF(NOTA[ID_H]="","",INDEX(NOTA[TANGGAL],MATCH(,INDIRECT(ADDRESS(ROW(NOTA[TANGGAL]),COLUMN(NOTA[TANGGAL]))&amp;":"&amp;ADDRESS(ROW(),COLUMN(NOTA[TANGGAL]))),-1)))</f>
        <v>44935</v>
      </c>
      <c r="AH161" s="65" t="str">
        <f ca="1">IF(NOTA[[#This Row],[NAMA BARANG]]="","",INDEX(NOTA[SUPPLIER],MATCH(,INDIRECT(ADDRESS(ROW(NOTA[ID]),COLUMN(NOTA[ID]))&amp;":"&amp;ADDRESS(ROW(),COLUMN(NOTA[ID]))),-1)))</f>
        <v>KENKO SINAR INDONESIA</v>
      </c>
      <c r="AI161" s="65" t="str">
        <f ca="1">IF(NOTA[[#This Row],[ID_H]]="","",IF(NOTA[[#This Row],[FAKTUR]]="",INDIRECT(ADDRESS(ROW()-1,COLUMN())),NOTA[[#This Row],[FAKTUR]]))</f>
        <v>ARTO MORO</v>
      </c>
      <c r="AJ161" s="38" t="str">
        <f ca="1">IF(NOTA[[#This Row],[ID]]="","",COUNTIF(NOTA[ID_H],NOTA[[#This Row],[ID_H]]))</f>
        <v/>
      </c>
      <c r="AK161" s="38">
        <f ca="1">IF(NOTA[[#This Row],[TGL.NOTA]]="",IF(NOTA[[#This Row],[SUPPLIER_H]]="","",AK160),MONTH(NOTA[[#This Row],[TGL.NOTA]]))</f>
        <v>1</v>
      </c>
      <c r="AL16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161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N161" s="184">
        <f>IF(NOTA[[#This Row],[CONCAT1]]="","",MATCH(NOTA[[#This Row],[CONCAT1]],[1]!db[NB NOTA_C],0)+1)</f>
        <v>1312</v>
      </c>
    </row>
    <row r="162" spans="1:40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Row],[CEK_EXP]]&lt;D161,"err","")</f>
        <v/>
      </c>
      <c r="D162" s="50">
        <f>IF(NOTA[[#This Row],[TANGGAL]]="",D161,NOTA[[#This Row],[TANGGAL]])</f>
        <v>44935</v>
      </c>
      <c r="E162" s="50">
        <f ca="1">IF(NOTA[[#This Row],[NAMA BARANG]]="","",INDEX(NOTA[ID],MATCH(,INDIRECT(ADDRESS(ROW(NOTA[ID]),COLUMN(NOTA[ID]))&amp;":"&amp;ADDRESS(ROW(),COLUMN(NOTA[ID]))),-1)))</f>
        <v>36</v>
      </c>
      <c r="F162" s="23"/>
      <c r="G162" s="26"/>
      <c r="H162" s="26"/>
      <c r="I162" s="31"/>
      <c r="J162" s="26"/>
      <c r="K162" s="51"/>
      <c r="L162" s="26"/>
      <c r="M162" s="26" t="s">
        <v>414</v>
      </c>
      <c r="N162" s="39">
        <v>2</v>
      </c>
      <c r="O162" s="26"/>
      <c r="P162" s="26"/>
      <c r="Q162" s="49"/>
      <c r="R162" s="52">
        <v>860000</v>
      </c>
      <c r="S162" s="39" t="s">
        <v>363</v>
      </c>
      <c r="T162" s="53">
        <v>0.17</v>
      </c>
      <c r="U162" s="53"/>
      <c r="V162" s="54"/>
      <c r="W162" s="37"/>
      <c r="X162" s="54">
        <f>IF(NOTA[[#This Row],[HARGA/ CTN]]="",NOTA[[#This Row],[JUMLAH_H]],NOTA[[#This Row],[HARGA/ CTN]]*IF(NOTA[[#This Row],[C]]="",0,NOTA[[#This Row],[C]]))</f>
        <v>1720000</v>
      </c>
      <c r="Y162" s="54">
        <f>IF(NOTA[[#This Row],[JUMLAH]]="","",NOTA[[#This Row],[JUMLAH]]*NOTA[[#This Row],[DISC 1]])</f>
        <v>292400</v>
      </c>
      <c r="Z162" s="54">
        <f>IF(NOTA[[#This Row],[JUMLAH]]="","",(NOTA[[#This Row],[JUMLAH]]-NOTA[[#This Row],[DISC 1-]])*NOTA[[#This Row],[DISC 2]])</f>
        <v>0</v>
      </c>
      <c r="AA162" s="54">
        <f>IF(NOTA[[#This Row],[JUMLAH]]="","",NOTA[[#This Row],[DISC 1-]]+NOTA[[#This Row],[DISC 2-]])</f>
        <v>292400</v>
      </c>
      <c r="AB162" s="54">
        <f>IF(NOTA[[#This Row],[JUMLAH]]="","",NOTA[[#This Row],[JUMLAH]]-NOTA[[#This Row],[DISC]])</f>
        <v>1427600</v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162" s="54" t="str">
        <f>IF(OR(NOTA[[#This Row],[QTY]]="",NOTA[[#This Row],[HARGA SATUAN]]="",),"",NOTA[[#This Row],[QTY]]*NOTA[[#This Row],[HARGA SATUAN]])</f>
        <v/>
      </c>
      <c r="AG162" s="51">
        <f ca="1">IF(NOTA[ID_H]="","",INDEX(NOTA[TANGGAL],MATCH(,INDIRECT(ADDRESS(ROW(NOTA[TANGGAL]),COLUMN(NOTA[TANGGAL]))&amp;":"&amp;ADDRESS(ROW(),COLUMN(NOTA[TANGGAL]))),-1)))</f>
        <v>44935</v>
      </c>
      <c r="AH162" s="65" t="str">
        <f ca="1">IF(NOTA[[#This Row],[NAMA BARANG]]="","",INDEX(NOTA[SUPPLIER],MATCH(,INDIRECT(ADDRESS(ROW(NOTA[ID]),COLUMN(NOTA[ID]))&amp;":"&amp;ADDRESS(ROW(),COLUMN(NOTA[ID]))),-1)))</f>
        <v>KENKO SINAR INDONESIA</v>
      </c>
      <c r="AI162" s="65" t="str">
        <f ca="1">IF(NOTA[[#This Row],[ID_H]]="","",IF(NOTA[[#This Row],[FAKTUR]]="",INDIRECT(ADDRESS(ROW()-1,COLUMN())),NOTA[[#This Row],[FAKTUR]]))</f>
        <v>ARTO MORO</v>
      </c>
      <c r="AJ162" s="38" t="str">
        <f ca="1">IF(NOTA[[#This Row],[ID]]="","",COUNTIF(NOTA[ID_H],NOTA[[#This Row],[ID_H]]))</f>
        <v/>
      </c>
      <c r="AK162" s="38">
        <f ca="1">IF(NOTA[[#This Row],[TGL.NOTA]]="",IF(NOTA[[#This Row],[SUPPLIER_H]]="","",AK161),MONTH(NOTA[[#This Row],[TGL.NOTA]]))</f>
        <v>1</v>
      </c>
      <c r="AL16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162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N162" s="184">
        <f>IF(NOTA[[#This Row],[CONCAT1]]="","",MATCH(NOTA[[#This Row],[CONCAT1]],[1]!db[NB NOTA_C],0)+1)</f>
        <v>1210</v>
      </c>
    </row>
    <row r="163" spans="1:40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Row],[CEK_EXP]]&lt;D162,"err","")</f>
        <v/>
      </c>
      <c r="D163" s="50">
        <f>IF(NOTA[[#This Row],[TANGGAL]]="",D162,NOTA[[#This Row],[TANGGAL]])</f>
        <v>44935</v>
      </c>
      <c r="E163" s="50">
        <f ca="1">IF(NOTA[[#This Row],[NAMA BARANG]]="","",INDEX(NOTA[ID],MATCH(,INDIRECT(ADDRESS(ROW(NOTA[ID]),COLUMN(NOTA[ID]))&amp;":"&amp;ADDRESS(ROW(),COLUMN(NOTA[ID]))),-1)))</f>
        <v>36</v>
      </c>
      <c r="F163" s="23"/>
      <c r="G163" s="26"/>
      <c r="H163" s="26"/>
      <c r="I163" s="31"/>
      <c r="J163" s="26" t="s">
        <v>378</v>
      </c>
      <c r="K163" s="51"/>
      <c r="L163" s="26"/>
      <c r="M163" s="26" t="s">
        <v>338</v>
      </c>
      <c r="N163" s="39">
        <v>2</v>
      </c>
      <c r="O163" s="26"/>
      <c r="P163" s="26"/>
      <c r="Q163" s="49"/>
      <c r="R163" s="52">
        <v>5270400</v>
      </c>
      <c r="S163" s="39" t="s">
        <v>117</v>
      </c>
      <c r="T163" s="53">
        <v>0.17</v>
      </c>
      <c r="U163" s="53"/>
      <c r="V163" s="54"/>
      <c r="W163" s="37"/>
      <c r="X163" s="54">
        <f>IF(NOTA[[#This Row],[HARGA/ CTN]]="",NOTA[[#This Row],[JUMLAH_H]],NOTA[[#This Row],[HARGA/ CTN]]*IF(NOTA[[#This Row],[C]]="",0,NOTA[[#This Row],[C]]))</f>
        <v>10540800</v>
      </c>
      <c r="Y163" s="54">
        <f>IF(NOTA[[#This Row],[JUMLAH]]="","",NOTA[[#This Row],[JUMLAH]]*NOTA[[#This Row],[DISC 1]])</f>
        <v>1791936.0000000002</v>
      </c>
      <c r="Z163" s="54">
        <f>IF(NOTA[[#This Row],[JUMLAH]]="","",(NOTA[[#This Row],[JUMLAH]]-NOTA[[#This Row],[DISC 1-]])*NOTA[[#This Row],[DISC 2]])</f>
        <v>0</v>
      </c>
      <c r="AA163" s="54">
        <f>IF(NOTA[[#This Row],[JUMLAH]]="","",NOTA[[#This Row],[DISC 1-]]+NOTA[[#This Row],[DISC 2-]])</f>
        <v>1791936.0000000002</v>
      </c>
      <c r="AB163" s="54">
        <f>IF(NOTA[[#This Row],[JUMLAH]]="","",NOTA[[#This Row],[JUMLAH]]-NOTA[[#This Row],[DISC]])</f>
        <v>8748864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10675456</v>
      </c>
      <c r="AD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52121344</v>
      </c>
      <c r="AE163" s="49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F163" s="54" t="str">
        <f>IF(OR(NOTA[[#This Row],[QTY]]="",NOTA[[#This Row],[HARGA SATUAN]]="",),"",NOTA[[#This Row],[QTY]]*NOTA[[#This Row],[HARGA SATUAN]])</f>
        <v/>
      </c>
      <c r="AG163" s="51">
        <f ca="1">IF(NOTA[ID_H]="","",INDEX(NOTA[TANGGAL],MATCH(,INDIRECT(ADDRESS(ROW(NOTA[TANGGAL]),COLUMN(NOTA[TANGGAL]))&amp;":"&amp;ADDRESS(ROW(),COLUMN(NOTA[TANGGAL]))),-1)))</f>
        <v>44935</v>
      </c>
      <c r="AH163" s="65" t="str">
        <f ca="1">IF(NOTA[[#This Row],[NAMA BARANG]]="","",INDEX(NOTA[SUPPLIER],MATCH(,INDIRECT(ADDRESS(ROW(NOTA[ID]),COLUMN(NOTA[ID]))&amp;":"&amp;ADDRESS(ROW(),COLUMN(NOTA[ID]))),-1)))</f>
        <v>KENKO SINAR INDONESIA</v>
      </c>
      <c r="AI163" s="65" t="str">
        <f ca="1">IF(NOTA[[#This Row],[ID_H]]="","",IF(NOTA[[#This Row],[FAKTUR]]="",INDIRECT(ADDRESS(ROW()-1,COLUMN())),NOTA[[#This Row],[FAKTUR]]))</f>
        <v>ARTO MORO</v>
      </c>
      <c r="AJ163" s="38" t="str">
        <f ca="1">IF(NOTA[[#This Row],[ID]]="","",COUNTIF(NOTA[ID_H],NOTA[[#This Row],[ID_H]]))</f>
        <v/>
      </c>
      <c r="AK163" s="38">
        <f ca="1">IF(NOTA[[#This Row],[TGL.NOTA]]="",IF(NOTA[[#This Row],[SUPPLIER_H]]="","",AK162),MONTH(NOTA[[#This Row],[TGL.NOTA]]))</f>
        <v>1</v>
      </c>
      <c r="AL163" s="38" t="str">
        <f>LOWER(SUBSTITUTE(SUBSTITUTE(SUBSTITUTE(SUBSTITUTE(SUBSTITUTE(SUBSTITUTE(SUBSTITUTE(SUBSTITUTE(SUBSTITUTE(NOTA[NAMA BARANG]," ",),".",""),"-",""),"(",""),")",""),",",""),"/",""),"""",""),"+",""))</f>
        <v>kenkogelpensaharablack</v>
      </c>
      <c r="AM163" s="38" t="str">
        <f>IF(NOTA[C]="",NOTA[[#This Row],[CONCAT1]]&amp;NOTA[[#This Row],[HARGA SATUAN]],NOTA[[#This Row],[CONCAT1]]&amp;NOTA[[#This Row],[HARGA/ CTN_H]]&amp;NOTA[[#This Row],[DISC 1]]&amp;NOTA[[#This Row],[DISC 2]])</f>
        <v>kenkogelpensaharablack52704000.17</v>
      </c>
      <c r="AN163" s="184">
        <f>IF(NOTA[[#This Row],[CONCAT1]]="","",MATCH(NOTA[[#This Row],[CONCAT1]],[1]!db[NB NOTA_C],0)+1)</f>
        <v>1180</v>
      </c>
    </row>
    <row r="164" spans="1:40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Row],[CEK_EXP]]&lt;D163,"err","")</f>
        <v/>
      </c>
      <c r="D164" s="50">
        <f>IF(NOTA[[#This Row],[TANGGAL]]="",D163,NOTA[[#This Row],[TANGGAL]])</f>
        <v>44935</v>
      </c>
      <c r="E164" s="50" t="str">
        <f ca="1">IF(NOTA[[#This Row],[NAMA BARANG]]="","",INDEX(NOTA[ID],MATCH(,INDIRECT(ADDRESS(ROW(NOTA[ID]),COLUMN(NOTA[ID]))&amp;":"&amp;ADDRESS(ROW(),COLUMN(NOTA[ID]))),-1)))</f>
        <v/>
      </c>
      <c r="F164" s="23"/>
      <c r="G164" s="26"/>
      <c r="H164" s="26"/>
      <c r="I164" s="31"/>
      <c r="J164" s="26"/>
      <c r="K164" s="51"/>
      <c r="L164" s="26"/>
      <c r="M164" s="26"/>
      <c r="N164" s="39"/>
      <c r="O164" s="26"/>
      <c r="P164" s="26"/>
      <c r="Q164" s="49"/>
      <c r="R164" s="52"/>
      <c r="S164" s="39"/>
      <c r="T164" s="53"/>
      <c r="U164" s="53"/>
      <c r="V164" s="54"/>
      <c r="W164" s="37"/>
      <c r="X164" s="54" t="str">
        <f>IF(NOTA[[#This Row],[HARGA/ CTN]]="",NOTA[[#This Row],[JUMLAH_H]],NOTA[[#This Row],[HARGA/ CTN]]*IF(NOTA[[#This Row],[C]]="",0,NOTA[[#This Row],[C]]))</f>
        <v/>
      </c>
      <c r="Y164" s="54" t="str">
        <f>IF(NOTA[[#This Row],[JUMLAH]]="","",NOTA[[#This Row],[JUMLAH]]*NOTA[[#This Row],[DISC 1]])</f>
        <v/>
      </c>
      <c r="Z164" s="54" t="str">
        <f>IF(NOTA[[#This Row],[JUMLAH]]="","",(NOTA[[#This Row],[JUMLAH]]-NOTA[[#This Row],[DISC 1-]])*NOTA[[#This Row],[DISC 2]])</f>
        <v/>
      </c>
      <c r="AA164" s="54" t="str">
        <f>IF(NOTA[[#This Row],[JUMLAH]]="","",NOTA[[#This Row],[DISC 1-]]+NOTA[[#This Row],[DISC 2-]])</f>
        <v/>
      </c>
      <c r="AB164" s="54" t="str">
        <f>IF(NOTA[[#This Row],[JUMLAH]]="","",NOTA[[#This Row],[JUMLAH]]-NOTA[[#This Row],[DISC]])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54" t="str">
        <f>IF(OR(NOTA[[#This Row],[QTY]]="",NOTA[[#This Row],[HARGA SATUAN]]="",),"",NOTA[[#This Row],[QTY]]*NOTA[[#This Row],[HARGA SATUAN]])</f>
        <v/>
      </c>
      <c r="AG164" s="51" t="str">
        <f ca="1">IF(NOTA[ID_H]="","",INDEX(NOTA[TANGGAL],MATCH(,INDIRECT(ADDRESS(ROW(NOTA[TANGGAL]),COLUMN(NOTA[TANGGAL]))&amp;":"&amp;ADDRESS(ROW(),COLUMN(NOTA[TANGGAL]))),-1)))</f>
        <v/>
      </c>
      <c r="AH164" s="65" t="str">
        <f ca="1">IF(NOTA[[#This Row],[NAMA BARANG]]="","",INDEX(NOTA[SUPPLIER],MATCH(,INDIRECT(ADDRESS(ROW(NOTA[ID]),COLUMN(NOTA[ID]))&amp;":"&amp;ADDRESS(ROW(),COLUMN(NOTA[ID]))),-1)))</f>
        <v/>
      </c>
      <c r="AI164" s="65" t="str">
        <f ca="1">IF(NOTA[[#This Row],[ID_H]]="","",IF(NOTA[[#This Row],[FAKTUR]]="",INDIRECT(ADDRESS(ROW()-1,COLUMN())),NOTA[[#This Row],[FAKTUR]]))</f>
        <v/>
      </c>
      <c r="AJ164" s="38" t="str">
        <f ca="1">IF(NOTA[[#This Row],[ID]]="","",COUNTIF(NOTA[ID_H],NOTA[[#This Row],[ID_H]]))</f>
        <v/>
      </c>
      <c r="AK164" s="38" t="str">
        <f ca="1">IF(NOTA[[#This Row],[TGL.NOTA]]="",IF(NOTA[[#This Row],[SUPPLIER_H]]="","",AK163),MONTH(NOTA[[#This Row],[TGL.NOTA]]))</f>
        <v/>
      </c>
      <c r="AL164" s="38" t="str">
        <f>LOWER(SUBSTITUTE(SUBSTITUTE(SUBSTITUTE(SUBSTITUTE(SUBSTITUTE(SUBSTITUTE(SUBSTITUTE(SUBSTITUTE(SUBSTITUTE(NOTA[NAMA BARANG]," ",),".",""),"-",""),"(",""),")",""),",",""),"/",""),"""",""),"+",""))</f>
        <v/>
      </c>
      <c r="AM164" s="38" t="str">
        <f>IF(NOTA[C]="",NOTA[[#This Row],[CONCAT1]]&amp;NOTA[[#This Row],[HARGA SATUAN]],NOTA[[#This Row],[CONCAT1]]&amp;NOTA[[#This Row],[HARGA/ CTN_H]]&amp;NOTA[[#This Row],[DISC 1]]&amp;NOTA[[#This Row],[DISC 2]])</f>
        <v/>
      </c>
      <c r="AN164" s="184" t="str">
        <f>IF(NOTA[[#This Row],[CONCAT1]]="","",MATCH(NOTA[[#This Row],[CONCAT1]],[1]!db[NB NOTA_C],0)+1)</f>
        <v/>
      </c>
    </row>
    <row r="165" spans="1:40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KEN_0901_446-10</v>
      </c>
      <c r="C165" s="50" t="str">
        <f>IF(NOTA[[#This Row],[CEK_EXP]]&lt;D164,"err","")</f>
        <v/>
      </c>
      <c r="D165" s="50">
        <f>IF(NOTA[[#This Row],[TANGGAL]]="",D164,NOTA[[#This Row],[TANGGAL]])</f>
        <v>44935</v>
      </c>
      <c r="E165" s="50">
        <f ca="1">IF(NOTA[[#This Row],[NAMA BARANG]]="","",INDEX(NOTA[ID],MATCH(,INDIRECT(ADDRESS(ROW(NOTA[ID]),COLUMN(NOTA[ID]))&amp;":"&amp;ADDRESS(ROW(),COLUMN(NOTA[ID]))),-1)))</f>
        <v>37</v>
      </c>
      <c r="F165" s="23"/>
      <c r="G165" s="26" t="s">
        <v>23</v>
      </c>
      <c r="H165" s="26" t="s">
        <v>24</v>
      </c>
      <c r="I165" s="31" t="s">
        <v>339</v>
      </c>
      <c r="J165" s="26" t="s">
        <v>375</v>
      </c>
      <c r="K165" s="51">
        <v>44933</v>
      </c>
      <c r="L165" s="26"/>
      <c r="M165" s="26" t="s">
        <v>340</v>
      </c>
      <c r="N165" s="39">
        <v>4</v>
      </c>
      <c r="O165" s="26"/>
      <c r="P165" s="26"/>
      <c r="Q165" s="49"/>
      <c r="R165" s="52">
        <v>1560000</v>
      </c>
      <c r="S165" s="39" t="s">
        <v>366</v>
      </c>
      <c r="T165" s="53">
        <v>0.17</v>
      </c>
      <c r="U165" s="53"/>
      <c r="V165" s="54"/>
      <c r="W165" s="37"/>
      <c r="X165" s="54">
        <f>IF(NOTA[[#This Row],[HARGA/ CTN]]="",NOTA[[#This Row],[JUMLAH_H]],NOTA[[#This Row],[HARGA/ CTN]]*IF(NOTA[[#This Row],[C]]="",0,NOTA[[#This Row],[C]]))</f>
        <v>6240000</v>
      </c>
      <c r="Y165" s="54">
        <f>IF(NOTA[[#This Row],[JUMLAH]]="","",NOTA[[#This Row],[JUMLAH]]*NOTA[[#This Row],[DISC 1]])</f>
        <v>1060800</v>
      </c>
      <c r="Z165" s="54">
        <f>IF(NOTA[[#This Row],[JUMLAH]]="","",(NOTA[[#This Row],[JUMLAH]]-NOTA[[#This Row],[DISC 1-]])*NOTA[[#This Row],[DISC 2]])</f>
        <v>0</v>
      </c>
      <c r="AA165" s="54">
        <f>IF(NOTA[[#This Row],[JUMLAH]]="","",NOTA[[#This Row],[DISC 1-]]+NOTA[[#This Row],[DISC 2-]])</f>
        <v>1060800</v>
      </c>
      <c r="AB165" s="54">
        <f>IF(NOTA[[#This Row],[JUMLAH]]="","",NOTA[[#This Row],[JUMLAH]]-NOTA[[#This Row],[DISC]])</f>
        <v>5179200</v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65" s="54" t="str">
        <f>IF(OR(NOTA[[#This Row],[QTY]]="",NOTA[[#This Row],[HARGA SATUAN]]="",),"",NOTA[[#This Row],[QTY]]*NOTA[[#This Row],[HARGA SATUAN]])</f>
        <v/>
      </c>
      <c r="AG165" s="51">
        <f ca="1">IF(NOTA[ID_H]="","",INDEX(NOTA[TANGGAL],MATCH(,INDIRECT(ADDRESS(ROW(NOTA[TANGGAL]),COLUMN(NOTA[TANGGAL]))&amp;":"&amp;ADDRESS(ROW(),COLUMN(NOTA[TANGGAL]))),-1)))</f>
        <v>44935</v>
      </c>
      <c r="AH165" s="65" t="str">
        <f ca="1">IF(NOTA[[#This Row],[NAMA BARANG]]="","",INDEX(NOTA[SUPPLIER],MATCH(,INDIRECT(ADDRESS(ROW(NOTA[ID]),COLUMN(NOTA[ID]))&amp;":"&amp;ADDRESS(ROW(),COLUMN(NOTA[ID]))),-1)))</f>
        <v>KENKO SINAR INDONESIA</v>
      </c>
      <c r="AI165" s="65" t="str">
        <f ca="1">IF(NOTA[[#This Row],[ID_H]]="","",IF(NOTA[[#This Row],[FAKTUR]]="",INDIRECT(ADDRESS(ROW()-1,COLUMN())),NOTA[[#This Row],[FAKTUR]]))</f>
        <v>ARTO MORO</v>
      </c>
      <c r="AJ165" s="38">
        <f ca="1">IF(NOTA[[#This Row],[ID]]="","",COUNTIF(NOTA[ID_H],NOTA[[#This Row],[ID_H]]))</f>
        <v>10</v>
      </c>
      <c r="AK165" s="38">
        <f>IF(NOTA[[#This Row],[TGL.NOTA]]="",IF(NOTA[[#This Row],[SUPPLIER_H]]="","",AK164),MONTH(NOTA[[#This Row],[TGL.NOTA]]))</f>
        <v>1</v>
      </c>
      <c r="AL16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65" s="38" t="str">
        <f>IF(NOTA[C]="",NOTA[[#This Row],[CONCAT1]]&amp;NOTA[[#This Row],[HARGA SATUAN]],NOTA[[#This Row],[CONCAT1]]&amp;NOTA[[#This Row],[HARGA/ CTN_H]]&amp;NOTA[[#This Row],[DISC 1]]&amp;NOTA[[#This Row],[DISC 2]])</f>
        <v>kenkopunchno3015600000.17</v>
      </c>
      <c r="AN165" s="184">
        <f>IF(NOTA[[#This Row],[CONCAT1]]="","",MATCH(NOTA[[#This Row],[CONCAT1]],[1]!db[NB NOTA_C],0)+1)</f>
        <v>1259</v>
      </c>
    </row>
    <row r="166" spans="1:40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Row],[CEK_EXP]]&lt;D165,"err","")</f>
        <v/>
      </c>
      <c r="D166" s="50">
        <f>IF(NOTA[[#This Row],[TANGGAL]]="",D165,NOTA[[#This Row],[TANGGAL]])</f>
        <v>44935</v>
      </c>
      <c r="E166" s="50">
        <f ca="1">IF(NOTA[[#This Row],[NAMA BARANG]]="","",INDEX(NOTA[ID],MATCH(,INDIRECT(ADDRESS(ROW(NOTA[ID]),COLUMN(NOTA[ID]))&amp;":"&amp;ADDRESS(ROW(),COLUMN(NOTA[ID]))),-1)))</f>
        <v>37</v>
      </c>
      <c r="F166" s="23"/>
      <c r="G166" s="26"/>
      <c r="H166" s="26"/>
      <c r="I166" s="31"/>
      <c r="J166" s="26"/>
      <c r="K166" s="51"/>
      <c r="L166" s="26"/>
      <c r="M166" s="26" t="s">
        <v>341</v>
      </c>
      <c r="N166" s="39">
        <v>1</v>
      </c>
      <c r="O166" s="26"/>
      <c r="P166" s="26"/>
      <c r="Q166" s="49"/>
      <c r="R166" s="52">
        <v>2160000</v>
      </c>
      <c r="S166" s="39" t="s">
        <v>367</v>
      </c>
      <c r="T166" s="53">
        <v>0.17</v>
      </c>
      <c r="U166" s="53"/>
      <c r="V166" s="54"/>
      <c r="W166" s="37"/>
      <c r="X166" s="54">
        <f>IF(NOTA[[#This Row],[HARGA/ CTN]]="",NOTA[[#This Row],[JUMLAH_H]],NOTA[[#This Row],[HARGA/ CTN]]*IF(NOTA[[#This Row],[C]]="",0,NOTA[[#This Row],[C]]))</f>
        <v>2160000</v>
      </c>
      <c r="Y166" s="54">
        <f>IF(NOTA[[#This Row],[JUMLAH]]="","",NOTA[[#This Row],[JUMLAH]]*NOTA[[#This Row],[DISC 1]])</f>
        <v>367200</v>
      </c>
      <c r="Z166" s="54">
        <f>IF(NOTA[[#This Row],[JUMLAH]]="","",(NOTA[[#This Row],[JUMLAH]]-NOTA[[#This Row],[DISC 1-]])*NOTA[[#This Row],[DISC 2]])</f>
        <v>0</v>
      </c>
      <c r="AA166" s="54">
        <f>IF(NOTA[[#This Row],[JUMLAH]]="","",NOTA[[#This Row],[DISC 1-]]+NOTA[[#This Row],[DISC 2-]])</f>
        <v>367200</v>
      </c>
      <c r="AB166" s="54">
        <f>IF(NOTA[[#This Row],[JUMLAH]]="","",NOTA[[#This Row],[JUMLAH]]-NOTA[[#This Row],[DISC]])</f>
        <v>1792800</v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66" s="54" t="str">
        <f>IF(OR(NOTA[[#This Row],[QTY]]="",NOTA[[#This Row],[HARGA SATUAN]]="",),"",NOTA[[#This Row],[QTY]]*NOTA[[#This Row],[HARGA SATUAN]])</f>
        <v/>
      </c>
      <c r="AG166" s="51">
        <f ca="1">IF(NOTA[ID_H]="","",INDEX(NOTA[TANGGAL],MATCH(,INDIRECT(ADDRESS(ROW(NOTA[TANGGAL]),COLUMN(NOTA[TANGGAL]))&amp;":"&amp;ADDRESS(ROW(),COLUMN(NOTA[TANGGAL]))),-1)))</f>
        <v>44935</v>
      </c>
      <c r="AH166" s="65" t="str">
        <f ca="1">IF(NOTA[[#This Row],[NAMA BARANG]]="","",INDEX(NOTA[SUPPLIER],MATCH(,INDIRECT(ADDRESS(ROW(NOTA[ID]),COLUMN(NOTA[ID]))&amp;":"&amp;ADDRESS(ROW(),COLUMN(NOTA[ID]))),-1)))</f>
        <v>KENKO SINAR INDONESIA</v>
      </c>
      <c r="AI166" s="65" t="str">
        <f ca="1">IF(NOTA[[#This Row],[ID_H]]="","",IF(NOTA[[#This Row],[FAKTUR]]="",INDIRECT(ADDRESS(ROW()-1,COLUMN())),NOTA[[#This Row],[FAKTUR]]))</f>
        <v>ARTO MORO</v>
      </c>
      <c r="AJ166" s="38" t="str">
        <f ca="1">IF(NOTA[[#This Row],[ID]]="","",COUNTIF(NOTA[ID_H],NOTA[[#This Row],[ID_H]]))</f>
        <v/>
      </c>
      <c r="AK166" s="38">
        <f ca="1">IF(NOTA[[#This Row],[TGL.NOTA]]="",IF(NOTA[[#This Row],[SUPPLIER_H]]="","",AK165),MONTH(NOTA[[#This Row],[TGL.NOTA]]))</f>
        <v>1</v>
      </c>
      <c r="AL166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M166" s="38" t="str">
        <f>IF(NOTA[C]="",NOTA[[#This Row],[CONCAT1]]&amp;NOTA[[#This Row],[HARGA SATUAN]],NOTA[[#This Row],[CONCAT1]]&amp;NOTA[[#This Row],[HARGA/ CTN_H]]&amp;NOTA[[#This Row],[DISC 1]]&amp;NOTA[[#This Row],[DISC 2]])</f>
        <v>kenkoheavydutystaplerhd12l2421600000.17</v>
      </c>
      <c r="AN166" s="184">
        <f>IF(NOTA[[#This Row],[CONCAT1]]="","",MATCH(NOTA[[#This Row],[CONCAT1]],[1]!db[NB NOTA_C],0)+1)</f>
        <v>1195</v>
      </c>
    </row>
    <row r="167" spans="1:40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Row],[CEK_EXP]]&lt;D166,"err","")</f>
        <v/>
      </c>
      <c r="D167" s="50">
        <f>IF(NOTA[[#This Row],[TANGGAL]]="",D166,NOTA[[#This Row],[TANGGAL]])</f>
        <v>44935</v>
      </c>
      <c r="E167" s="50">
        <f ca="1">IF(NOTA[[#This Row],[NAMA BARANG]]="","",INDEX(NOTA[ID],MATCH(,INDIRECT(ADDRESS(ROW(NOTA[ID]),COLUMN(NOTA[ID]))&amp;":"&amp;ADDRESS(ROW(),COLUMN(NOTA[ID]))),-1)))</f>
        <v>37</v>
      </c>
      <c r="F167" s="23"/>
      <c r="G167" s="26"/>
      <c r="H167" s="26"/>
      <c r="I167" s="31"/>
      <c r="J167" s="26"/>
      <c r="K167" s="51"/>
      <c r="L167" s="26"/>
      <c r="M167" s="26" t="s">
        <v>342</v>
      </c>
      <c r="N167" s="39">
        <v>1</v>
      </c>
      <c r="O167" s="26"/>
      <c r="P167" s="26"/>
      <c r="Q167" s="162"/>
      <c r="R167" s="52">
        <v>1069200</v>
      </c>
      <c r="S167" s="39" t="s">
        <v>373</v>
      </c>
      <c r="T167" s="53">
        <v>0.17</v>
      </c>
      <c r="U167" s="53"/>
      <c r="V167" s="54"/>
      <c r="W167" s="37"/>
      <c r="X167" s="54">
        <f>IF(NOTA[[#This Row],[HARGA/ CTN]]="",NOTA[[#This Row],[JUMLAH_H]],NOTA[[#This Row],[HARGA/ CTN]]*IF(NOTA[[#This Row],[C]]="",0,NOTA[[#This Row],[C]]))</f>
        <v>1069200</v>
      </c>
      <c r="Y167" s="54">
        <f>IF(NOTA[[#This Row],[JUMLAH]]="","",NOTA[[#This Row],[JUMLAH]]*NOTA[[#This Row],[DISC 1]])</f>
        <v>181764</v>
      </c>
      <c r="Z167" s="54">
        <f>IF(NOTA[[#This Row],[JUMLAH]]="","",(NOTA[[#This Row],[JUMLAH]]-NOTA[[#This Row],[DISC 1-]])*NOTA[[#This Row],[DISC 2]])</f>
        <v>0</v>
      </c>
      <c r="AA167" s="54">
        <f>IF(NOTA[[#This Row],[JUMLAH]]="","",NOTA[[#This Row],[DISC 1-]]+NOTA[[#This Row],[DISC 2-]])</f>
        <v>181764</v>
      </c>
      <c r="AB167" s="54">
        <f>IF(NOTA[[#This Row],[JUMLAH]]="","",NOTA[[#This Row],[JUMLAH]]-NOTA[[#This Row],[DISC]])</f>
        <v>887436</v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167" s="54" t="str">
        <f>IF(OR(NOTA[[#This Row],[QTY]]="",NOTA[[#This Row],[HARGA SATUAN]]="",),"",NOTA[[#This Row],[QTY]]*NOTA[[#This Row],[HARGA SATUAN]])</f>
        <v/>
      </c>
      <c r="AG167" s="51">
        <f ca="1">IF(NOTA[ID_H]="","",INDEX(NOTA[TANGGAL],MATCH(,INDIRECT(ADDRESS(ROW(NOTA[TANGGAL]),COLUMN(NOTA[TANGGAL]))&amp;":"&amp;ADDRESS(ROW(),COLUMN(NOTA[TANGGAL]))),-1)))</f>
        <v>44935</v>
      </c>
      <c r="AH167" s="65" t="str">
        <f ca="1">IF(NOTA[[#This Row],[NAMA BARANG]]="","",INDEX(NOTA[SUPPLIER],MATCH(,INDIRECT(ADDRESS(ROW(NOTA[ID]),COLUMN(NOTA[ID]))&amp;":"&amp;ADDRESS(ROW(),COLUMN(NOTA[ID]))),-1)))</f>
        <v>KENKO SINAR INDONESIA</v>
      </c>
      <c r="AI167" s="65" t="str">
        <f ca="1">IF(NOTA[[#This Row],[ID_H]]="","",IF(NOTA[[#This Row],[FAKTUR]]="",INDIRECT(ADDRESS(ROW()-1,COLUMN())),NOTA[[#This Row],[FAKTUR]]))</f>
        <v>ARTO MORO</v>
      </c>
      <c r="AJ167" s="38" t="str">
        <f ca="1">IF(NOTA[[#This Row],[ID]]="","",COUNTIF(NOTA[ID_H],NOTA[[#This Row],[ID_H]]))</f>
        <v/>
      </c>
      <c r="AK167" s="38">
        <f ca="1">IF(NOTA[[#This Row],[TGL.NOTA]]="",IF(NOTA[[#This Row],[SUPPLIER_H]]="","",AK166),MONTH(NOTA[[#This Row],[TGL.NOTA]]))</f>
        <v>1</v>
      </c>
      <c r="AL167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M167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N167" s="184">
        <f>IF(NOTA[[#This Row],[CONCAT1]]="","",MATCH(NOTA[[#This Row],[CONCAT1]],[1]!db[NB NOTA_C],0)+1)</f>
        <v>1287</v>
      </c>
    </row>
    <row r="168" spans="1:40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Row],[CEK_EXP]]&lt;D167,"err","")</f>
        <v/>
      </c>
      <c r="D168" s="50">
        <f>IF(NOTA[[#This Row],[TANGGAL]]="",D167,NOTA[[#This Row],[TANGGAL]])</f>
        <v>44935</v>
      </c>
      <c r="E168" s="50">
        <f ca="1">IF(NOTA[[#This Row],[NAMA BARANG]]="","",INDEX(NOTA[ID],MATCH(,INDIRECT(ADDRESS(ROW(NOTA[ID]),COLUMN(NOTA[ID]))&amp;":"&amp;ADDRESS(ROW(),COLUMN(NOTA[ID]))),-1)))</f>
        <v>37</v>
      </c>
      <c r="F168" s="23"/>
      <c r="G168" s="26"/>
      <c r="H168" s="26"/>
      <c r="I168" s="31"/>
      <c r="J168" s="26"/>
      <c r="K168" s="51"/>
      <c r="L168" s="26"/>
      <c r="M168" s="26" t="s">
        <v>164</v>
      </c>
      <c r="N168" s="39">
        <v>10</v>
      </c>
      <c r="O168" s="26"/>
      <c r="P168" s="26"/>
      <c r="Q168" s="162"/>
      <c r="R168" s="52">
        <v>2160000</v>
      </c>
      <c r="S168" s="39" t="s">
        <v>136</v>
      </c>
      <c r="T168" s="53">
        <v>0.17</v>
      </c>
      <c r="U168" s="53"/>
      <c r="V168" s="54"/>
      <c r="W168" s="37"/>
      <c r="X168" s="54">
        <f>IF(NOTA[[#This Row],[HARGA/ CTN]]="",NOTA[[#This Row],[JUMLAH_H]],NOTA[[#This Row],[HARGA/ CTN]]*IF(NOTA[[#This Row],[C]]="",0,NOTA[[#This Row],[C]]))</f>
        <v>21600000</v>
      </c>
      <c r="Y168" s="54">
        <f>IF(NOTA[[#This Row],[JUMLAH]]="","",NOTA[[#This Row],[JUMLAH]]*NOTA[[#This Row],[DISC 1]])</f>
        <v>3672000.0000000005</v>
      </c>
      <c r="Z168" s="54">
        <f>IF(NOTA[[#This Row],[JUMLAH]]="","",(NOTA[[#This Row],[JUMLAH]]-NOTA[[#This Row],[DISC 1-]])*NOTA[[#This Row],[DISC 2]])</f>
        <v>0</v>
      </c>
      <c r="AA168" s="54">
        <f>IF(NOTA[[#This Row],[JUMLAH]]="","",NOTA[[#This Row],[DISC 1-]]+NOTA[[#This Row],[DISC 2-]])</f>
        <v>3672000.0000000005</v>
      </c>
      <c r="AB168" s="54">
        <f>IF(NOTA[[#This Row],[JUMLAH]]="","",NOTA[[#This Row],[JUMLAH]]-NOTA[[#This Row],[DISC]])</f>
        <v>17928000</v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68" s="54" t="str">
        <f>IF(OR(NOTA[[#This Row],[QTY]]="",NOTA[[#This Row],[HARGA SATUAN]]="",),"",NOTA[[#This Row],[QTY]]*NOTA[[#This Row],[HARGA SATUAN]])</f>
        <v/>
      </c>
      <c r="AG168" s="51">
        <f ca="1">IF(NOTA[ID_H]="","",INDEX(NOTA[TANGGAL],MATCH(,INDIRECT(ADDRESS(ROW(NOTA[TANGGAL]),COLUMN(NOTA[TANGGAL]))&amp;":"&amp;ADDRESS(ROW(),COLUMN(NOTA[TANGGAL]))),-1)))</f>
        <v>44935</v>
      </c>
      <c r="AH168" s="65" t="str">
        <f ca="1">IF(NOTA[[#This Row],[NAMA BARANG]]="","",INDEX(NOTA[SUPPLIER],MATCH(,INDIRECT(ADDRESS(ROW(NOTA[ID]),COLUMN(NOTA[ID]))&amp;":"&amp;ADDRESS(ROW(),COLUMN(NOTA[ID]))),-1)))</f>
        <v>KENKO SINAR INDONESIA</v>
      </c>
      <c r="AI168" s="65" t="str">
        <f ca="1">IF(NOTA[[#This Row],[ID_H]]="","",IF(NOTA[[#This Row],[FAKTUR]]="",INDIRECT(ADDRESS(ROW()-1,COLUMN())),NOTA[[#This Row],[FAKTUR]]))</f>
        <v>ARTO MORO</v>
      </c>
      <c r="AJ168" s="38" t="str">
        <f ca="1">IF(NOTA[[#This Row],[ID]]="","",COUNTIF(NOTA[ID_H],NOTA[[#This Row],[ID_H]]))</f>
        <v/>
      </c>
      <c r="AK168" s="38">
        <f ca="1">IF(NOTA[[#This Row],[TGL.NOTA]]="",IF(NOTA[[#This Row],[SUPPLIER_H]]="","",AK167),MONTH(NOTA[[#This Row],[TGL.NOTA]]))</f>
        <v>1</v>
      </c>
      <c r="AL168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M168" s="38" t="str">
        <f>IF(NOTA[C]="",NOTA[[#This Row],[CONCAT1]]&amp;NOTA[[#This Row],[HARGA SATUAN]],NOTA[[#This Row],[CONCAT1]]&amp;NOTA[[#This Row],[HARGA/ CTN_H]]&amp;NOTA[[#This Row],[DISC 1]]&amp;NOTA[[#This Row],[DISC 2]])</f>
        <v>kenkopencil2b6373metallic21600000.17</v>
      </c>
      <c r="AN168" s="184">
        <f>IF(NOTA[[#This Row],[CONCAT1]]="","",MATCH(NOTA[[#This Row],[CONCAT1]],[1]!db[NB NOTA_C],0)+1)</f>
        <v>1240</v>
      </c>
    </row>
    <row r="169" spans="1:40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Row],[CEK_EXP]]&lt;D168,"err","")</f>
        <v/>
      </c>
      <c r="D169" s="50">
        <f>IF(NOTA[[#This Row],[TANGGAL]]="",D168,NOTA[[#This Row],[TANGGAL]])</f>
        <v>44935</v>
      </c>
      <c r="E169" s="50">
        <f ca="1">IF(NOTA[[#This Row],[NAMA BARANG]]="","",INDEX(NOTA[ID],MATCH(,INDIRECT(ADDRESS(ROW(NOTA[ID]),COLUMN(NOTA[ID]))&amp;":"&amp;ADDRESS(ROW(),COLUMN(NOTA[ID]))),-1)))</f>
        <v>37</v>
      </c>
      <c r="F169" s="23"/>
      <c r="G169" s="26"/>
      <c r="H169" s="26"/>
      <c r="I169" s="31"/>
      <c r="J169" s="26"/>
      <c r="K169" s="51"/>
      <c r="L169" s="26"/>
      <c r="M169" s="26" t="s">
        <v>134</v>
      </c>
      <c r="N169" s="39">
        <v>5</v>
      </c>
      <c r="O169" s="26"/>
      <c r="P169" s="26"/>
      <c r="Q169" s="162"/>
      <c r="R169" s="52">
        <v>2980800</v>
      </c>
      <c r="S169" s="39" t="s">
        <v>124</v>
      </c>
      <c r="T169" s="53">
        <v>0.17</v>
      </c>
      <c r="U169" s="53"/>
      <c r="V169" s="54"/>
      <c r="W169" s="37"/>
      <c r="X169" s="54">
        <f>IF(NOTA[[#This Row],[HARGA/ CTN]]="",NOTA[[#This Row],[JUMLAH_H]],NOTA[[#This Row],[HARGA/ CTN]]*IF(NOTA[[#This Row],[C]]="",0,NOTA[[#This Row],[C]]))</f>
        <v>14904000</v>
      </c>
      <c r="Y169" s="54">
        <f>IF(NOTA[[#This Row],[JUMLAH]]="","",NOTA[[#This Row],[JUMLAH]]*NOTA[[#This Row],[DISC 1]])</f>
        <v>2533680</v>
      </c>
      <c r="Z169" s="54">
        <f>IF(NOTA[[#This Row],[JUMLAH]]="","",(NOTA[[#This Row],[JUMLAH]]-NOTA[[#This Row],[DISC 1-]])*NOTA[[#This Row],[DISC 2]])</f>
        <v>0</v>
      </c>
      <c r="AA169" s="54">
        <f>IF(NOTA[[#This Row],[JUMLAH]]="","",NOTA[[#This Row],[DISC 1-]]+NOTA[[#This Row],[DISC 2-]])</f>
        <v>2533680</v>
      </c>
      <c r="AB169" s="54">
        <f>IF(NOTA[[#This Row],[JUMLAH]]="","",NOTA[[#This Row],[JUMLAH]]-NOTA[[#This Row],[DISC]])</f>
        <v>12370320</v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169" s="54" t="str">
        <f>IF(OR(NOTA[[#This Row],[QTY]]="",NOTA[[#This Row],[HARGA SATUAN]]="",),"",NOTA[[#This Row],[QTY]]*NOTA[[#This Row],[HARGA SATUAN]])</f>
        <v/>
      </c>
      <c r="AG169" s="51">
        <f ca="1">IF(NOTA[ID_H]="","",INDEX(NOTA[TANGGAL],MATCH(,INDIRECT(ADDRESS(ROW(NOTA[TANGGAL]),COLUMN(NOTA[TANGGAL]))&amp;":"&amp;ADDRESS(ROW(),COLUMN(NOTA[TANGGAL]))),-1)))</f>
        <v>44935</v>
      </c>
      <c r="AH169" s="65" t="str">
        <f ca="1">IF(NOTA[[#This Row],[NAMA BARANG]]="","",INDEX(NOTA[SUPPLIER],MATCH(,INDIRECT(ADDRESS(ROW(NOTA[ID]),COLUMN(NOTA[ID]))&amp;":"&amp;ADDRESS(ROW(),COLUMN(NOTA[ID]))),-1)))</f>
        <v>KENKO SINAR INDONESIA</v>
      </c>
      <c r="AI169" s="65" t="str">
        <f ca="1">IF(NOTA[[#This Row],[ID_H]]="","",IF(NOTA[[#This Row],[FAKTUR]]="",INDIRECT(ADDRESS(ROW()-1,COLUMN())),NOTA[[#This Row],[FAKTUR]]))</f>
        <v>ARTO MORO</v>
      </c>
      <c r="AJ169" s="38" t="str">
        <f ca="1">IF(NOTA[[#This Row],[ID]]="","",COUNTIF(NOTA[ID_H],NOTA[[#This Row],[ID_H]]))</f>
        <v/>
      </c>
      <c r="AK169" s="38">
        <f ca="1">IF(NOTA[[#This Row],[TGL.NOTA]]="",IF(NOTA[[#This Row],[SUPPLIER_H]]="","",AK168),MONTH(NOTA[[#This Row],[TGL.NOTA]]))</f>
        <v>1</v>
      </c>
      <c r="AL169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169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N169" s="184">
        <f>IF(NOTA[[#This Row],[CONCAT1]]="","",MATCH(NOTA[[#This Row],[CONCAT1]],[1]!db[NB NOTA_C],0)+1)</f>
        <v>1035</v>
      </c>
    </row>
    <row r="170" spans="1:40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Row],[CEK_EXP]]&lt;D169,"err","")</f>
        <v/>
      </c>
      <c r="D170" s="50">
        <f>IF(NOTA[[#This Row],[TANGGAL]]="",D169,NOTA[[#This Row],[TANGGAL]])</f>
        <v>44935</v>
      </c>
      <c r="E170" s="50">
        <f ca="1">IF(NOTA[[#This Row],[NAMA BARANG]]="","",INDEX(NOTA[ID],MATCH(,INDIRECT(ADDRESS(ROW(NOTA[ID]),COLUMN(NOTA[ID]))&amp;":"&amp;ADDRESS(ROW(),COLUMN(NOTA[ID]))),-1)))</f>
        <v>37</v>
      </c>
      <c r="F170" s="23"/>
      <c r="G170" s="26"/>
      <c r="H170" s="26"/>
      <c r="I170" s="31"/>
      <c r="J170" s="26"/>
      <c r="K170" s="51"/>
      <c r="L170" s="26"/>
      <c r="M170" s="26" t="s">
        <v>343</v>
      </c>
      <c r="N170" s="39">
        <v>1</v>
      </c>
      <c r="O170" s="26"/>
      <c r="P170" s="26"/>
      <c r="Q170" s="162"/>
      <c r="R170" s="52">
        <v>2040000</v>
      </c>
      <c r="S170" s="39" t="s">
        <v>366</v>
      </c>
      <c r="T170" s="53">
        <v>0.17</v>
      </c>
      <c r="U170" s="53"/>
      <c r="V170" s="54"/>
      <c r="W170" s="37"/>
      <c r="X170" s="54">
        <f>IF(NOTA[[#This Row],[HARGA/ CTN]]="",NOTA[[#This Row],[JUMLAH_H]],NOTA[[#This Row],[HARGA/ CTN]]*IF(NOTA[[#This Row],[C]]="",0,NOTA[[#This Row],[C]]))</f>
        <v>2040000</v>
      </c>
      <c r="Y170" s="54">
        <f>IF(NOTA[[#This Row],[JUMLAH]]="","",NOTA[[#This Row],[JUMLAH]]*NOTA[[#This Row],[DISC 1]])</f>
        <v>346800</v>
      </c>
      <c r="Z170" s="54">
        <f>IF(NOTA[[#This Row],[JUMLAH]]="","",(NOTA[[#This Row],[JUMLAH]]-NOTA[[#This Row],[DISC 1-]])*NOTA[[#This Row],[DISC 2]])</f>
        <v>0</v>
      </c>
      <c r="AA170" s="54">
        <f>IF(NOTA[[#This Row],[JUMLAH]]="","",NOTA[[#This Row],[DISC 1-]]+NOTA[[#This Row],[DISC 2-]])</f>
        <v>346800</v>
      </c>
      <c r="AB170" s="54">
        <f>IF(NOTA[[#This Row],[JUMLAH]]="","",NOTA[[#This Row],[JUMLAH]]-NOTA[[#This Row],[DISC]])</f>
        <v>1693200</v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70" s="54" t="str">
        <f>IF(OR(NOTA[[#This Row],[QTY]]="",NOTA[[#This Row],[HARGA SATUAN]]="",),"",NOTA[[#This Row],[QTY]]*NOTA[[#This Row],[HARGA SATUAN]])</f>
        <v/>
      </c>
      <c r="AG170" s="51">
        <f ca="1">IF(NOTA[ID_H]="","",INDEX(NOTA[TANGGAL],MATCH(,INDIRECT(ADDRESS(ROW(NOTA[TANGGAL]),COLUMN(NOTA[TANGGAL]))&amp;":"&amp;ADDRESS(ROW(),COLUMN(NOTA[TANGGAL]))),-1)))</f>
        <v>44935</v>
      </c>
      <c r="AH170" s="65" t="str">
        <f ca="1">IF(NOTA[[#This Row],[NAMA BARANG]]="","",INDEX(NOTA[SUPPLIER],MATCH(,INDIRECT(ADDRESS(ROW(NOTA[ID]),COLUMN(NOTA[ID]))&amp;":"&amp;ADDRESS(ROW(),COLUMN(NOTA[ID]))),-1)))</f>
        <v>KENKO SINAR INDONESIA</v>
      </c>
      <c r="AI170" s="65" t="str">
        <f ca="1">IF(NOTA[[#This Row],[ID_H]]="","",IF(NOTA[[#This Row],[FAKTUR]]="",INDIRECT(ADDRESS(ROW()-1,COLUMN())),NOTA[[#This Row],[FAKTUR]]))</f>
        <v>ARTO MORO</v>
      </c>
      <c r="AJ170" s="38" t="str">
        <f ca="1">IF(NOTA[[#This Row],[ID]]="","",COUNTIF(NOTA[ID_H],NOTA[[#This Row],[ID_H]]))</f>
        <v/>
      </c>
      <c r="AK170" s="38">
        <f ca="1">IF(NOTA[[#This Row],[TGL.NOTA]]="",IF(NOTA[[#This Row],[SUPPLIER_H]]="","",AK169),MONTH(NOTA[[#This Row],[TGL.NOTA]]))</f>
        <v>1</v>
      </c>
      <c r="AL170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M170" s="38" t="str">
        <f>IF(NOTA[C]="",NOTA[[#This Row],[CONCAT1]]&amp;NOTA[[#This Row],[HARGA SATUAN]],NOTA[[#This Row],[CONCAT1]]&amp;NOTA[[#This Row],[HARGA/ CTN_H]]&amp;NOTA[[#This Row],[DISC 1]]&amp;NOTA[[#This Row],[DISC 2]])</f>
        <v>kenko12colorpencilcp12ftincaseclassic20400000.17</v>
      </c>
      <c r="AN170" s="184">
        <f>IF(NOTA[[#This Row],[CONCAT1]]="","",MATCH(NOTA[[#This Row],[CONCAT1]],[1]!db[NB NOTA_C],0)+1)</f>
        <v>1039</v>
      </c>
    </row>
    <row r="171" spans="1:40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Row],[CEK_EXP]]&lt;D170,"err","")</f>
        <v/>
      </c>
      <c r="D171" s="50">
        <f>IF(NOTA[[#This Row],[TANGGAL]]="",D170,NOTA[[#This Row],[TANGGAL]])</f>
        <v>44935</v>
      </c>
      <c r="E171" s="50">
        <f ca="1">IF(NOTA[[#This Row],[NAMA BARANG]]="","",INDEX(NOTA[ID],MATCH(,INDIRECT(ADDRESS(ROW(NOTA[ID]),COLUMN(NOTA[ID]))&amp;":"&amp;ADDRESS(ROW(),COLUMN(NOTA[ID]))),-1)))</f>
        <v>37</v>
      </c>
      <c r="F171" s="23"/>
      <c r="G171" s="26"/>
      <c r="H171" s="26"/>
      <c r="I171" s="31"/>
      <c r="J171" s="26"/>
      <c r="K171" s="51"/>
      <c r="L171" s="26"/>
      <c r="M171" s="26" t="s">
        <v>344</v>
      </c>
      <c r="N171" s="39">
        <v>1</v>
      </c>
      <c r="O171" s="26"/>
      <c r="P171" s="26"/>
      <c r="Q171" s="162"/>
      <c r="R171" s="52">
        <v>2750000</v>
      </c>
      <c r="S171" s="39" t="s">
        <v>126</v>
      </c>
      <c r="T171" s="53">
        <v>0.17</v>
      </c>
      <c r="U171" s="53"/>
      <c r="V171" s="54"/>
      <c r="W171" s="37"/>
      <c r="X171" s="54">
        <f>IF(NOTA[[#This Row],[HARGA/ CTN]]="",NOTA[[#This Row],[JUMLAH_H]],NOTA[[#This Row],[HARGA/ CTN]]*IF(NOTA[[#This Row],[C]]="",0,NOTA[[#This Row],[C]]))</f>
        <v>2750000</v>
      </c>
      <c r="Y171" s="54">
        <f>IF(NOTA[[#This Row],[JUMLAH]]="","",NOTA[[#This Row],[JUMLAH]]*NOTA[[#This Row],[DISC 1]])</f>
        <v>467500.00000000006</v>
      </c>
      <c r="Z171" s="54">
        <f>IF(NOTA[[#This Row],[JUMLAH]]="","",(NOTA[[#This Row],[JUMLAH]]-NOTA[[#This Row],[DISC 1-]])*NOTA[[#This Row],[DISC 2]])</f>
        <v>0</v>
      </c>
      <c r="AA171" s="54">
        <f>IF(NOTA[[#This Row],[JUMLAH]]="","",NOTA[[#This Row],[DISC 1-]]+NOTA[[#This Row],[DISC 2-]])</f>
        <v>467500.00000000006</v>
      </c>
      <c r="AB171" s="54">
        <f>IF(NOTA[[#This Row],[JUMLAH]]="","",NOTA[[#This Row],[JUMLAH]]-NOTA[[#This Row],[DISC]])</f>
        <v>2282500</v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71" s="54" t="str">
        <f>IF(OR(NOTA[[#This Row],[QTY]]="",NOTA[[#This Row],[HARGA SATUAN]]="",),"",NOTA[[#This Row],[QTY]]*NOTA[[#This Row],[HARGA SATUAN]])</f>
        <v/>
      </c>
      <c r="AG171" s="51">
        <f ca="1">IF(NOTA[ID_H]="","",INDEX(NOTA[TANGGAL],MATCH(,INDIRECT(ADDRESS(ROW(NOTA[TANGGAL]),COLUMN(NOTA[TANGGAL]))&amp;":"&amp;ADDRESS(ROW(),COLUMN(NOTA[TANGGAL]))),-1)))</f>
        <v>44935</v>
      </c>
      <c r="AH171" s="65" t="str">
        <f ca="1">IF(NOTA[[#This Row],[NAMA BARANG]]="","",INDEX(NOTA[SUPPLIER],MATCH(,INDIRECT(ADDRESS(ROW(NOTA[ID]),COLUMN(NOTA[ID]))&amp;":"&amp;ADDRESS(ROW(),COLUMN(NOTA[ID]))),-1)))</f>
        <v>KENKO SINAR INDONESIA</v>
      </c>
      <c r="AI171" s="65" t="str">
        <f ca="1">IF(NOTA[[#This Row],[ID_H]]="","",IF(NOTA[[#This Row],[FAKTUR]]="",INDIRECT(ADDRESS(ROW()-1,COLUMN())),NOTA[[#This Row],[FAKTUR]]))</f>
        <v>ARTO MORO</v>
      </c>
      <c r="AJ171" s="38" t="str">
        <f ca="1">IF(NOTA[[#This Row],[ID]]="","",COUNTIF(NOTA[ID_H],NOTA[[#This Row],[ID_H]]))</f>
        <v/>
      </c>
      <c r="AK171" s="38">
        <f ca="1">IF(NOTA[[#This Row],[TGL.NOTA]]="",IF(NOTA[[#This Row],[SUPPLIER_H]]="","",AK170),MONTH(NOTA[[#This Row],[TGL.NOTA]]))</f>
        <v>1</v>
      </c>
      <c r="AL171" s="38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171" s="38" t="str">
        <f>IF(NOTA[C]="",NOTA[[#This Row],[CONCAT1]]&amp;NOTA[[#This Row],[HARGA SATUAN]],NOTA[[#This Row],[CONCAT1]]&amp;NOTA[[#This Row],[HARGA/ CTN_H]]&amp;NOTA[[#This Row],[DISC 1]]&amp;NOTA[[#This Row],[DISC 2]])</f>
        <v>kenkopricelabellermx5500eos8digits1line27500000.17</v>
      </c>
      <c r="AN171" s="184">
        <f>IF(NOTA[[#This Row],[CONCAT1]]="","",MATCH(NOTA[[#This Row],[CONCAT1]],[1]!db[NB NOTA_C],0)+1)</f>
        <v>1257</v>
      </c>
    </row>
    <row r="172" spans="1:40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Row],[CEK_EXP]]&lt;D171,"err","")</f>
        <v/>
      </c>
      <c r="D172" s="50">
        <f>IF(NOTA[[#This Row],[TANGGAL]]="",D171,NOTA[[#This Row],[TANGGAL]])</f>
        <v>44935</v>
      </c>
      <c r="E172" s="50">
        <f ca="1">IF(NOTA[[#This Row],[NAMA BARANG]]="","",INDEX(NOTA[ID],MATCH(,INDIRECT(ADDRESS(ROW(NOTA[ID]),COLUMN(NOTA[ID]))&amp;":"&amp;ADDRESS(ROW(),COLUMN(NOTA[ID]))),-1)))</f>
        <v>37</v>
      </c>
      <c r="F172" s="23"/>
      <c r="G172" s="26"/>
      <c r="H172" s="26"/>
      <c r="I172" s="31"/>
      <c r="J172" s="26"/>
      <c r="K172" s="51"/>
      <c r="L172" s="26"/>
      <c r="M172" s="26" t="s">
        <v>345</v>
      </c>
      <c r="N172" s="39">
        <v>3</v>
      </c>
      <c r="O172" s="26"/>
      <c r="P172" s="26"/>
      <c r="Q172" s="162"/>
      <c r="R172" s="52">
        <v>1500000</v>
      </c>
      <c r="S172" s="39" t="s">
        <v>374</v>
      </c>
      <c r="T172" s="53">
        <v>0.17</v>
      </c>
      <c r="U172" s="53"/>
      <c r="V172" s="54"/>
      <c r="W172" s="37"/>
      <c r="X172" s="54">
        <f>IF(NOTA[[#This Row],[HARGA/ CTN]]="",NOTA[[#This Row],[JUMLAH_H]],NOTA[[#This Row],[HARGA/ CTN]]*IF(NOTA[[#This Row],[C]]="",0,NOTA[[#This Row],[C]]))</f>
        <v>4500000</v>
      </c>
      <c r="Y172" s="54">
        <f>IF(NOTA[[#This Row],[JUMLAH]]="","",NOTA[[#This Row],[JUMLAH]]*NOTA[[#This Row],[DISC 1]])</f>
        <v>765000</v>
      </c>
      <c r="Z172" s="54">
        <f>IF(NOTA[[#This Row],[JUMLAH]]="","",(NOTA[[#This Row],[JUMLAH]]-NOTA[[#This Row],[DISC 1-]])*NOTA[[#This Row],[DISC 2]])</f>
        <v>0</v>
      </c>
      <c r="AA172" s="54">
        <f>IF(NOTA[[#This Row],[JUMLAH]]="","",NOTA[[#This Row],[DISC 1-]]+NOTA[[#This Row],[DISC 2-]])</f>
        <v>765000</v>
      </c>
      <c r="AB172" s="54">
        <f>IF(NOTA[[#This Row],[JUMLAH]]="","",NOTA[[#This Row],[JUMLAH]]-NOTA[[#This Row],[DISC]])</f>
        <v>3735000</v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72" s="54" t="str">
        <f>IF(OR(NOTA[[#This Row],[QTY]]="",NOTA[[#This Row],[HARGA SATUAN]]="",),"",NOTA[[#This Row],[QTY]]*NOTA[[#This Row],[HARGA SATUAN]])</f>
        <v/>
      </c>
      <c r="AG172" s="51">
        <f ca="1">IF(NOTA[ID_H]="","",INDEX(NOTA[TANGGAL],MATCH(,INDIRECT(ADDRESS(ROW(NOTA[TANGGAL]),COLUMN(NOTA[TANGGAL]))&amp;":"&amp;ADDRESS(ROW(),COLUMN(NOTA[TANGGAL]))),-1)))</f>
        <v>44935</v>
      </c>
      <c r="AH172" s="65" t="str">
        <f ca="1">IF(NOTA[[#This Row],[NAMA BARANG]]="","",INDEX(NOTA[SUPPLIER],MATCH(,INDIRECT(ADDRESS(ROW(NOTA[ID]),COLUMN(NOTA[ID]))&amp;":"&amp;ADDRESS(ROW(),COLUMN(NOTA[ID]))),-1)))</f>
        <v>KENKO SINAR INDONESIA</v>
      </c>
      <c r="AI172" s="65" t="str">
        <f ca="1">IF(NOTA[[#This Row],[ID_H]]="","",IF(NOTA[[#This Row],[FAKTUR]]="",INDIRECT(ADDRESS(ROW()-1,COLUMN())),NOTA[[#This Row],[FAKTUR]]))</f>
        <v>ARTO MORO</v>
      </c>
      <c r="AJ172" s="38" t="str">
        <f ca="1">IF(NOTA[[#This Row],[ID]]="","",COUNTIF(NOTA[ID_H],NOTA[[#This Row],[ID_H]]))</f>
        <v/>
      </c>
      <c r="AK172" s="38">
        <f ca="1">IF(NOTA[[#This Row],[TGL.NOTA]]="",IF(NOTA[[#This Row],[SUPPLIER_H]]="","",AK171),MONTH(NOTA[[#This Row],[TGL.NOTA]]))</f>
        <v>1</v>
      </c>
      <c r="AL172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172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N172" s="184">
        <f>IF(NOTA[[#This Row],[CONCAT1]]="","",MATCH(NOTA[[#This Row],[CONCAT1]],[1]!db[NB NOTA_C],0)+1)</f>
        <v>1315</v>
      </c>
    </row>
    <row r="173" spans="1:40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Row],[CEK_EXP]]&lt;D172,"err","")</f>
        <v/>
      </c>
      <c r="D173" s="50">
        <f>IF(NOTA[[#This Row],[TANGGAL]]="",D172,NOTA[[#This Row],[TANGGAL]])</f>
        <v>44935</v>
      </c>
      <c r="E173" s="50">
        <f ca="1">IF(NOTA[[#This Row],[NAMA BARANG]]="","",INDEX(NOTA[ID],MATCH(,INDIRECT(ADDRESS(ROW(NOTA[ID]),COLUMN(NOTA[ID]))&amp;":"&amp;ADDRESS(ROW(),COLUMN(NOTA[ID]))),-1)))</f>
        <v>37</v>
      </c>
      <c r="F173" s="23"/>
      <c r="G173" s="26"/>
      <c r="H173" s="26"/>
      <c r="I173" s="31"/>
      <c r="J173" s="26"/>
      <c r="K173" s="51"/>
      <c r="L173" s="26"/>
      <c r="M173" s="26" t="s">
        <v>160</v>
      </c>
      <c r="N173" s="39">
        <v>4</v>
      </c>
      <c r="O173" s="26"/>
      <c r="P173" s="26"/>
      <c r="Q173" s="49"/>
      <c r="R173" s="52">
        <v>2112000</v>
      </c>
      <c r="S173" s="39" t="s">
        <v>136</v>
      </c>
      <c r="T173" s="53">
        <v>0.17</v>
      </c>
      <c r="U173" s="53"/>
      <c r="V173" s="54"/>
      <c r="W173" s="37"/>
      <c r="X173" s="54">
        <f>IF(NOTA[[#This Row],[HARGA/ CTN]]="",NOTA[[#This Row],[JUMLAH_H]],NOTA[[#This Row],[HARGA/ CTN]]*IF(NOTA[[#This Row],[C]]="",0,NOTA[[#This Row],[C]]))</f>
        <v>8448000</v>
      </c>
      <c r="Y173" s="54">
        <f>IF(NOTA[[#This Row],[JUMLAH]]="","",NOTA[[#This Row],[JUMLAH]]*NOTA[[#This Row],[DISC 1]])</f>
        <v>1436160</v>
      </c>
      <c r="Z173" s="54">
        <f>IF(NOTA[[#This Row],[JUMLAH]]="","",(NOTA[[#This Row],[JUMLAH]]-NOTA[[#This Row],[DISC 1-]])*NOTA[[#This Row],[DISC 2]])</f>
        <v>0</v>
      </c>
      <c r="AA173" s="54">
        <f>IF(NOTA[[#This Row],[JUMLAH]]="","",NOTA[[#This Row],[DISC 1-]]+NOTA[[#This Row],[DISC 2-]])</f>
        <v>1436160</v>
      </c>
      <c r="AB173" s="54">
        <f>IF(NOTA[[#This Row],[JUMLAH]]="","",NOTA[[#This Row],[JUMLAH]]-NOTA[[#This Row],[DISC]])</f>
        <v>7011840</v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3" s="54" t="str">
        <f>IF(OR(NOTA[[#This Row],[QTY]]="",NOTA[[#This Row],[HARGA SATUAN]]="",),"",NOTA[[#This Row],[QTY]]*NOTA[[#This Row],[HARGA SATUAN]])</f>
        <v/>
      </c>
      <c r="AG173" s="51">
        <f ca="1">IF(NOTA[ID_H]="","",INDEX(NOTA[TANGGAL],MATCH(,INDIRECT(ADDRESS(ROW(NOTA[TANGGAL]),COLUMN(NOTA[TANGGAL]))&amp;":"&amp;ADDRESS(ROW(),COLUMN(NOTA[TANGGAL]))),-1)))</f>
        <v>44935</v>
      </c>
      <c r="AH173" s="65" t="str">
        <f ca="1">IF(NOTA[[#This Row],[NAMA BARANG]]="","",INDEX(NOTA[SUPPLIER],MATCH(,INDIRECT(ADDRESS(ROW(NOTA[ID]),COLUMN(NOTA[ID]))&amp;":"&amp;ADDRESS(ROW(),COLUMN(NOTA[ID]))),-1)))</f>
        <v>KENKO SINAR INDONESIA</v>
      </c>
      <c r="AI173" s="65" t="str">
        <f ca="1">IF(NOTA[[#This Row],[ID_H]]="","",IF(NOTA[[#This Row],[FAKTUR]]="",INDIRECT(ADDRESS(ROW()-1,COLUMN())),NOTA[[#This Row],[FAKTUR]]))</f>
        <v>ARTO MORO</v>
      </c>
      <c r="AJ173" s="38" t="str">
        <f ca="1">IF(NOTA[[#This Row],[ID]]="","",COUNTIF(NOTA[ID_H],NOTA[[#This Row],[ID_H]]))</f>
        <v/>
      </c>
      <c r="AK173" s="38">
        <f ca="1">IF(NOTA[[#This Row],[TGL.NOTA]]="",IF(NOTA[[#This Row],[SUPPLIER_H]]="","",AK172),MONTH(NOTA[[#This Row],[TGL.NOTA]]))</f>
        <v>1</v>
      </c>
      <c r="AL173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173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N173" s="184">
        <f>IF(NOTA[[#This Row],[CONCAT1]]="","",MATCH(NOTA[[#This Row],[CONCAT1]],[1]!db[NB NOTA_C],0)+1)</f>
        <v>1234</v>
      </c>
    </row>
    <row r="174" spans="1:40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Row],[CEK_EXP]]&lt;D173,"err","")</f>
        <v/>
      </c>
      <c r="D174" s="50">
        <f>IF(NOTA[[#This Row],[TANGGAL]]="",D173,NOTA[[#This Row],[TANGGAL]])</f>
        <v>44935</v>
      </c>
      <c r="E174" s="50">
        <f ca="1">IF(NOTA[[#This Row],[NAMA BARANG]]="","",INDEX(NOTA[ID],MATCH(,INDIRECT(ADDRESS(ROW(NOTA[ID]),COLUMN(NOTA[ID]))&amp;":"&amp;ADDRESS(ROW(),COLUMN(NOTA[ID]))),-1)))</f>
        <v>37</v>
      </c>
      <c r="F174" s="23"/>
      <c r="G174" s="26"/>
      <c r="H174" s="26"/>
      <c r="I174" s="31"/>
      <c r="J174" s="26"/>
      <c r="K174" s="51"/>
      <c r="L174" s="26"/>
      <c r="M174" s="26" t="s">
        <v>385</v>
      </c>
      <c r="N174" s="39">
        <v>2</v>
      </c>
      <c r="O174" s="26"/>
      <c r="P174" s="26"/>
      <c r="Q174" s="49"/>
      <c r="R174" s="52">
        <v>2352000</v>
      </c>
      <c r="S174" s="39" t="s">
        <v>119</v>
      </c>
      <c r="T174" s="53">
        <v>0.17</v>
      </c>
      <c r="U174" s="53"/>
      <c r="V174" s="54"/>
      <c r="W174" s="37"/>
      <c r="X174" s="54">
        <f>IF(NOTA[[#This Row],[HARGA/ CTN]]="",NOTA[[#This Row],[JUMLAH_H]],NOTA[[#This Row],[HARGA/ CTN]]*IF(NOTA[[#This Row],[C]]="",0,NOTA[[#This Row],[C]]))</f>
        <v>4704000</v>
      </c>
      <c r="Y174" s="54">
        <f>IF(NOTA[[#This Row],[JUMLAH]]="","",NOTA[[#This Row],[JUMLAH]]*NOTA[[#This Row],[DISC 1]])</f>
        <v>799680</v>
      </c>
      <c r="Z174" s="54">
        <f>IF(NOTA[[#This Row],[JUMLAH]]="","",(NOTA[[#This Row],[JUMLAH]]-NOTA[[#This Row],[DISC 1-]])*NOTA[[#This Row],[DISC 2]])</f>
        <v>0</v>
      </c>
      <c r="AA174" s="54">
        <f>IF(NOTA[[#This Row],[JUMLAH]]="","",NOTA[[#This Row],[DISC 1-]]+NOTA[[#This Row],[DISC 2-]])</f>
        <v>799680</v>
      </c>
      <c r="AB174" s="54">
        <f>IF(NOTA[[#This Row],[JUMLAH]]="","",NOTA[[#This Row],[JUMLAH]]-NOTA[[#This Row],[DISC]])</f>
        <v>3904320</v>
      </c>
      <c r="AC1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11630584</v>
      </c>
      <c r="AD1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56784616</v>
      </c>
      <c r="AE17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4" s="54" t="str">
        <f>IF(OR(NOTA[[#This Row],[QTY]]="",NOTA[[#This Row],[HARGA SATUAN]]="",),"",NOTA[[#This Row],[QTY]]*NOTA[[#This Row],[HARGA SATUAN]])</f>
        <v/>
      </c>
      <c r="AG174" s="51">
        <f ca="1">IF(NOTA[ID_H]="","",INDEX(NOTA[TANGGAL],MATCH(,INDIRECT(ADDRESS(ROW(NOTA[TANGGAL]),COLUMN(NOTA[TANGGAL]))&amp;":"&amp;ADDRESS(ROW(),COLUMN(NOTA[TANGGAL]))),-1)))</f>
        <v>44935</v>
      </c>
      <c r="AH174" s="65" t="str">
        <f ca="1">IF(NOTA[[#This Row],[NAMA BARANG]]="","",INDEX(NOTA[SUPPLIER],MATCH(,INDIRECT(ADDRESS(ROW(NOTA[ID]),COLUMN(NOTA[ID]))&amp;":"&amp;ADDRESS(ROW(),COLUMN(NOTA[ID]))),-1)))</f>
        <v>KENKO SINAR INDONESIA</v>
      </c>
      <c r="AI174" s="65" t="str">
        <f ca="1">IF(NOTA[[#This Row],[ID_H]]="","",IF(NOTA[[#This Row],[FAKTUR]]="",INDIRECT(ADDRESS(ROW()-1,COLUMN())),NOTA[[#This Row],[FAKTUR]]))</f>
        <v>ARTO MORO</v>
      </c>
      <c r="AJ174" s="38" t="str">
        <f ca="1">IF(NOTA[[#This Row],[ID]]="","",COUNTIF(NOTA[ID_H],NOTA[[#This Row],[ID_H]]))</f>
        <v/>
      </c>
      <c r="AK174" s="38">
        <f ca="1">IF(NOTA[[#This Row],[TGL.NOTA]]="",IF(NOTA[[#This Row],[SUPPLIER_H]]="","",AK173),MONTH(NOTA[[#This Row],[TGL.NOTA]]))</f>
        <v>1</v>
      </c>
      <c r="AL174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4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N174" s="184">
        <f>IF(NOTA[[#This Row],[CONCAT1]]="","",MATCH(NOTA[[#This Row],[CONCAT1]],[1]!db[NB NOTA_C],0)+1)</f>
        <v>1293</v>
      </c>
    </row>
    <row r="175" spans="1:40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Row],[CEK_EXP]]&lt;D174,"err","")</f>
        <v/>
      </c>
      <c r="D175" s="50">
        <f>IF(NOTA[[#This Row],[TANGGAL]]="",D174,NOTA[[#This Row],[TANGGAL]])</f>
        <v>44935</v>
      </c>
      <c r="E175" s="50" t="str">
        <f ca="1">IF(NOTA[[#This Row],[NAMA BARANG]]="","",INDEX(NOTA[ID],MATCH(,INDIRECT(ADDRESS(ROW(NOTA[ID]),COLUMN(NOTA[ID]))&amp;":"&amp;ADDRESS(ROW(),COLUMN(NOTA[ID]))),-1)))</f>
        <v/>
      </c>
      <c r="F175" s="23"/>
      <c r="G175" s="26"/>
      <c r="H175" s="26"/>
      <c r="I175" s="31"/>
      <c r="J175" s="26"/>
      <c r="K175" s="51"/>
      <c r="L175" s="26"/>
      <c r="M175" s="26"/>
      <c r="N175" s="39"/>
      <c r="O175" s="26"/>
      <c r="P175" s="26"/>
      <c r="Q175" s="49"/>
      <c r="R175" s="52"/>
      <c r="S175" s="39"/>
      <c r="T175" s="53"/>
      <c r="U175" s="53"/>
      <c r="V175" s="54"/>
      <c r="W175" s="37"/>
      <c r="X175" s="54" t="str">
        <f>IF(NOTA[[#This Row],[HARGA/ CTN]]="",NOTA[[#This Row],[JUMLAH_H]],NOTA[[#This Row],[HARGA/ CTN]]*IF(NOTA[[#This Row],[C]]="",0,NOTA[[#This Row],[C]]))</f>
        <v/>
      </c>
      <c r="Y175" s="54" t="str">
        <f>IF(NOTA[[#This Row],[JUMLAH]]="","",NOTA[[#This Row],[JUMLAH]]*NOTA[[#This Row],[DISC 1]])</f>
        <v/>
      </c>
      <c r="Z175" s="54" t="str">
        <f>IF(NOTA[[#This Row],[JUMLAH]]="","",(NOTA[[#This Row],[JUMLAH]]-NOTA[[#This Row],[DISC 1-]])*NOTA[[#This Row],[DISC 2]])</f>
        <v/>
      </c>
      <c r="AA175" s="54" t="str">
        <f>IF(NOTA[[#This Row],[JUMLAH]]="","",NOTA[[#This Row],[DISC 1-]]+NOTA[[#This Row],[DISC 2-]])</f>
        <v/>
      </c>
      <c r="AB175" s="54" t="str">
        <f>IF(NOTA[[#This Row],[JUMLAH]]="","",NOTA[[#This Row],[JUMLAH]]-NOTA[[#This Row],[DISC]])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5" s="54" t="str">
        <f>IF(OR(NOTA[[#This Row],[QTY]]="",NOTA[[#This Row],[HARGA SATUAN]]="",),"",NOTA[[#This Row],[QTY]]*NOTA[[#This Row],[HARGA SATUAN]])</f>
        <v/>
      </c>
      <c r="AG175" s="51" t="str">
        <f ca="1">IF(NOTA[ID_H]="","",INDEX(NOTA[TANGGAL],MATCH(,INDIRECT(ADDRESS(ROW(NOTA[TANGGAL]),COLUMN(NOTA[TANGGAL]))&amp;":"&amp;ADDRESS(ROW(),COLUMN(NOTA[TANGGAL]))),-1)))</f>
        <v/>
      </c>
      <c r="AH175" s="65" t="str">
        <f ca="1">IF(NOTA[[#This Row],[NAMA BARANG]]="","",INDEX(NOTA[SUPPLIER],MATCH(,INDIRECT(ADDRESS(ROW(NOTA[ID]),COLUMN(NOTA[ID]))&amp;":"&amp;ADDRESS(ROW(),COLUMN(NOTA[ID]))),-1)))</f>
        <v/>
      </c>
      <c r="AI175" s="65" t="str">
        <f ca="1">IF(NOTA[[#This Row],[ID_H]]="","",IF(NOTA[[#This Row],[FAKTUR]]="",INDIRECT(ADDRESS(ROW()-1,COLUMN())),NOTA[[#This Row],[FAKTUR]]))</f>
        <v/>
      </c>
      <c r="AJ175" s="38" t="str">
        <f ca="1">IF(NOTA[[#This Row],[ID]]="","",COUNTIF(NOTA[ID_H],NOTA[[#This Row],[ID_H]]))</f>
        <v/>
      </c>
      <c r="AK175" s="38" t="str">
        <f ca="1">IF(NOTA[[#This Row],[TGL.NOTA]]="",IF(NOTA[[#This Row],[SUPPLIER_H]]="","",AK174),MONTH(NOTA[[#This Row],[TGL.NOTA]]))</f>
        <v/>
      </c>
      <c r="AL175" s="38" t="str">
        <f>LOWER(SUBSTITUTE(SUBSTITUTE(SUBSTITUTE(SUBSTITUTE(SUBSTITUTE(SUBSTITUTE(SUBSTITUTE(SUBSTITUTE(SUBSTITUTE(NOTA[NAMA BARANG]," ",),".",""),"-",""),"(",""),")",""),",",""),"/",""),"""",""),"+",""))</f>
        <v/>
      </c>
      <c r="AM175" s="38" t="str">
        <f>IF(NOTA[C]="",NOTA[[#This Row],[CONCAT1]]&amp;NOTA[[#This Row],[HARGA SATUAN]],NOTA[[#This Row],[CONCAT1]]&amp;NOTA[[#This Row],[HARGA/ CTN_H]]&amp;NOTA[[#This Row],[DISC 1]]&amp;NOTA[[#This Row],[DISC 2]])</f>
        <v/>
      </c>
      <c r="AN175" s="184" t="str">
        <f>IF(NOTA[[#This Row],[CONCAT1]]="","",MATCH(NOTA[[#This Row],[CONCAT1]],[1]!db[NB NOTA_C],0)+1)</f>
        <v/>
      </c>
    </row>
    <row r="176" spans="1:40" ht="20.100000000000001" customHeight="1" x14ac:dyDescent="0.25">
      <c r="A17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KEN_0901_447-9</v>
      </c>
      <c r="C176" s="50" t="str">
        <f>IF(NOTA[[#This Row],[CEK_EXP]]&lt;D175,"err","")</f>
        <v/>
      </c>
      <c r="D176" s="50">
        <f>IF(NOTA[[#This Row],[TANGGAL]]="",D175,NOTA[[#This Row],[TANGGAL]])</f>
        <v>44935</v>
      </c>
      <c r="E176" s="50">
        <f ca="1">IF(NOTA[[#This Row],[NAMA BARANG]]="","",INDEX(NOTA[ID],MATCH(,INDIRECT(ADDRESS(ROW(NOTA[ID]),COLUMN(NOTA[ID]))&amp;":"&amp;ADDRESS(ROW(),COLUMN(NOTA[ID]))),-1)))</f>
        <v>38</v>
      </c>
      <c r="F176" s="23"/>
      <c r="G176" s="26" t="s">
        <v>23</v>
      </c>
      <c r="H176" s="26" t="s">
        <v>24</v>
      </c>
      <c r="I176" s="31" t="s">
        <v>346</v>
      </c>
      <c r="J176" s="26" t="s">
        <v>372</v>
      </c>
      <c r="K176" s="51">
        <v>44933</v>
      </c>
      <c r="L176" s="26"/>
      <c r="M176" s="26" t="s">
        <v>385</v>
      </c>
      <c r="N176" s="39">
        <v>2</v>
      </c>
      <c r="O176" s="26"/>
      <c r="P176" s="26"/>
      <c r="Q176" s="49"/>
      <c r="R176" s="52">
        <v>2352000</v>
      </c>
      <c r="S176" s="39" t="s">
        <v>119</v>
      </c>
      <c r="T176" s="53">
        <v>0.17</v>
      </c>
      <c r="U176" s="53"/>
      <c r="V176" s="54"/>
      <c r="W176" s="37"/>
      <c r="X176" s="54">
        <f>IF(NOTA[[#This Row],[HARGA/ CTN]]="",NOTA[[#This Row],[JUMLAH_H]],NOTA[[#This Row],[HARGA/ CTN]]*IF(NOTA[[#This Row],[C]]="",0,NOTA[[#This Row],[C]]))</f>
        <v>4704000</v>
      </c>
      <c r="Y176" s="54">
        <f>IF(NOTA[[#This Row],[JUMLAH]]="","",NOTA[[#This Row],[JUMLAH]]*NOTA[[#This Row],[DISC 1]])</f>
        <v>799680</v>
      </c>
      <c r="Z176" s="54">
        <f>IF(NOTA[[#This Row],[JUMLAH]]="","",(NOTA[[#This Row],[JUMLAH]]-NOTA[[#This Row],[DISC 1-]])*NOTA[[#This Row],[DISC 2]])</f>
        <v>0</v>
      </c>
      <c r="AA176" s="54">
        <f>IF(NOTA[[#This Row],[JUMLAH]]="","",NOTA[[#This Row],[DISC 1-]]+NOTA[[#This Row],[DISC 2-]])</f>
        <v>799680</v>
      </c>
      <c r="AB176" s="54">
        <f>IF(NOTA[[#This Row],[JUMLAH]]="","",NOTA[[#This Row],[JUMLAH]]-NOTA[[#This Row],[DISC]])</f>
        <v>3904320</v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6" s="54" t="str">
        <f>IF(OR(NOTA[[#This Row],[QTY]]="",NOTA[[#This Row],[HARGA SATUAN]]="",),"",NOTA[[#This Row],[QTY]]*NOTA[[#This Row],[HARGA SATUAN]])</f>
        <v/>
      </c>
      <c r="AG176" s="51">
        <f ca="1">IF(NOTA[ID_H]="","",INDEX(NOTA[TANGGAL],MATCH(,INDIRECT(ADDRESS(ROW(NOTA[TANGGAL]),COLUMN(NOTA[TANGGAL]))&amp;":"&amp;ADDRESS(ROW(),COLUMN(NOTA[TANGGAL]))),-1)))</f>
        <v>44935</v>
      </c>
      <c r="AH176" s="65" t="str">
        <f ca="1">IF(NOTA[[#This Row],[NAMA BARANG]]="","",INDEX(NOTA[SUPPLIER],MATCH(,INDIRECT(ADDRESS(ROW(NOTA[ID]),COLUMN(NOTA[ID]))&amp;":"&amp;ADDRESS(ROW(),COLUMN(NOTA[ID]))),-1)))</f>
        <v>KENKO SINAR INDONESIA</v>
      </c>
      <c r="AI176" s="65" t="str">
        <f ca="1">IF(NOTA[[#This Row],[ID_H]]="","",IF(NOTA[[#This Row],[FAKTUR]]="",INDIRECT(ADDRESS(ROW()-1,COLUMN())),NOTA[[#This Row],[FAKTUR]]))</f>
        <v>ARTO MORO</v>
      </c>
      <c r="AJ176" s="38">
        <f ca="1">IF(NOTA[[#This Row],[ID]]="","",COUNTIF(NOTA[ID_H],NOTA[[#This Row],[ID_H]]))</f>
        <v>9</v>
      </c>
      <c r="AK176" s="38">
        <f>IF(NOTA[[#This Row],[TGL.NOTA]]="",IF(NOTA[[#This Row],[SUPPLIER_H]]="","",AK175),MONTH(NOTA[[#This Row],[TGL.NOTA]]))</f>
        <v>1</v>
      </c>
      <c r="AL17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6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N176" s="184">
        <f>IF(NOTA[[#This Row],[CONCAT1]]="","",MATCH(NOTA[[#This Row],[CONCAT1]],[1]!db[NB NOTA_C],0)+1)</f>
        <v>1293</v>
      </c>
    </row>
    <row r="177" spans="1:40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Row],[CEK_EXP]]&lt;D176,"err","")</f>
        <v/>
      </c>
      <c r="D177" s="50">
        <f>IF(NOTA[[#This Row],[TANGGAL]]="",D176,NOTA[[#This Row],[TANGGAL]])</f>
        <v>44935</v>
      </c>
      <c r="E177" s="50">
        <f ca="1">IF(NOTA[[#This Row],[NAMA BARANG]]="","",INDEX(NOTA[ID],MATCH(,INDIRECT(ADDRESS(ROW(NOTA[ID]),COLUMN(NOTA[ID]))&amp;":"&amp;ADDRESS(ROW(),COLUMN(NOTA[ID]))),-1)))</f>
        <v>38</v>
      </c>
      <c r="F177" s="23"/>
      <c r="G177" s="26"/>
      <c r="H177" s="26"/>
      <c r="I177" s="31"/>
      <c r="J177" s="26"/>
      <c r="K177" s="51"/>
      <c r="L177" s="26"/>
      <c r="M177" s="26" t="s">
        <v>347</v>
      </c>
      <c r="N177" s="39">
        <v>1</v>
      </c>
      <c r="O177" s="26"/>
      <c r="P177" s="26"/>
      <c r="Q177" s="49"/>
      <c r="R177" s="52">
        <v>1987200</v>
      </c>
      <c r="S177" s="39" t="s">
        <v>121</v>
      </c>
      <c r="T177" s="53">
        <v>0.17</v>
      </c>
      <c r="U177" s="53"/>
      <c r="V177" s="54"/>
      <c r="W177" s="37"/>
      <c r="X177" s="54">
        <f>IF(NOTA[[#This Row],[HARGA/ CTN]]="",NOTA[[#This Row],[JUMLAH_H]],NOTA[[#This Row],[HARGA/ CTN]]*IF(NOTA[[#This Row],[C]]="",0,NOTA[[#This Row],[C]]))</f>
        <v>1987200</v>
      </c>
      <c r="Y177" s="54">
        <f>IF(NOTA[[#This Row],[JUMLAH]]="","",NOTA[[#This Row],[JUMLAH]]*NOTA[[#This Row],[DISC 1]])</f>
        <v>337824</v>
      </c>
      <c r="Z177" s="54">
        <f>IF(NOTA[[#This Row],[JUMLAH]]="","",(NOTA[[#This Row],[JUMLAH]]-NOTA[[#This Row],[DISC 1-]])*NOTA[[#This Row],[DISC 2]])</f>
        <v>0</v>
      </c>
      <c r="AA177" s="54">
        <f>IF(NOTA[[#This Row],[JUMLAH]]="","",NOTA[[#This Row],[DISC 1-]]+NOTA[[#This Row],[DISC 2-]])</f>
        <v>337824</v>
      </c>
      <c r="AB177" s="54">
        <f>IF(NOTA[[#This Row],[JUMLAH]]="","",NOTA[[#This Row],[JUMLAH]]-NOTA[[#This Row],[DISC]])</f>
        <v>1649376</v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77" s="54" t="str">
        <f>IF(OR(NOTA[[#This Row],[QTY]]="",NOTA[[#This Row],[HARGA SATUAN]]="",),"",NOTA[[#This Row],[QTY]]*NOTA[[#This Row],[HARGA SATUAN]])</f>
        <v/>
      </c>
      <c r="AG177" s="51">
        <f ca="1">IF(NOTA[ID_H]="","",INDEX(NOTA[TANGGAL],MATCH(,INDIRECT(ADDRESS(ROW(NOTA[TANGGAL]),COLUMN(NOTA[TANGGAL]))&amp;":"&amp;ADDRESS(ROW(),COLUMN(NOTA[TANGGAL]))),-1)))</f>
        <v>44935</v>
      </c>
      <c r="AH177" s="65" t="str">
        <f ca="1">IF(NOTA[[#This Row],[NAMA BARANG]]="","",INDEX(NOTA[SUPPLIER],MATCH(,INDIRECT(ADDRESS(ROW(NOTA[ID]),COLUMN(NOTA[ID]))&amp;":"&amp;ADDRESS(ROW(),COLUMN(NOTA[ID]))),-1)))</f>
        <v>KENKO SINAR INDONESIA</v>
      </c>
      <c r="AI177" s="65" t="str">
        <f ca="1">IF(NOTA[[#This Row],[ID_H]]="","",IF(NOTA[[#This Row],[FAKTUR]]="",INDIRECT(ADDRESS(ROW()-1,COLUMN())),NOTA[[#This Row],[FAKTUR]]))</f>
        <v>ARTO MORO</v>
      </c>
      <c r="AJ177" s="38" t="str">
        <f ca="1">IF(NOTA[[#This Row],[ID]]="","",COUNTIF(NOTA[ID_H],NOTA[[#This Row],[ID_H]]))</f>
        <v/>
      </c>
      <c r="AK177" s="38">
        <f ca="1">IF(NOTA[[#This Row],[TGL.NOTA]]="",IF(NOTA[[#This Row],[SUPPLIER_H]]="","",AK176),MONTH(NOTA[[#This Row],[TGL.NOTA]]))</f>
        <v>1</v>
      </c>
      <c r="AL17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177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N177" s="184">
        <f>IF(NOTA[[#This Row],[CONCAT1]]="","",MATCH(NOTA[[#This Row],[CONCAT1]],[1]!db[NB NOTA_C],0)+1)</f>
        <v>1090</v>
      </c>
    </row>
    <row r="178" spans="1:40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Row],[CEK_EXP]]&lt;D177,"err","")</f>
        <v/>
      </c>
      <c r="D178" s="50">
        <f>IF(NOTA[[#This Row],[TANGGAL]]="",D177,NOTA[[#This Row],[TANGGAL]])</f>
        <v>44935</v>
      </c>
      <c r="E178" s="50">
        <f ca="1">IF(NOTA[[#This Row],[NAMA BARANG]]="","",INDEX(NOTA[ID],MATCH(,INDIRECT(ADDRESS(ROW(NOTA[ID]),COLUMN(NOTA[ID]))&amp;":"&amp;ADDRESS(ROW(),COLUMN(NOTA[ID]))),-1)))</f>
        <v>38</v>
      </c>
      <c r="F178" s="23"/>
      <c r="G178" s="26"/>
      <c r="H178" s="26"/>
      <c r="I178" s="31"/>
      <c r="J178" s="26"/>
      <c r="K178" s="51"/>
      <c r="L178" s="26"/>
      <c r="M178" s="26" t="s">
        <v>348</v>
      </c>
      <c r="N178" s="39">
        <v>1</v>
      </c>
      <c r="O178" s="26"/>
      <c r="P178" s="26"/>
      <c r="Q178" s="49"/>
      <c r="R178" s="52">
        <v>1584000</v>
      </c>
      <c r="S178" s="39" t="s">
        <v>121</v>
      </c>
      <c r="T178" s="53">
        <v>0.17</v>
      </c>
      <c r="U178" s="53"/>
      <c r="V178" s="54"/>
      <c r="W178" s="37"/>
      <c r="X178" s="54">
        <f>IF(NOTA[[#This Row],[HARGA/ CTN]]="",NOTA[[#This Row],[JUMLAH_H]],NOTA[[#This Row],[HARGA/ CTN]]*IF(NOTA[[#This Row],[C]]="",0,NOTA[[#This Row],[C]]))</f>
        <v>1584000</v>
      </c>
      <c r="Y178" s="54">
        <f>IF(NOTA[[#This Row],[JUMLAH]]="","",NOTA[[#This Row],[JUMLAH]]*NOTA[[#This Row],[DISC 1]])</f>
        <v>269280</v>
      </c>
      <c r="Z178" s="54">
        <f>IF(NOTA[[#This Row],[JUMLAH]]="","",(NOTA[[#This Row],[JUMLAH]]-NOTA[[#This Row],[DISC 1-]])*NOTA[[#This Row],[DISC 2]])</f>
        <v>0</v>
      </c>
      <c r="AA178" s="54">
        <f>IF(NOTA[[#This Row],[JUMLAH]]="","",NOTA[[#This Row],[DISC 1-]]+NOTA[[#This Row],[DISC 2-]])</f>
        <v>269280</v>
      </c>
      <c r="AB178" s="54">
        <f>IF(NOTA[[#This Row],[JUMLAH]]="","",NOTA[[#This Row],[JUMLAH]]-NOTA[[#This Row],[DISC]])</f>
        <v>1314720</v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78" s="54" t="str">
        <f>IF(OR(NOTA[[#This Row],[QTY]]="",NOTA[[#This Row],[HARGA SATUAN]]="",),"",NOTA[[#This Row],[QTY]]*NOTA[[#This Row],[HARGA SATUAN]])</f>
        <v/>
      </c>
      <c r="AG178" s="51">
        <f ca="1">IF(NOTA[ID_H]="","",INDEX(NOTA[TANGGAL],MATCH(,INDIRECT(ADDRESS(ROW(NOTA[TANGGAL]),COLUMN(NOTA[TANGGAL]))&amp;":"&amp;ADDRESS(ROW(),COLUMN(NOTA[TANGGAL]))),-1)))</f>
        <v>44935</v>
      </c>
      <c r="AH178" s="65" t="str">
        <f ca="1">IF(NOTA[[#This Row],[NAMA BARANG]]="","",INDEX(NOTA[SUPPLIER],MATCH(,INDIRECT(ADDRESS(ROW(NOTA[ID]),COLUMN(NOTA[ID]))&amp;":"&amp;ADDRESS(ROW(),COLUMN(NOTA[ID]))),-1)))</f>
        <v>KENKO SINAR INDONESIA</v>
      </c>
      <c r="AI178" s="65" t="str">
        <f ca="1">IF(NOTA[[#This Row],[ID_H]]="","",IF(NOTA[[#This Row],[FAKTUR]]="",INDIRECT(ADDRESS(ROW()-1,COLUMN())),NOTA[[#This Row],[FAKTUR]]))</f>
        <v>ARTO MORO</v>
      </c>
      <c r="AJ178" s="38" t="str">
        <f ca="1">IF(NOTA[[#This Row],[ID]]="","",COUNTIF(NOTA[ID_H],NOTA[[#This Row],[ID_H]]))</f>
        <v/>
      </c>
      <c r="AK178" s="38">
        <f ca="1">IF(NOTA[[#This Row],[TGL.NOTA]]="",IF(NOTA[[#This Row],[SUPPLIER_H]]="","",AK177),MONTH(NOTA[[#This Row],[TGL.NOTA]]))</f>
        <v>1</v>
      </c>
      <c r="AL178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178" s="38" t="str">
        <f>IF(NOTA[C]="",NOTA[[#This Row],[CONCAT1]]&amp;NOTA[[#This Row],[HARGA SATUAN]],NOTA[[#This Row],[CONCAT1]]&amp;NOTA[[#This Row],[HARGA/ CTN_H]]&amp;NOTA[[#This Row],[DISC 1]]&amp;NOTA[[#This Row],[DISC 2]])</f>
        <v>kenkopushpinpn30color15840000.17</v>
      </c>
      <c r="AN178" s="184">
        <f>IF(NOTA[[#This Row],[CONCAT1]]="","",MATCH(NOTA[[#This Row],[CONCAT1]],[1]!db[NB NOTA_C],0)+1)</f>
        <v>1266</v>
      </c>
    </row>
    <row r="179" spans="1:40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Row],[CEK_EXP]]&lt;D178,"err","")</f>
        <v/>
      </c>
      <c r="D179" s="50">
        <f>IF(NOTA[[#This Row],[TANGGAL]]="",D178,NOTA[[#This Row],[TANGGAL]])</f>
        <v>44935</v>
      </c>
      <c r="E179" s="50">
        <f ca="1">IF(NOTA[[#This Row],[NAMA BARANG]]="","",INDEX(NOTA[ID],MATCH(,INDIRECT(ADDRESS(ROW(NOTA[ID]),COLUMN(NOTA[ID]))&amp;":"&amp;ADDRESS(ROW(),COLUMN(NOTA[ID]))),-1)))</f>
        <v>38</v>
      </c>
      <c r="F179" s="23"/>
      <c r="G179" s="26"/>
      <c r="H179" s="26"/>
      <c r="I179" s="31"/>
      <c r="J179" s="26"/>
      <c r="K179" s="51"/>
      <c r="L179" s="26"/>
      <c r="M179" s="26" t="s">
        <v>349</v>
      </c>
      <c r="N179" s="39">
        <v>1</v>
      </c>
      <c r="O179" s="26"/>
      <c r="P179" s="26"/>
      <c r="Q179" s="49"/>
      <c r="R179" s="52">
        <v>1500000</v>
      </c>
      <c r="S179" s="39" t="s">
        <v>361</v>
      </c>
      <c r="T179" s="53">
        <v>0.17</v>
      </c>
      <c r="U179" s="53"/>
      <c r="V179" s="54"/>
      <c r="W179" s="37"/>
      <c r="X179" s="54">
        <f>IF(NOTA[[#This Row],[HARGA/ CTN]]="",NOTA[[#This Row],[JUMLAH_H]],NOTA[[#This Row],[HARGA/ CTN]]*IF(NOTA[[#This Row],[C]]="",0,NOTA[[#This Row],[C]]))</f>
        <v>1500000</v>
      </c>
      <c r="Y179" s="54">
        <f>IF(NOTA[[#This Row],[JUMLAH]]="","",NOTA[[#This Row],[JUMLAH]]*NOTA[[#This Row],[DISC 1]])</f>
        <v>255000.00000000003</v>
      </c>
      <c r="Z179" s="54">
        <f>IF(NOTA[[#This Row],[JUMLAH]]="","",(NOTA[[#This Row],[JUMLAH]]-NOTA[[#This Row],[DISC 1-]])*NOTA[[#This Row],[DISC 2]])</f>
        <v>0</v>
      </c>
      <c r="AA179" s="54">
        <f>IF(NOTA[[#This Row],[JUMLAH]]="","",NOTA[[#This Row],[DISC 1-]]+NOTA[[#This Row],[DISC 2-]])</f>
        <v>255000.00000000003</v>
      </c>
      <c r="AB179" s="54">
        <f>IF(NOTA[[#This Row],[JUMLAH]]="","",NOTA[[#This Row],[JUMLAH]]-NOTA[[#This Row],[DISC]])</f>
        <v>1245000</v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79" s="54" t="str">
        <f>IF(OR(NOTA[[#This Row],[QTY]]="",NOTA[[#This Row],[HARGA SATUAN]]="",),"",NOTA[[#This Row],[QTY]]*NOTA[[#This Row],[HARGA SATUAN]])</f>
        <v/>
      </c>
      <c r="AG179" s="51">
        <f ca="1">IF(NOTA[ID_H]="","",INDEX(NOTA[TANGGAL],MATCH(,INDIRECT(ADDRESS(ROW(NOTA[TANGGAL]),COLUMN(NOTA[TANGGAL]))&amp;":"&amp;ADDRESS(ROW(),COLUMN(NOTA[TANGGAL]))),-1)))</f>
        <v>44935</v>
      </c>
      <c r="AH179" s="65" t="str">
        <f ca="1">IF(NOTA[[#This Row],[NAMA BARANG]]="","",INDEX(NOTA[SUPPLIER],MATCH(,INDIRECT(ADDRESS(ROW(NOTA[ID]),COLUMN(NOTA[ID]))&amp;":"&amp;ADDRESS(ROW(),COLUMN(NOTA[ID]))),-1)))</f>
        <v>KENKO SINAR INDONESIA</v>
      </c>
      <c r="AI179" s="65" t="str">
        <f ca="1">IF(NOTA[[#This Row],[ID_H]]="","",IF(NOTA[[#This Row],[FAKTUR]]="",INDIRECT(ADDRESS(ROW()-1,COLUMN())),NOTA[[#This Row],[FAKTUR]]))</f>
        <v>ARTO MORO</v>
      </c>
      <c r="AJ179" s="38" t="str">
        <f ca="1">IF(NOTA[[#This Row],[ID]]="","",COUNTIF(NOTA[ID_H],NOTA[[#This Row],[ID_H]]))</f>
        <v/>
      </c>
      <c r="AK179" s="38">
        <f ca="1">IF(NOTA[[#This Row],[TGL.NOTA]]="",IF(NOTA[[#This Row],[SUPPLIER_H]]="","",AK178),MONTH(NOTA[[#This Row],[TGL.NOTA]]))</f>
        <v>1</v>
      </c>
      <c r="AL179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179" s="38" t="str">
        <f>IF(NOTA[C]="",NOTA[[#This Row],[CONCAT1]]&amp;NOTA[[#This Row],[HARGA SATUAN]],NOTA[[#This Row],[CONCAT1]]&amp;NOTA[[#This Row],[HARGA/ CTN_H]]&amp;NOTA[[#This Row],[DISC 1]]&amp;NOTA[[#This Row],[DISC 2]])</f>
        <v>kenkoerasererb20sqblack15000000.17</v>
      </c>
      <c r="AN179" s="184">
        <f>IF(NOTA[[#This Row],[CONCAT1]]="","",MATCH(NOTA[[#This Row],[CONCAT1]],[1]!db[NB NOTA_C],0)+1)</f>
        <v>1144</v>
      </c>
    </row>
    <row r="180" spans="1:40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Row],[CEK_EXP]]&lt;D179,"err","")</f>
        <v/>
      </c>
      <c r="D180" s="50">
        <f>IF(NOTA[[#This Row],[TANGGAL]]="",D179,NOTA[[#This Row],[TANGGAL]])</f>
        <v>44935</v>
      </c>
      <c r="E180" s="50">
        <f ca="1">IF(NOTA[[#This Row],[NAMA BARANG]]="","",INDEX(NOTA[ID],MATCH(,INDIRECT(ADDRESS(ROW(NOTA[ID]),COLUMN(NOTA[ID]))&amp;":"&amp;ADDRESS(ROW(),COLUMN(NOTA[ID]))),-1)))</f>
        <v>38</v>
      </c>
      <c r="F180" s="23"/>
      <c r="G180" s="26"/>
      <c r="H180" s="26"/>
      <c r="I180" s="31"/>
      <c r="J180" s="26"/>
      <c r="K180" s="51"/>
      <c r="L180" s="26"/>
      <c r="M180" s="26" t="s">
        <v>350</v>
      </c>
      <c r="N180" s="39">
        <v>1</v>
      </c>
      <c r="O180" s="26"/>
      <c r="P180" s="26"/>
      <c r="Q180" s="49"/>
      <c r="R180" s="52">
        <v>1375000</v>
      </c>
      <c r="S180" s="39" t="s">
        <v>361</v>
      </c>
      <c r="T180" s="53">
        <v>0.17</v>
      </c>
      <c r="U180" s="53"/>
      <c r="V180" s="54"/>
      <c r="W180" s="37"/>
      <c r="X180" s="54">
        <f>IF(NOTA[[#This Row],[HARGA/ CTN]]="",NOTA[[#This Row],[JUMLAH_H]],NOTA[[#This Row],[HARGA/ CTN]]*IF(NOTA[[#This Row],[C]]="",0,NOTA[[#This Row],[C]]))</f>
        <v>1375000</v>
      </c>
      <c r="Y180" s="54">
        <f>IF(NOTA[[#This Row],[JUMLAH]]="","",NOTA[[#This Row],[JUMLAH]]*NOTA[[#This Row],[DISC 1]])</f>
        <v>233750.00000000003</v>
      </c>
      <c r="Z180" s="54">
        <f>IF(NOTA[[#This Row],[JUMLAH]]="","",(NOTA[[#This Row],[JUMLAH]]-NOTA[[#This Row],[DISC 1-]])*NOTA[[#This Row],[DISC 2]])</f>
        <v>0</v>
      </c>
      <c r="AA180" s="54">
        <f>IF(NOTA[[#This Row],[JUMLAH]]="","",NOTA[[#This Row],[DISC 1-]]+NOTA[[#This Row],[DISC 2-]])</f>
        <v>233750.00000000003</v>
      </c>
      <c r="AB180" s="54">
        <f>IF(NOTA[[#This Row],[JUMLAH]]="","",NOTA[[#This Row],[JUMLAH]]-NOTA[[#This Row],[DISC]])</f>
        <v>1141250</v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180" s="54" t="str">
        <f>IF(OR(NOTA[[#This Row],[QTY]]="",NOTA[[#This Row],[HARGA SATUAN]]="",),"",NOTA[[#This Row],[QTY]]*NOTA[[#This Row],[HARGA SATUAN]])</f>
        <v/>
      </c>
      <c r="AG180" s="51">
        <f ca="1">IF(NOTA[ID_H]="","",INDEX(NOTA[TANGGAL],MATCH(,INDIRECT(ADDRESS(ROW(NOTA[TANGGAL]),COLUMN(NOTA[TANGGAL]))&amp;":"&amp;ADDRESS(ROW(),COLUMN(NOTA[TANGGAL]))),-1)))</f>
        <v>44935</v>
      </c>
      <c r="AH180" s="65" t="str">
        <f ca="1">IF(NOTA[[#This Row],[NAMA BARANG]]="","",INDEX(NOTA[SUPPLIER],MATCH(,INDIRECT(ADDRESS(ROW(NOTA[ID]),COLUMN(NOTA[ID]))&amp;":"&amp;ADDRESS(ROW(),COLUMN(NOTA[ID]))),-1)))</f>
        <v>KENKO SINAR INDONESIA</v>
      </c>
      <c r="AI180" s="65" t="str">
        <f ca="1">IF(NOTA[[#This Row],[ID_H]]="","",IF(NOTA[[#This Row],[FAKTUR]]="",INDIRECT(ADDRESS(ROW()-1,COLUMN())),NOTA[[#This Row],[FAKTUR]]))</f>
        <v>ARTO MORO</v>
      </c>
      <c r="AJ180" s="38" t="str">
        <f ca="1">IF(NOTA[[#This Row],[ID]]="","",COUNTIF(NOTA[ID_H],NOTA[[#This Row],[ID_H]]))</f>
        <v/>
      </c>
      <c r="AK180" s="38">
        <f ca="1">IF(NOTA[[#This Row],[TGL.NOTA]]="",IF(NOTA[[#This Row],[SUPPLIER_H]]="","",AK179),MONTH(NOTA[[#This Row],[TGL.NOTA]]))</f>
        <v>1</v>
      </c>
      <c r="AL180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M180" s="38" t="str">
        <f>IF(NOTA[C]="",NOTA[[#This Row],[CONCAT1]]&amp;NOTA[[#This Row],[HARGA SATUAN]],NOTA[[#This Row],[CONCAT1]]&amp;NOTA[[#This Row],[HARGA/ CTN_H]]&amp;NOTA[[#This Row],[DISC 1]]&amp;NOTA[[#This Row],[DISC 2]])</f>
        <v>kenkoerasererb40sqblack13750000.17</v>
      </c>
      <c r="AN180" s="184">
        <f>IF(NOTA[[#This Row],[CONCAT1]]="","",MATCH(NOTA[[#This Row],[CONCAT1]],[1]!db[NB NOTA_C],0)+1)</f>
        <v>1145</v>
      </c>
    </row>
    <row r="181" spans="1:40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Row],[CEK_EXP]]&lt;D180,"err","")</f>
        <v/>
      </c>
      <c r="D181" s="50">
        <f>IF(NOTA[[#This Row],[TANGGAL]]="",D180,NOTA[[#This Row],[TANGGAL]])</f>
        <v>44935</v>
      </c>
      <c r="E181" s="50">
        <f ca="1">IF(NOTA[[#This Row],[NAMA BARANG]]="","",INDEX(NOTA[ID],MATCH(,INDIRECT(ADDRESS(ROW(NOTA[ID]),COLUMN(NOTA[ID]))&amp;":"&amp;ADDRESS(ROW(),COLUMN(NOTA[ID]))),-1)))</f>
        <v>38</v>
      </c>
      <c r="F181" s="23"/>
      <c r="G181" s="26"/>
      <c r="H181" s="26"/>
      <c r="I181" s="31"/>
      <c r="J181" s="26"/>
      <c r="K181" s="51"/>
      <c r="L181" s="26"/>
      <c r="M181" s="26" t="s">
        <v>351</v>
      </c>
      <c r="N181" s="39">
        <v>2</v>
      </c>
      <c r="O181" s="26"/>
      <c r="P181" s="26"/>
      <c r="Q181" s="49"/>
      <c r="R181" s="52">
        <v>1375000</v>
      </c>
      <c r="S181" s="39" t="s">
        <v>361</v>
      </c>
      <c r="T181" s="53">
        <v>0.17</v>
      </c>
      <c r="U181" s="53"/>
      <c r="V181" s="54"/>
      <c r="W181" s="37"/>
      <c r="X181" s="54">
        <f>IF(NOTA[[#This Row],[HARGA/ CTN]]="",NOTA[[#This Row],[JUMLAH_H]],NOTA[[#This Row],[HARGA/ CTN]]*IF(NOTA[[#This Row],[C]]="",0,NOTA[[#This Row],[C]]))</f>
        <v>2750000</v>
      </c>
      <c r="Y181" s="54">
        <f>IF(NOTA[[#This Row],[JUMLAH]]="","",NOTA[[#This Row],[JUMLAH]]*NOTA[[#This Row],[DISC 1]])</f>
        <v>467500.00000000006</v>
      </c>
      <c r="Z181" s="54">
        <f>IF(NOTA[[#This Row],[JUMLAH]]="","",(NOTA[[#This Row],[JUMLAH]]-NOTA[[#This Row],[DISC 1-]])*NOTA[[#This Row],[DISC 2]])</f>
        <v>0</v>
      </c>
      <c r="AA181" s="54">
        <f>IF(NOTA[[#This Row],[JUMLAH]]="","",NOTA[[#This Row],[DISC 1-]]+NOTA[[#This Row],[DISC 2-]])</f>
        <v>467500.00000000006</v>
      </c>
      <c r="AB181" s="54">
        <f>IF(NOTA[[#This Row],[JUMLAH]]="","",NOTA[[#This Row],[JUMLAH]]-NOTA[[#This Row],[DISC]])</f>
        <v>2282500</v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181" s="54" t="str">
        <f>IF(OR(NOTA[[#This Row],[QTY]]="",NOTA[[#This Row],[HARGA SATUAN]]="",),"",NOTA[[#This Row],[QTY]]*NOTA[[#This Row],[HARGA SATUAN]])</f>
        <v/>
      </c>
      <c r="AG181" s="51">
        <f ca="1">IF(NOTA[ID_H]="","",INDEX(NOTA[TANGGAL],MATCH(,INDIRECT(ADDRESS(ROW(NOTA[TANGGAL]),COLUMN(NOTA[TANGGAL]))&amp;":"&amp;ADDRESS(ROW(),COLUMN(NOTA[TANGGAL]))),-1)))</f>
        <v>44935</v>
      </c>
      <c r="AH181" s="65" t="str">
        <f ca="1">IF(NOTA[[#This Row],[NAMA BARANG]]="","",INDEX(NOTA[SUPPLIER],MATCH(,INDIRECT(ADDRESS(ROW(NOTA[ID]),COLUMN(NOTA[ID]))&amp;":"&amp;ADDRESS(ROW(),COLUMN(NOTA[ID]))),-1)))</f>
        <v>KENKO SINAR INDONESIA</v>
      </c>
      <c r="AI181" s="65" t="str">
        <f ca="1">IF(NOTA[[#This Row],[ID_H]]="","",IF(NOTA[[#This Row],[FAKTUR]]="",INDIRECT(ADDRESS(ROW()-1,COLUMN())),NOTA[[#This Row],[FAKTUR]]))</f>
        <v>ARTO MORO</v>
      </c>
      <c r="AJ181" s="38" t="str">
        <f ca="1">IF(NOTA[[#This Row],[ID]]="","",COUNTIF(NOTA[ID_H],NOTA[[#This Row],[ID_H]]))</f>
        <v/>
      </c>
      <c r="AK181" s="38">
        <f ca="1">IF(NOTA[[#This Row],[TGL.NOTA]]="",IF(NOTA[[#This Row],[SUPPLIER_H]]="","",AK180),MONTH(NOTA[[#This Row],[TGL.NOTA]]))</f>
        <v>1</v>
      </c>
      <c r="AL181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181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N181" s="184">
        <f>IF(NOTA[[#This Row],[CONCAT1]]="","",MATCH(NOTA[[#This Row],[CONCAT1]],[1]!db[NB NOTA_C],0)+1)</f>
        <v>1146</v>
      </c>
    </row>
    <row r="182" spans="1:40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Row],[CEK_EXP]]&lt;D181,"err","")</f>
        <v/>
      </c>
      <c r="D182" s="50">
        <f>IF(NOTA[[#This Row],[TANGGAL]]="",D181,NOTA[[#This Row],[TANGGAL]])</f>
        <v>44935</v>
      </c>
      <c r="E182" s="50">
        <f ca="1">IF(NOTA[[#This Row],[NAMA BARANG]]="","",INDEX(NOTA[ID],MATCH(,INDIRECT(ADDRESS(ROW(NOTA[ID]),COLUMN(NOTA[ID]))&amp;":"&amp;ADDRESS(ROW(),COLUMN(NOTA[ID]))),-1)))</f>
        <v>38</v>
      </c>
      <c r="F182" s="23"/>
      <c r="G182" s="26"/>
      <c r="H182" s="26"/>
      <c r="I182" s="31"/>
      <c r="J182" s="26"/>
      <c r="K182" s="51"/>
      <c r="L182" s="26"/>
      <c r="M182" s="26" t="s">
        <v>337</v>
      </c>
      <c r="N182" s="39">
        <v>1</v>
      </c>
      <c r="O182" s="26"/>
      <c r="P182" s="26"/>
      <c r="Q182" s="49"/>
      <c r="R182" s="52">
        <v>800000</v>
      </c>
      <c r="S182" s="39" t="s">
        <v>362</v>
      </c>
      <c r="T182" s="53">
        <v>0.17</v>
      </c>
      <c r="U182" s="53"/>
      <c r="V182" s="54"/>
      <c r="W182" s="37"/>
      <c r="X182" s="54">
        <f>IF(NOTA[[#This Row],[HARGA/ CTN]]="",NOTA[[#This Row],[JUMLAH_H]],NOTA[[#This Row],[HARGA/ CTN]]*IF(NOTA[[#This Row],[C]]="",0,NOTA[[#This Row],[C]]))</f>
        <v>800000</v>
      </c>
      <c r="Y182" s="54">
        <f>IF(NOTA[[#This Row],[JUMLAH]]="","",NOTA[[#This Row],[JUMLAH]]*NOTA[[#This Row],[DISC 1]])</f>
        <v>136000</v>
      </c>
      <c r="Z182" s="54">
        <f>IF(NOTA[[#This Row],[JUMLAH]]="","",(NOTA[[#This Row],[JUMLAH]]-NOTA[[#This Row],[DISC 1-]])*NOTA[[#This Row],[DISC 2]])</f>
        <v>0</v>
      </c>
      <c r="AA182" s="54">
        <f>IF(NOTA[[#This Row],[JUMLAH]]="","",NOTA[[#This Row],[DISC 1-]]+NOTA[[#This Row],[DISC 2-]])</f>
        <v>136000</v>
      </c>
      <c r="AB182" s="54">
        <f>IF(NOTA[[#This Row],[JUMLAH]]="","",NOTA[[#This Row],[JUMLAH]]-NOTA[[#This Row],[DISC]])</f>
        <v>664000</v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182" s="54" t="str">
        <f>IF(OR(NOTA[[#This Row],[QTY]]="",NOTA[[#This Row],[HARGA SATUAN]]="",),"",NOTA[[#This Row],[QTY]]*NOTA[[#This Row],[HARGA SATUAN]])</f>
        <v/>
      </c>
      <c r="AG182" s="51">
        <f ca="1">IF(NOTA[ID_H]="","",INDEX(NOTA[TANGGAL],MATCH(,INDIRECT(ADDRESS(ROW(NOTA[TANGGAL]),COLUMN(NOTA[TANGGAL]))&amp;":"&amp;ADDRESS(ROW(),COLUMN(NOTA[TANGGAL]))),-1)))</f>
        <v>44935</v>
      </c>
      <c r="AH182" s="65" t="str">
        <f ca="1">IF(NOTA[[#This Row],[NAMA BARANG]]="","",INDEX(NOTA[SUPPLIER],MATCH(,INDIRECT(ADDRESS(ROW(NOTA[ID]),COLUMN(NOTA[ID]))&amp;":"&amp;ADDRESS(ROW(),COLUMN(NOTA[ID]))),-1)))</f>
        <v>KENKO SINAR INDONESIA</v>
      </c>
      <c r="AI182" s="65" t="str">
        <f ca="1">IF(NOTA[[#This Row],[ID_H]]="","",IF(NOTA[[#This Row],[FAKTUR]]="",INDIRECT(ADDRESS(ROW()-1,COLUMN())),NOTA[[#This Row],[FAKTUR]]))</f>
        <v>ARTO MORO</v>
      </c>
      <c r="AJ182" s="38" t="str">
        <f ca="1">IF(NOTA[[#This Row],[ID]]="","",COUNTIF(NOTA[ID_H],NOTA[[#This Row],[ID_H]]))</f>
        <v/>
      </c>
      <c r="AK182" s="38">
        <f ca="1">IF(NOTA[[#This Row],[TGL.NOTA]]="",IF(NOTA[[#This Row],[SUPPLIER_H]]="","",AK181),MONTH(NOTA[[#This Row],[TGL.NOTA]]))</f>
        <v>1</v>
      </c>
      <c r="AL182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182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N182" s="184">
        <f>IF(NOTA[[#This Row],[CONCAT1]]="","",MATCH(NOTA[[#This Row],[CONCAT1]],[1]!db[NB NOTA_C],0)+1)</f>
        <v>1312</v>
      </c>
    </row>
    <row r="183" spans="1:40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Row],[CEK_EXP]]&lt;D182,"err","")</f>
        <v/>
      </c>
      <c r="D183" s="50">
        <f>IF(NOTA[[#This Row],[TANGGAL]]="",D182,NOTA[[#This Row],[TANGGAL]])</f>
        <v>44935</v>
      </c>
      <c r="E183" s="50">
        <f ca="1">IF(NOTA[[#This Row],[NAMA BARANG]]="","",INDEX(NOTA[ID],MATCH(,INDIRECT(ADDRESS(ROW(NOTA[ID]),COLUMN(NOTA[ID]))&amp;":"&amp;ADDRESS(ROW(),COLUMN(NOTA[ID]))),-1)))</f>
        <v>38</v>
      </c>
      <c r="F183" s="23"/>
      <c r="G183" s="26"/>
      <c r="H183" s="26"/>
      <c r="I183" s="31"/>
      <c r="J183" s="26"/>
      <c r="K183" s="51"/>
      <c r="L183" s="26"/>
      <c r="M183" s="26" t="s">
        <v>414</v>
      </c>
      <c r="N183" s="39">
        <v>1</v>
      </c>
      <c r="O183" s="26"/>
      <c r="P183" s="26"/>
      <c r="Q183" s="49"/>
      <c r="R183" s="52">
        <v>860000</v>
      </c>
      <c r="S183" s="39" t="s">
        <v>363</v>
      </c>
      <c r="T183" s="53">
        <v>0.17</v>
      </c>
      <c r="U183" s="53"/>
      <c r="V183" s="54"/>
      <c r="W183" s="37"/>
      <c r="X183" s="54">
        <f>IF(NOTA[[#This Row],[HARGA/ CTN]]="",NOTA[[#This Row],[JUMLAH_H]],NOTA[[#This Row],[HARGA/ CTN]]*IF(NOTA[[#This Row],[C]]="",0,NOTA[[#This Row],[C]]))</f>
        <v>860000</v>
      </c>
      <c r="Y183" s="54">
        <f>IF(NOTA[[#This Row],[JUMLAH]]="","",NOTA[[#This Row],[JUMLAH]]*NOTA[[#This Row],[DISC 1]])</f>
        <v>146200</v>
      </c>
      <c r="Z183" s="54">
        <f>IF(NOTA[[#This Row],[JUMLAH]]="","",(NOTA[[#This Row],[JUMLAH]]-NOTA[[#This Row],[DISC 1-]])*NOTA[[#This Row],[DISC 2]])</f>
        <v>0</v>
      </c>
      <c r="AA183" s="54">
        <f>IF(NOTA[[#This Row],[JUMLAH]]="","",NOTA[[#This Row],[DISC 1-]]+NOTA[[#This Row],[DISC 2-]])</f>
        <v>146200</v>
      </c>
      <c r="AB183" s="54">
        <f>IF(NOTA[[#This Row],[JUMLAH]]="","",NOTA[[#This Row],[JUMLAH]]-NOTA[[#This Row],[DISC]])</f>
        <v>713800</v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183" s="54" t="str">
        <f>IF(OR(NOTA[[#This Row],[QTY]]="",NOTA[[#This Row],[HARGA SATUAN]]="",),"",NOTA[[#This Row],[QTY]]*NOTA[[#This Row],[HARGA SATUAN]])</f>
        <v/>
      </c>
      <c r="AG183" s="51">
        <f ca="1">IF(NOTA[ID_H]="","",INDEX(NOTA[TANGGAL],MATCH(,INDIRECT(ADDRESS(ROW(NOTA[TANGGAL]),COLUMN(NOTA[TANGGAL]))&amp;":"&amp;ADDRESS(ROW(),COLUMN(NOTA[TANGGAL]))),-1)))</f>
        <v>44935</v>
      </c>
      <c r="AH183" s="65" t="str">
        <f ca="1">IF(NOTA[[#This Row],[NAMA BARANG]]="","",INDEX(NOTA[SUPPLIER],MATCH(,INDIRECT(ADDRESS(ROW(NOTA[ID]),COLUMN(NOTA[ID]))&amp;":"&amp;ADDRESS(ROW(),COLUMN(NOTA[ID]))),-1)))</f>
        <v>KENKO SINAR INDONESIA</v>
      </c>
      <c r="AI183" s="65" t="str">
        <f ca="1">IF(NOTA[[#This Row],[ID_H]]="","",IF(NOTA[[#This Row],[FAKTUR]]="",INDIRECT(ADDRESS(ROW()-1,COLUMN())),NOTA[[#This Row],[FAKTUR]]))</f>
        <v>ARTO MORO</v>
      </c>
      <c r="AJ183" s="38" t="str">
        <f ca="1">IF(NOTA[[#This Row],[ID]]="","",COUNTIF(NOTA[ID_H],NOTA[[#This Row],[ID_H]]))</f>
        <v/>
      </c>
      <c r="AK183" s="38">
        <f ca="1">IF(NOTA[[#This Row],[TGL.NOTA]]="",IF(NOTA[[#This Row],[SUPPLIER_H]]="","",AK182),MONTH(NOTA[[#This Row],[TGL.NOTA]]))</f>
        <v>1</v>
      </c>
      <c r="AL183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183" s="38" t="str">
        <f>IF(NOTA[C]="",NOTA[[#This Row],[CONCAT1]]&amp;NOTA[[#This Row],[HARGA SATUAN]],NOTA[[#This Row],[CONCAT1]]&amp;NOTA[[#This Row],[HARGA/ CTN_H]]&amp;NOTA[[#This Row],[DISC 1]]&amp;NOTA[[#This Row],[DISC 2]])</f>
        <v>kenkojumboclipno58600000.17</v>
      </c>
      <c r="AN183" s="184">
        <f>IF(NOTA[[#This Row],[CONCAT1]]="","",MATCH(NOTA[[#This Row],[CONCAT1]],[1]!db[NB NOTA_C],0)+1)</f>
        <v>1210</v>
      </c>
    </row>
    <row r="184" spans="1:40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Row],[CEK_EXP]]&lt;D183,"err","")</f>
        <v/>
      </c>
      <c r="D184" s="50">
        <f>IF(NOTA[[#This Row],[TANGGAL]]="",D183,NOTA[[#This Row],[TANGGAL]])</f>
        <v>44935</v>
      </c>
      <c r="E184" s="50">
        <f ca="1">IF(NOTA[[#This Row],[NAMA BARANG]]="","",INDEX(NOTA[ID],MATCH(,INDIRECT(ADDRESS(ROW(NOTA[ID]),COLUMN(NOTA[ID]))&amp;":"&amp;ADDRESS(ROW(),COLUMN(NOTA[ID]))),-1)))</f>
        <v>38</v>
      </c>
      <c r="F184" s="23"/>
      <c r="G184" s="26"/>
      <c r="H184" s="26"/>
      <c r="I184" s="31"/>
      <c r="J184" s="26"/>
      <c r="K184" s="51"/>
      <c r="L184" s="26"/>
      <c r="M184" s="26" t="s">
        <v>352</v>
      </c>
      <c r="N184" s="39">
        <v>2</v>
      </c>
      <c r="O184" s="26"/>
      <c r="P184" s="26"/>
      <c r="Q184" s="49"/>
      <c r="R184" s="52">
        <v>1566000</v>
      </c>
      <c r="S184" s="39" t="s">
        <v>364</v>
      </c>
      <c r="T184" s="53">
        <v>0.17</v>
      </c>
      <c r="U184" s="53"/>
      <c r="V184" s="54"/>
      <c r="W184" s="37"/>
      <c r="X184" s="54">
        <f>IF(NOTA[[#This Row],[HARGA/ CTN]]="",NOTA[[#This Row],[JUMLAH_H]],NOTA[[#This Row],[HARGA/ CTN]]*IF(NOTA[[#This Row],[C]]="",0,NOTA[[#This Row],[C]]))</f>
        <v>3132000</v>
      </c>
      <c r="Y184" s="54">
        <f>IF(NOTA[[#This Row],[JUMLAH]]="","",NOTA[[#This Row],[JUMLAH]]*NOTA[[#This Row],[DISC 1]])</f>
        <v>532440</v>
      </c>
      <c r="Z184" s="54">
        <f>IF(NOTA[[#This Row],[JUMLAH]]="","",(NOTA[[#This Row],[JUMLAH]]-NOTA[[#This Row],[DISC 1-]])*NOTA[[#This Row],[DISC 2]])</f>
        <v>0</v>
      </c>
      <c r="AA184" s="54">
        <f>IF(NOTA[[#This Row],[JUMLAH]]="","",NOTA[[#This Row],[DISC 1-]]+NOTA[[#This Row],[DISC 2-]])</f>
        <v>532440</v>
      </c>
      <c r="AB184" s="54">
        <f>IF(NOTA[[#This Row],[JUMLAH]]="","",NOTA[[#This Row],[JUMLAH]]-NOTA[[#This Row],[DISC]])</f>
        <v>2599560</v>
      </c>
      <c r="AC1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3177674</v>
      </c>
      <c r="AD1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15514526</v>
      </c>
      <c r="AE18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184" s="54" t="str">
        <f>IF(OR(NOTA[[#This Row],[QTY]]="",NOTA[[#This Row],[HARGA SATUAN]]="",),"",NOTA[[#This Row],[QTY]]*NOTA[[#This Row],[HARGA SATUAN]])</f>
        <v/>
      </c>
      <c r="AG184" s="51">
        <f ca="1">IF(NOTA[ID_H]="","",INDEX(NOTA[TANGGAL],MATCH(,INDIRECT(ADDRESS(ROW(NOTA[TANGGAL]),COLUMN(NOTA[TANGGAL]))&amp;":"&amp;ADDRESS(ROW(),COLUMN(NOTA[TANGGAL]))),-1)))</f>
        <v>44935</v>
      </c>
      <c r="AH184" s="65" t="str">
        <f ca="1">IF(NOTA[[#This Row],[NAMA BARANG]]="","",INDEX(NOTA[SUPPLIER],MATCH(,INDIRECT(ADDRESS(ROW(NOTA[ID]),COLUMN(NOTA[ID]))&amp;":"&amp;ADDRESS(ROW(),COLUMN(NOTA[ID]))),-1)))</f>
        <v>KENKO SINAR INDONESIA</v>
      </c>
      <c r="AI184" s="65" t="str">
        <f ca="1">IF(NOTA[[#This Row],[ID_H]]="","",IF(NOTA[[#This Row],[FAKTUR]]="",INDIRECT(ADDRESS(ROW()-1,COLUMN())),NOTA[[#This Row],[FAKTUR]]))</f>
        <v>ARTO MORO</v>
      </c>
      <c r="AJ184" s="38" t="str">
        <f ca="1">IF(NOTA[[#This Row],[ID]]="","",COUNTIF(NOTA[ID_H],NOTA[[#This Row],[ID_H]]))</f>
        <v/>
      </c>
      <c r="AK184" s="38">
        <f ca="1">IF(NOTA[[#This Row],[TGL.NOTA]]="",IF(NOTA[[#This Row],[SUPPLIER_H]]="","",AK183),MONTH(NOTA[[#This Row],[TGL.NOTA]]))</f>
        <v>1</v>
      </c>
      <c r="AL184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184" s="38" t="str">
        <f>IF(NOTA[C]="",NOTA[[#This Row],[CONCAT1]]&amp;NOTA[[#This Row],[HARGA SATUAN]],NOTA[[#This Row],[CONCAT1]]&amp;NOTA[[#This Row],[HARGA/ CTN_H]]&amp;NOTA[[#This Row],[DISC 1]]&amp;NOTA[[#This Row],[DISC 2]])</f>
        <v>kenkocutterk2009mmblade15660000.17</v>
      </c>
      <c r="AN184" s="184">
        <f>IF(NOTA[[#This Row],[CONCAT1]]="","",MATCH(NOTA[[#This Row],[CONCAT1]],[1]!db[NB NOTA_C],0)+1)</f>
        <v>1134</v>
      </c>
    </row>
    <row r="185" spans="1:40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Row],[CEK_EXP]]&lt;D184,"err","")</f>
        <v/>
      </c>
      <c r="D185" s="50">
        <f>IF(NOTA[[#This Row],[TANGGAL]]="",D184,NOTA[[#This Row],[TANGGAL]])</f>
        <v>44935</v>
      </c>
      <c r="E185" s="50" t="str">
        <f ca="1">IF(NOTA[[#This Row],[NAMA BARANG]]="","",INDEX(NOTA[ID],MATCH(,INDIRECT(ADDRESS(ROW(NOTA[ID]),COLUMN(NOTA[ID]))&amp;":"&amp;ADDRESS(ROW(),COLUMN(NOTA[ID]))),-1)))</f>
        <v/>
      </c>
      <c r="F185" s="23"/>
      <c r="G185" s="26"/>
      <c r="H185" s="26"/>
      <c r="I185" s="31"/>
      <c r="J185" s="26"/>
      <c r="K185" s="51"/>
      <c r="L185" s="26"/>
      <c r="M185" s="26"/>
      <c r="N185" s="39"/>
      <c r="O185" s="26"/>
      <c r="P185" s="26"/>
      <c r="Q185" s="49"/>
      <c r="R185" s="52"/>
      <c r="S185" s="39"/>
      <c r="T185" s="53"/>
      <c r="U185" s="53"/>
      <c r="V185" s="54"/>
      <c r="W185" s="37"/>
      <c r="X185" s="54" t="str">
        <f>IF(NOTA[[#This Row],[HARGA/ CTN]]="",NOTA[[#This Row],[JUMLAH_H]],NOTA[[#This Row],[HARGA/ CTN]]*IF(NOTA[[#This Row],[C]]="",0,NOTA[[#This Row],[C]]))</f>
        <v/>
      </c>
      <c r="Y185" s="54" t="str">
        <f>IF(NOTA[[#This Row],[JUMLAH]]="","",NOTA[[#This Row],[JUMLAH]]*NOTA[[#This Row],[DISC 1]])</f>
        <v/>
      </c>
      <c r="Z185" s="54" t="str">
        <f>IF(NOTA[[#This Row],[JUMLAH]]="","",(NOTA[[#This Row],[JUMLAH]]-NOTA[[#This Row],[DISC 1-]])*NOTA[[#This Row],[DISC 2]])</f>
        <v/>
      </c>
      <c r="AA185" s="54" t="str">
        <f>IF(NOTA[[#This Row],[JUMLAH]]="","",NOTA[[#This Row],[DISC 1-]]+NOTA[[#This Row],[DISC 2-]])</f>
        <v/>
      </c>
      <c r="AB185" s="54" t="str">
        <f>IF(NOTA[[#This Row],[JUMLAH]]="","",NOTA[[#This Row],[JUMLAH]]-NOTA[[#This Row],[DISC]])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5" s="54" t="str">
        <f>IF(OR(NOTA[[#This Row],[QTY]]="",NOTA[[#This Row],[HARGA SATUAN]]="",),"",NOTA[[#This Row],[QTY]]*NOTA[[#This Row],[HARGA SATUAN]])</f>
        <v/>
      </c>
      <c r="AG185" s="51" t="str">
        <f ca="1">IF(NOTA[ID_H]="","",INDEX(NOTA[TANGGAL],MATCH(,INDIRECT(ADDRESS(ROW(NOTA[TANGGAL]),COLUMN(NOTA[TANGGAL]))&amp;":"&amp;ADDRESS(ROW(),COLUMN(NOTA[TANGGAL]))),-1)))</f>
        <v/>
      </c>
      <c r="AH185" s="65" t="str">
        <f ca="1">IF(NOTA[[#This Row],[NAMA BARANG]]="","",INDEX(NOTA[SUPPLIER],MATCH(,INDIRECT(ADDRESS(ROW(NOTA[ID]),COLUMN(NOTA[ID]))&amp;":"&amp;ADDRESS(ROW(),COLUMN(NOTA[ID]))),-1)))</f>
        <v/>
      </c>
      <c r="AI185" s="65" t="str">
        <f ca="1">IF(NOTA[[#This Row],[ID_H]]="","",IF(NOTA[[#This Row],[FAKTUR]]="",INDIRECT(ADDRESS(ROW()-1,COLUMN())),NOTA[[#This Row],[FAKTUR]]))</f>
        <v/>
      </c>
      <c r="AJ185" s="38" t="str">
        <f ca="1">IF(NOTA[[#This Row],[ID]]="","",COUNTIF(NOTA[ID_H],NOTA[[#This Row],[ID_H]]))</f>
        <v/>
      </c>
      <c r="AK185" s="38" t="str">
        <f ca="1">IF(NOTA[[#This Row],[TGL.NOTA]]="",IF(NOTA[[#This Row],[SUPPLIER_H]]="","",AK184),MONTH(NOTA[[#This Row],[TGL.NOTA]]))</f>
        <v/>
      </c>
      <c r="AL185" s="38" t="str">
        <f>LOWER(SUBSTITUTE(SUBSTITUTE(SUBSTITUTE(SUBSTITUTE(SUBSTITUTE(SUBSTITUTE(SUBSTITUTE(SUBSTITUTE(SUBSTITUTE(NOTA[NAMA BARANG]," ",),".",""),"-",""),"(",""),")",""),",",""),"/",""),"""",""),"+",""))</f>
        <v/>
      </c>
      <c r="AM185" s="38" t="str">
        <f>IF(NOTA[C]="",NOTA[[#This Row],[CONCAT1]]&amp;NOTA[[#This Row],[HARGA SATUAN]],NOTA[[#This Row],[CONCAT1]]&amp;NOTA[[#This Row],[HARGA/ CTN_H]]&amp;NOTA[[#This Row],[DISC 1]]&amp;NOTA[[#This Row],[DISC 2]])</f>
        <v/>
      </c>
      <c r="AN185" s="184" t="str">
        <f>IF(NOTA[[#This Row],[CONCAT1]]="","",MATCH(NOTA[[#This Row],[CONCAT1]],[1]!db[NB NOTA_C],0)+1)</f>
        <v/>
      </c>
    </row>
    <row r="186" spans="1:40" ht="20.100000000000001" customHeight="1" x14ac:dyDescent="0.25">
      <c r="A186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18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KEN_0901_462-10</v>
      </c>
      <c r="C186" s="50" t="str">
        <f>IF(NOTA[[#This Row],[CEK_EXP]]&lt;D185,"err","")</f>
        <v/>
      </c>
      <c r="D186" s="50">
        <f>IF(NOTA[[#This Row],[TANGGAL]]="",D185,NOTA[[#This Row],[TANGGAL]])</f>
        <v>44935</v>
      </c>
      <c r="E186" s="50">
        <f ca="1">IF(NOTA[[#This Row],[NAMA BARANG]]="","",INDEX(NOTA[ID],MATCH(,INDIRECT(ADDRESS(ROW(NOTA[ID]),COLUMN(NOTA[ID]))&amp;":"&amp;ADDRESS(ROW(),COLUMN(NOTA[ID]))),-1)))</f>
        <v>39</v>
      </c>
      <c r="F186" s="23"/>
      <c r="G186" s="26" t="s">
        <v>23</v>
      </c>
      <c r="H186" s="26" t="s">
        <v>24</v>
      </c>
      <c r="I186" s="31" t="s">
        <v>353</v>
      </c>
      <c r="J186" s="26" t="s">
        <v>371</v>
      </c>
      <c r="K186" s="51">
        <v>44933</v>
      </c>
      <c r="L186" s="26"/>
      <c r="M186" s="26" t="s">
        <v>354</v>
      </c>
      <c r="N186" s="39">
        <v>2</v>
      </c>
      <c r="O186" s="26"/>
      <c r="P186" s="26"/>
      <c r="Q186" s="49"/>
      <c r="R186" s="52">
        <v>1410000</v>
      </c>
      <c r="S186" s="39" t="s">
        <v>365</v>
      </c>
      <c r="T186" s="53">
        <v>0.17</v>
      </c>
      <c r="U186" s="53"/>
      <c r="V186" s="54"/>
      <c r="W186" s="37"/>
      <c r="X186" s="54">
        <f>IF(NOTA[[#This Row],[HARGA/ CTN]]="",NOTA[[#This Row],[JUMLAH_H]],NOTA[[#This Row],[HARGA/ CTN]]*IF(NOTA[[#This Row],[C]]="",0,NOTA[[#This Row],[C]]))</f>
        <v>2820000</v>
      </c>
      <c r="Y186" s="54">
        <f>IF(NOTA[[#This Row],[JUMLAH]]="","",NOTA[[#This Row],[JUMLAH]]*NOTA[[#This Row],[DISC 1]])</f>
        <v>479400.00000000006</v>
      </c>
      <c r="Z186" s="54">
        <f>IF(NOTA[[#This Row],[JUMLAH]]="","",(NOTA[[#This Row],[JUMLAH]]-NOTA[[#This Row],[DISC 1-]])*NOTA[[#This Row],[DISC 2]])</f>
        <v>0</v>
      </c>
      <c r="AA186" s="54">
        <f>IF(NOTA[[#This Row],[JUMLAH]]="","",NOTA[[#This Row],[DISC 1-]]+NOTA[[#This Row],[DISC 2-]])</f>
        <v>479400.00000000006</v>
      </c>
      <c r="AB186" s="54">
        <f>IF(NOTA[[#This Row],[JUMLAH]]="","",NOTA[[#This Row],[JUMLAH]]-NOTA[[#This Row],[DISC]])</f>
        <v>2340600</v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186" s="54" t="str">
        <f>IF(OR(NOTA[[#This Row],[QTY]]="",NOTA[[#This Row],[HARGA SATUAN]]="",),"",NOTA[[#This Row],[QTY]]*NOTA[[#This Row],[HARGA SATUAN]])</f>
        <v/>
      </c>
      <c r="AG186" s="51">
        <f ca="1">IF(NOTA[ID_H]="","",INDEX(NOTA[TANGGAL],MATCH(,INDIRECT(ADDRESS(ROW(NOTA[TANGGAL]),COLUMN(NOTA[TANGGAL]))&amp;":"&amp;ADDRESS(ROW(),COLUMN(NOTA[TANGGAL]))),-1)))</f>
        <v>44935</v>
      </c>
      <c r="AH186" s="65" t="str">
        <f ca="1">IF(NOTA[[#This Row],[NAMA BARANG]]="","",INDEX(NOTA[SUPPLIER],MATCH(,INDIRECT(ADDRESS(ROW(NOTA[ID]),COLUMN(NOTA[ID]))&amp;":"&amp;ADDRESS(ROW(),COLUMN(NOTA[ID]))),-1)))</f>
        <v>KENKO SINAR INDONESIA</v>
      </c>
      <c r="AI186" s="65" t="str">
        <f ca="1">IF(NOTA[[#This Row],[ID_H]]="","",IF(NOTA[[#This Row],[FAKTUR]]="",INDIRECT(ADDRESS(ROW()-1,COLUMN())),NOTA[[#This Row],[FAKTUR]]))</f>
        <v>ARTO MORO</v>
      </c>
      <c r="AJ186" s="38">
        <f ca="1">IF(NOTA[[#This Row],[ID]]="","",COUNTIF(NOTA[ID_H],NOTA[[#This Row],[ID_H]]))</f>
        <v>10</v>
      </c>
      <c r="AK186" s="38">
        <f>IF(NOTA[[#This Row],[TGL.NOTA]]="",IF(NOTA[[#This Row],[SUPPLIER_H]]="","",AK185),MONTH(NOTA[[#This Row],[TGL.NOTA]]))</f>
        <v>1</v>
      </c>
      <c r="AL186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M186" s="38" t="str">
        <f>IF(NOTA[C]="",NOTA[[#This Row],[CONCAT1]]&amp;NOTA[[#This Row],[HARGA SATUAN]],NOTA[[#This Row],[CONCAT1]]&amp;NOTA[[#This Row],[HARGA/ CTN_H]]&amp;NOTA[[#This Row],[DISC 1]]&amp;NOTA[[#This Row],[DISC 2]])</f>
        <v>kenkoscissorsc82814100000.17</v>
      </c>
      <c r="AN186" s="184">
        <f>IF(NOTA[[#This Row],[CONCAT1]]="","",MATCH(NOTA[[#This Row],[CONCAT1]],[1]!db[NB NOTA_C],0)+1)</f>
        <v>1268</v>
      </c>
    </row>
    <row r="187" spans="1:40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Row],[CEK_EXP]]&lt;D186,"err","")</f>
        <v/>
      </c>
      <c r="D187" s="50">
        <f>IF(NOTA[[#This Row],[TANGGAL]]="",D186,NOTA[[#This Row],[TANGGAL]])</f>
        <v>44935</v>
      </c>
      <c r="E187" s="50">
        <f ca="1">IF(NOTA[[#This Row],[NAMA BARANG]]="","",INDEX(NOTA[ID],MATCH(,INDIRECT(ADDRESS(ROW(NOTA[ID]),COLUMN(NOTA[ID]))&amp;":"&amp;ADDRESS(ROW(),COLUMN(NOTA[ID]))),-1)))</f>
        <v>39</v>
      </c>
      <c r="F187" s="23"/>
      <c r="G187" s="26"/>
      <c r="H187" s="26"/>
      <c r="I187" s="31"/>
      <c r="J187" s="26"/>
      <c r="K187" s="51"/>
      <c r="L187" s="26"/>
      <c r="M187" s="26" t="s">
        <v>355</v>
      </c>
      <c r="N187" s="39">
        <v>2</v>
      </c>
      <c r="O187" s="26"/>
      <c r="P187" s="26"/>
      <c r="Q187" s="49"/>
      <c r="R187" s="52">
        <v>1995000</v>
      </c>
      <c r="S187" s="39" t="s">
        <v>365</v>
      </c>
      <c r="T187" s="53">
        <v>0.17</v>
      </c>
      <c r="U187" s="53"/>
      <c r="V187" s="54"/>
      <c r="W187" s="37"/>
      <c r="X187" s="54">
        <f>IF(NOTA[[#This Row],[HARGA/ CTN]]="",NOTA[[#This Row],[JUMLAH_H]],NOTA[[#This Row],[HARGA/ CTN]]*IF(NOTA[[#This Row],[C]]="",0,NOTA[[#This Row],[C]]))</f>
        <v>3990000</v>
      </c>
      <c r="Y187" s="54">
        <f>IF(NOTA[[#This Row],[JUMLAH]]="","",NOTA[[#This Row],[JUMLAH]]*NOTA[[#This Row],[DISC 1]])</f>
        <v>678300</v>
      </c>
      <c r="Z187" s="54">
        <f>IF(NOTA[[#This Row],[JUMLAH]]="","",(NOTA[[#This Row],[JUMLAH]]-NOTA[[#This Row],[DISC 1-]])*NOTA[[#This Row],[DISC 2]])</f>
        <v>0</v>
      </c>
      <c r="AA187" s="54">
        <f>IF(NOTA[[#This Row],[JUMLAH]]="","",NOTA[[#This Row],[DISC 1-]]+NOTA[[#This Row],[DISC 2-]])</f>
        <v>678300</v>
      </c>
      <c r="AB187" s="54">
        <f>IF(NOTA[[#This Row],[JUMLAH]]="","",NOTA[[#This Row],[JUMLAH]]-NOTA[[#This Row],[DISC]])</f>
        <v>3311700</v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87" s="54" t="str">
        <f>IF(OR(NOTA[[#This Row],[QTY]]="",NOTA[[#This Row],[HARGA SATUAN]]="",),"",NOTA[[#This Row],[QTY]]*NOTA[[#This Row],[HARGA SATUAN]])</f>
        <v/>
      </c>
      <c r="AG187" s="51">
        <f ca="1">IF(NOTA[ID_H]="","",INDEX(NOTA[TANGGAL],MATCH(,INDIRECT(ADDRESS(ROW(NOTA[TANGGAL]),COLUMN(NOTA[TANGGAL]))&amp;":"&amp;ADDRESS(ROW(),COLUMN(NOTA[TANGGAL]))),-1)))</f>
        <v>44935</v>
      </c>
      <c r="AH187" s="65" t="str">
        <f ca="1">IF(NOTA[[#This Row],[NAMA BARANG]]="","",INDEX(NOTA[SUPPLIER],MATCH(,INDIRECT(ADDRESS(ROW(NOTA[ID]),COLUMN(NOTA[ID]))&amp;":"&amp;ADDRESS(ROW(),COLUMN(NOTA[ID]))),-1)))</f>
        <v>KENKO SINAR INDONESIA</v>
      </c>
      <c r="AI187" s="65" t="str">
        <f ca="1">IF(NOTA[[#This Row],[ID_H]]="","",IF(NOTA[[#This Row],[FAKTUR]]="",INDIRECT(ADDRESS(ROW()-1,COLUMN())),NOTA[[#This Row],[FAKTUR]]))</f>
        <v>ARTO MORO</v>
      </c>
      <c r="AJ187" s="38" t="str">
        <f ca="1">IF(NOTA[[#This Row],[ID]]="","",COUNTIF(NOTA[ID_H],NOTA[[#This Row],[ID_H]]))</f>
        <v/>
      </c>
      <c r="AK187" s="38">
        <f ca="1">IF(NOTA[[#This Row],[TGL.NOTA]]="",IF(NOTA[[#This Row],[SUPPLIER_H]]="","",AK186),MONTH(NOTA[[#This Row],[TGL.NOTA]]))</f>
        <v>1</v>
      </c>
      <c r="AL18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87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N187" s="184">
        <f>IF(NOTA[[#This Row],[CONCAT1]]="","",MATCH(NOTA[[#This Row],[CONCAT1]],[1]!db[NB NOTA_C],0)+1)</f>
        <v>1269</v>
      </c>
    </row>
    <row r="188" spans="1:40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Row],[CEK_EXP]]&lt;D187,"err","")</f>
        <v/>
      </c>
      <c r="D188" s="50">
        <f>IF(NOTA[[#This Row],[TANGGAL]]="",D187,NOTA[[#This Row],[TANGGAL]])</f>
        <v>44935</v>
      </c>
      <c r="E188" s="50">
        <f ca="1">IF(NOTA[[#This Row],[NAMA BARANG]]="","",INDEX(NOTA[ID],MATCH(,INDIRECT(ADDRESS(ROW(NOTA[ID]),COLUMN(NOTA[ID]))&amp;":"&amp;ADDRESS(ROW(),COLUMN(NOTA[ID]))),-1)))</f>
        <v>39</v>
      </c>
      <c r="F188" s="23"/>
      <c r="G188" s="26"/>
      <c r="H188" s="26"/>
      <c r="I188" s="31"/>
      <c r="J188" s="26"/>
      <c r="K188" s="51"/>
      <c r="L188" s="26"/>
      <c r="M188" s="26" t="s">
        <v>356</v>
      </c>
      <c r="N188" s="39">
        <v>2</v>
      </c>
      <c r="O188" s="26"/>
      <c r="P188" s="26"/>
      <c r="Q188" s="49"/>
      <c r="R188" s="52">
        <v>1188000</v>
      </c>
      <c r="S188" s="39" t="s">
        <v>366</v>
      </c>
      <c r="T188" s="53">
        <v>0.17</v>
      </c>
      <c r="U188" s="53"/>
      <c r="V188" s="54"/>
      <c r="W188" s="37"/>
      <c r="X188" s="54">
        <f>IF(NOTA[[#This Row],[HARGA/ CTN]]="",NOTA[[#This Row],[JUMLAH_H]],NOTA[[#This Row],[HARGA/ CTN]]*IF(NOTA[[#This Row],[C]]="",0,NOTA[[#This Row],[C]]))</f>
        <v>2376000</v>
      </c>
      <c r="Y188" s="54">
        <f>IF(NOTA[[#This Row],[JUMLAH]]="","",NOTA[[#This Row],[JUMLAH]]*NOTA[[#This Row],[DISC 1]])</f>
        <v>403920</v>
      </c>
      <c r="Z188" s="54">
        <f>IF(NOTA[[#This Row],[JUMLAH]]="","",(NOTA[[#This Row],[JUMLAH]]-NOTA[[#This Row],[DISC 1-]])*NOTA[[#This Row],[DISC 2]])</f>
        <v>0</v>
      </c>
      <c r="AA188" s="54">
        <f>IF(NOTA[[#This Row],[JUMLAH]]="","",NOTA[[#This Row],[DISC 1-]]+NOTA[[#This Row],[DISC 2-]])</f>
        <v>403920</v>
      </c>
      <c r="AB188" s="54">
        <f>IF(NOTA[[#This Row],[JUMLAH]]="","",NOTA[[#This Row],[JUMLAH]]-NOTA[[#This Row],[DISC]])</f>
        <v>1972080</v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188" s="54" t="str">
        <f>IF(OR(NOTA[[#This Row],[QTY]]="",NOTA[[#This Row],[HARGA SATUAN]]="",),"",NOTA[[#This Row],[QTY]]*NOTA[[#This Row],[HARGA SATUAN]])</f>
        <v/>
      </c>
      <c r="AG188" s="51">
        <f ca="1">IF(NOTA[ID_H]="","",INDEX(NOTA[TANGGAL],MATCH(,INDIRECT(ADDRESS(ROW(NOTA[TANGGAL]),COLUMN(NOTA[TANGGAL]))&amp;":"&amp;ADDRESS(ROW(),COLUMN(NOTA[TANGGAL]))),-1)))</f>
        <v>44935</v>
      </c>
      <c r="AH188" s="65" t="str">
        <f ca="1">IF(NOTA[[#This Row],[NAMA BARANG]]="","",INDEX(NOTA[SUPPLIER],MATCH(,INDIRECT(ADDRESS(ROW(NOTA[ID]),COLUMN(NOTA[ID]))&amp;":"&amp;ADDRESS(ROW(),COLUMN(NOTA[ID]))),-1)))</f>
        <v>KENKO SINAR INDONESIA</v>
      </c>
      <c r="AI188" s="65" t="str">
        <f ca="1">IF(NOTA[[#This Row],[ID_H]]="","",IF(NOTA[[#This Row],[FAKTUR]]="",INDIRECT(ADDRESS(ROW()-1,COLUMN())),NOTA[[#This Row],[FAKTUR]]))</f>
        <v>ARTO MORO</v>
      </c>
      <c r="AJ188" s="38" t="str">
        <f ca="1">IF(NOTA[[#This Row],[ID]]="","",COUNTIF(NOTA[ID_H],NOTA[[#This Row],[ID_H]]))</f>
        <v/>
      </c>
      <c r="AK188" s="38">
        <f ca="1">IF(NOTA[[#This Row],[TGL.NOTA]]="",IF(NOTA[[#This Row],[SUPPLIER_H]]="","",AK187),MONTH(NOTA[[#This Row],[TGL.NOTA]]))</f>
        <v>1</v>
      </c>
      <c r="AL18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188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N188" s="184">
        <f>IF(NOTA[[#This Row],[CONCAT1]]="","",MATCH(NOTA[[#This Row],[CONCAT1]],[1]!db[NB NOTA_C],0)+1)</f>
        <v>1271</v>
      </c>
    </row>
    <row r="189" spans="1:40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Row],[CEK_EXP]]&lt;D188,"err","")</f>
        <v/>
      </c>
      <c r="D189" s="50">
        <f>IF(NOTA[[#This Row],[TANGGAL]]="",D188,NOTA[[#This Row],[TANGGAL]])</f>
        <v>44935</v>
      </c>
      <c r="E189" s="50">
        <f ca="1">IF(NOTA[[#This Row],[NAMA BARANG]]="","",INDEX(NOTA[ID],MATCH(,INDIRECT(ADDRESS(ROW(NOTA[ID]),COLUMN(NOTA[ID]))&amp;":"&amp;ADDRESS(ROW(),COLUMN(NOTA[ID]))),-1)))</f>
        <v>39</v>
      </c>
      <c r="F189" s="23"/>
      <c r="G189" s="26"/>
      <c r="H189" s="26"/>
      <c r="I189" s="31"/>
      <c r="J189" s="26"/>
      <c r="K189" s="51"/>
      <c r="L189" s="26"/>
      <c r="M189" s="26" t="s">
        <v>357</v>
      </c>
      <c r="N189" s="39">
        <v>2</v>
      </c>
      <c r="O189" s="26"/>
      <c r="P189" s="26"/>
      <c r="Q189" s="49"/>
      <c r="R189" s="52">
        <v>2280000</v>
      </c>
      <c r="S189" s="39" t="s">
        <v>366</v>
      </c>
      <c r="T189" s="53">
        <v>0.17</v>
      </c>
      <c r="U189" s="53"/>
      <c r="V189" s="54"/>
      <c r="W189" s="37"/>
      <c r="X189" s="54">
        <f>IF(NOTA[[#This Row],[HARGA/ CTN]]="",NOTA[[#This Row],[JUMLAH_H]],NOTA[[#This Row],[HARGA/ CTN]]*IF(NOTA[[#This Row],[C]]="",0,NOTA[[#This Row],[C]]))</f>
        <v>4560000</v>
      </c>
      <c r="Y189" s="54">
        <f>IF(NOTA[[#This Row],[JUMLAH]]="","",NOTA[[#This Row],[JUMLAH]]*NOTA[[#This Row],[DISC 1]])</f>
        <v>775200</v>
      </c>
      <c r="Z189" s="54">
        <f>IF(NOTA[[#This Row],[JUMLAH]]="","",(NOTA[[#This Row],[JUMLAH]]-NOTA[[#This Row],[DISC 1-]])*NOTA[[#This Row],[DISC 2]])</f>
        <v>0</v>
      </c>
      <c r="AA189" s="54">
        <f>IF(NOTA[[#This Row],[JUMLAH]]="","",NOTA[[#This Row],[DISC 1-]]+NOTA[[#This Row],[DISC 2-]])</f>
        <v>775200</v>
      </c>
      <c r="AB189" s="54">
        <f>IF(NOTA[[#This Row],[JUMLAH]]="","",NOTA[[#This Row],[JUMLAH]]-NOTA[[#This Row],[DISC]])</f>
        <v>3784800</v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89" s="54" t="str">
        <f>IF(OR(NOTA[[#This Row],[QTY]]="",NOTA[[#This Row],[HARGA SATUAN]]="",),"",NOTA[[#This Row],[QTY]]*NOTA[[#This Row],[HARGA SATUAN]])</f>
        <v/>
      </c>
      <c r="AG189" s="51">
        <f ca="1">IF(NOTA[ID_H]="","",INDEX(NOTA[TANGGAL],MATCH(,INDIRECT(ADDRESS(ROW(NOTA[TANGGAL]),COLUMN(NOTA[TANGGAL]))&amp;":"&amp;ADDRESS(ROW(),COLUMN(NOTA[TANGGAL]))),-1)))</f>
        <v>44935</v>
      </c>
      <c r="AH189" s="65" t="str">
        <f ca="1">IF(NOTA[[#This Row],[NAMA BARANG]]="","",INDEX(NOTA[SUPPLIER],MATCH(,INDIRECT(ADDRESS(ROW(NOTA[ID]),COLUMN(NOTA[ID]))&amp;":"&amp;ADDRESS(ROW(),COLUMN(NOTA[ID]))),-1)))</f>
        <v>KENKO SINAR INDONESIA</v>
      </c>
      <c r="AI189" s="65" t="str">
        <f ca="1">IF(NOTA[[#This Row],[ID_H]]="","",IF(NOTA[[#This Row],[FAKTUR]]="",INDIRECT(ADDRESS(ROW()-1,COLUMN())),NOTA[[#This Row],[FAKTUR]]))</f>
        <v>ARTO MORO</v>
      </c>
      <c r="AJ189" s="38" t="str">
        <f ca="1">IF(NOTA[[#This Row],[ID]]="","",COUNTIF(NOTA[ID_H],NOTA[[#This Row],[ID_H]]))</f>
        <v/>
      </c>
      <c r="AK189" s="38">
        <f ca="1">IF(NOTA[[#This Row],[TGL.NOTA]]="",IF(NOTA[[#This Row],[SUPPLIER_H]]="","",AK188),MONTH(NOTA[[#This Row],[TGL.NOTA]]))</f>
        <v>1</v>
      </c>
      <c r="AL18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189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N189" s="184">
        <f>IF(NOTA[[#This Row],[CONCAT1]]="","",MATCH(NOTA[[#This Row],[CONCAT1]],[1]!db[NB NOTA_C],0)+1)</f>
        <v>1298</v>
      </c>
    </row>
    <row r="190" spans="1:40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Row],[CEK_EXP]]&lt;D189,"err","")</f>
        <v/>
      </c>
      <c r="D190" s="50">
        <f>IF(NOTA[[#This Row],[TANGGAL]]="",D189,NOTA[[#This Row],[TANGGAL]])</f>
        <v>44935</v>
      </c>
      <c r="E190" s="50">
        <f ca="1">IF(NOTA[[#This Row],[NAMA BARANG]]="","",INDEX(NOTA[ID],MATCH(,INDIRECT(ADDRESS(ROW(NOTA[ID]),COLUMN(NOTA[ID]))&amp;":"&amp;ADDRESS(ROW(),COLUMN(NOTA[ID]))),-1)))</f>
        <v>39</v>
      </c>
      <c r="F190" s="23"/>
      <c r="G190" s="26"/>
      <c r="H190" s="26"/>
      <c r="I190" s="31"/>
      <c r="J190" s="26"/>
      <c r="K190" s="51"/>
      <c r="L190" s="26"/>
      <c r="M190" s="26" t="s">
        <v>358</v>
      </c>
      <c r="N190" s="39">
        <v>1</v>
      </c>
      <c r="O190" s="26"/>
      <c r="P190" s="26"/>
      <c r="Q190" s="49"/>
      <c r="R190" s="52">
        <v>504000</v>
      </c>
      <c r="S190" s="39" t="s">
        <v>367</v>
      </c>
      <c r="T190" s="53">
        <v>0.17</v>
      </c>
      <c r="U190" s="53"/>
      <c r="V190" s="54"/>
      <c r="W190" s="37"/>
      <c r="X190" s="54">
        <f>IF(NOTA[[#This Row],[HARGA/ CTN]]="",NOTA[[#This Row],[JUMLAH_H]],NOTA[[#This Row],[HARGA/ CTN]]*IF(NOTA[[#This Row],[C]]="",0,NOTA[[#This Row],[C]]))</f>
        <v>504000</v>
      </c>
      <c r="Y190" s="54">
        <f>IF(NOTA[[#This Row],[JUMLAH]]="","",NOTA[[#This Row],[JUMLAH]]*NOTA[[#This Row],[DISC 1]])</f>
        <v>85680</v>
      </c>
      <c r="Z190" s="54">
        <f>IF(NOTA[[#This Row],[JUMLAH]]="","",(NOTA[[#This Row],[JUMLAH]]-NOTA[[#This Row],[DISC 1-]])*NOTA[[#This Row],[DISC 2]])</f>
        <v>0</v>
      </c>
      <c r="AA190" s="54">
        <f>IF(NOTA[[#This Row],[JUMLAH]]="","",NOTA[[#This Row],[DISC 1-]]+NOTA[[#This Row],[DISC 2-]])</f>
        <v>85680</v>
      </c>
      <c r="AB190" s="54">
        <f>IF(NOTA[[#This Row],[JUMLAH]]="","",NOTA[[#This Row],[JUMLAH]]-NOTA[[#This Row],[DISC]])</f>
        <v>418320</v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90" s="54" t="str">
        <f>IF(OR(NOTA[[#This Row],[QTY]]="",NOTA[[#This Row],[HARGA SATUAN]]="",),"",NOTA[[#This Row],[QTY]]*NOTA[[#This Row],[HARGA SATUAN]])</f>
        <v/>
      </c>
      <c r="AG190" s="51">
        <f ca="1">IF(NOTA[ID_H]="","",INDEX(NOTA[TANGGAL],MATCH(,INDIRECT(ADDRESS(ROW(NOTA[TANGGAL]),COLUMN(NOTA[TANGGAL]))&amp;":"&amp;ADDRESS(ROW(),COLUMN(NOTA[TANGGAL]))),-1)))</f>
        <v>44935</v>
      </c>
      <c r="AH190" s="65" t="str">
        <f ca="1">IF(NOTA[[#This Row],[NAMA BARANG]]="","",INDEX(NOTA[SUPPLIER],MATCH(,INDIRECT(ADDRESS(ROW(NOTA[ID]),COLUMN(NOTA[ID]))&amp;":"&amp;ADDRESS(ROW(),COLUMN(NOTA[ID]))),-1)))</f>
        <v>KENKO SINAR INDONESIA</v>
      </c>
      <c r="AI190" s="65" t="str">
        <f ca="1">IF(NOTA[[#This Row],[ID_H]]="","",IF(NOTA[[#This Row],[FAKTUR]]="",INDIRECT(ADDRESS(ROW()-1,COLUMN())),NOTA[[#This Row],[FAKTUR]]))</f>
        <v>ARTO MORO</v>
      </c>
      <c r="AJ190" s="38" t="str">
        <f ca="1">IF(NOTA[[#This Row],[ID]]="","",COUNTIF(NOTA[ID_H],NOTA[[#This Row],[ID_H]]))</f>
        <v/>
      </c>
      <c r="AK190" s="38">
        <f ca="1">IF(NOTA[[#This Row],[TGL.NOTA]]="",IF(NOTA[[#This Row],[SUPPLIER_H]]="","",AK189),MONTH(NOTA[[#This Row],[TGL.NOTA]]))</f>
        <v>1</v>
      </c>
      <c r="AL190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190" s="38" t="str">
        <f>IF(NOTA[C]="",NOTA[[#This Row],[CONCAT1]]&amp;NOTA[[#This Row],[HARGA SATUAN]],NOTA[[#This Row],[CONCAT1]]&amp;NOTA[[#This Row],[HARGA/ CTN_H]]&amp;NOTA[[#This Row],[DISC 1]]&amp;NOTA[[#This Row],[DISC 2]])</f>
        <v>kenkoheavydutystaplerhd12n135040000.17</v>
      </c>
      <c r="AN190" s="184">
        <f>IF(NOTA[[#This Row],[CONCAT1]]="","",MATCH(NOTA[[#This Row],[CONCAT1]],[1]!db[NB NOTA_C],0)+1)</f>
        <v>1196</v>
      </c>
    </row>
    <row r="191" spans="1:40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Row],[CEK_EXP]]&lt;D190,"err","")</f>
        <v/>
      </c>
      <c r="D191" s="50">
        <f>IF(NOTA[[#This Row],[TANGGAL]]="",D190,NOTA[[#This Row],[TANGGAL]])</f>
        <v>44935</v>
      </c>
      <c r="E191" s="50">
        <f ca="1">IF(NOTA[[#This Row],[NAMA BARANG]]="","",INDEX(NOTA[ID],MATCH(,INDIRECT(ADDRESS(ROW(NOTA[ID]),COLUMN(NOTA[ID]))&amp;":"&amp;ADDRESS(ROW(),COLUMN(NOTA[ID]))),-1)))</f>
        <v>39</v>
      </c>
      <c r="F191" s="23"/>
      <c r="G191" s="26"/>
      <c r="H191" s="26"/>
      <c r="I191" s="31"/>
      <c r="J191" s="26"/>
      <c r="K191" s="51"/>
      <c r="L191" s="26"/>
      <c r="M191" s="26" t="s">
        <v>345</v>
      </c>
      <c r="N191" s="39">
        <v>2</v>
      </c>
      <c r="O191" s="26"/>
      <c r="P191" s="26"/>
      <c r="Q191" s="49"/>
      <c r="R191" s="52">
        <v>1500000</v>
      </c>
      <c r="S191" s="39" t="s">
        <v>368</v>
      </c>
      <c r="T191" s="53">
        <v>0.17</v>
      </c>
      <c r="U191" s="53"/>
      <c r="V191" s="54"/>
      <c r="W191" s="37"/>
      <c r="X191" s="54">
        <f>IF(NOTA[[#This Row],[HARGA/ CTN]]="",NOTA[[#This Row],[JUMLAH_H]],NOTA[[#This Row],[HARGA/ CTN]]*IF(NOTA[[#This Row],[C]]="",0,NOTA[[#This Row],[C]]))</f>
        <v>3000000</v>
      </c>
      <c r="Y191" s="54">
        <f>IF(NOTA[[#This Row],[JUMLAH]]="","",NOTA[[#This Row],[JUMLAH]]*NOTA[[#This Row],[DISC 1]])</f>
        <v>510000.00000000006</v>
      </c>
      <c r="Z191" s="54">
        <f>IF(NOTA[[#This Row],[JUMLAH]]="","",(NOTA[[#This Row],[JUMLAH]]-NOTA[[#This Row],[DISC 1-]])*NOTA[[#This Row],[DISC 2]])</f>
        <v>0</v>
      </c>
      <c r="AA191" s="54">
        <f>IF(NOTA[[#This Row],[JUMLAH]]="","",NOTA[[#This Row],[DISC 1-]]+NOTA[[#This Row],[DISC 2-]])</f>
        <v>510000.00000000006</v>
      </c>
      <c r="AB191" s="54">
        <f>IF(NOTA[[#This Row],[JUMLAH]]="","",NOTA[[#This Row],[JUMLAH]]-NOTA[[#This Row],[DISC]])</f>
        <v>2490000</v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91" s="54" t="str">
        <f>IF(OR(NOTA[[#This Row],[QTY]]="",NOTA[[#This Row],[HARGA SATUAN]]="",),"",NOTA[[#This Row],[QTY]]*NOTA[[#This Row],[HARGA SATUAN]])</f>
        <v/>
      </c>
      <c r="AG191" s="51">
        <f ca="1">IF(NOTA[ID_H]="","",INDEX(NOTA[TANGGAL],MATCH(,INDIRECT(ADDRESS(ROW(NOTA[TANGGAL]),COLUMN(NOTA[TANGGAL]))&amp;":"&amp;ADDRESS(ROW(),COLUMN(NOTA[TANGGAL]))),-1)))</f>
        <v>44935</v>
      </c>
      <c r="AH191" s="65" t="str">
        <f ca="1">IF(NOTA[[#This Row],[NAMA BARANG]]="","",INDEX(NOTA[SUPPLIER],MATCH(,INDIRECT(ADDRESS(ROW(NOTA[ID]),COLUMN(NOTA[ID]))&amp;":"&amp;ADDRESS(ROW(),COLUMN(NOTA[ID]))),-1)))</f>
        <v>KENKO SINAR INDONESIA</v>
      </c>
      <c r="AI191" s="65" t="str">
        <f ca="1">IF(NOTA[[#This Row],[ID_H]]="","",IF(NOTA[[#This Row],[FAKTUR]]="",INDIRECT(ADDRESS(ROW()-1,COLUMN())),NOTA[[#This Row],[FAKTUR]]))</f>
        <v>ARTO MORO</v>
      </c>
      <c r="AJ191" s="38" t="str">
        <f ca="1">IF(NOTA[[#This Row],[ID]]="","",COUNTIF(NOTA[ID_H],NOTA[[#This Row],[ID_H]]))</f>
        <v/>
      </c>
      <c r="AK191" s="38">
        <f ca="1">IF(NOTA[[#This Row],[TGL.NOTA]]="",IF(NOTA[[#This Row],[SUPPLIER_H]]="","",AK190),MONTH(NOTA[[#This Row],[TGL.NOTA]]))</f>
        <v>1</v>
      </c>
      <c r="AL191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191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N191" s="184">
        <f>IF(NOTA[[#This Row],[CONCAT1]]="","",MATCH(NOTA[[#This Row],[CONCAT1]],[1]!db[NB NOTA_C],0)+1)</f>
        <v>1315</v>
      </c>
    </row>
    <row r="192" spans="1:40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Row],[CEK_EXP]]&lt;D191,"err","")</f>
        <v/>
      </c>
      <c r="D192" s="50">
        <f>IF(NOTA[[#This Row],[TANGGAL]]="",D191,NOTA[[#This Row],[TANGGAL]])</f>
        <v>44935</v>
      </c>
      <c r="E192" s="50">
        <f ca="1">IF(NOTA[[#This Row],[NAMA BARANG]]="","",INDEX(NOTA[ID],MATCH(,INDIRECT(ADDRESS(ROW(NOTA[ID]),COLUMN(NOTA[ID]))&amp;":"&amp;ADDRESS(ROW(),COLUMN(NOTA[ID]))),-1)))</f>
        <v>39</v>
      </c>
      <c r="F192" s="23"/>
      <c r="G192" s="26"/>
      <c r="H192" s="26"/>
      <c r="I192" s="31"/>
      <c r="J192" s="26"/>
      <c r="K192" s="51"/>
      <c r="L192" s="26"/>
      <c r="M192" s="26" t="s">
        <v>351</v>
      </c>
      <c r="N192" s="39">
        <v>1</v>
      </c>
      <c r="O192" s="26"/>
      <c r="P192" s="26"/>
      <c r="Q192" s="49"/>
      <c r="R192" s="52">
        <v>1375000</v>
      </c>
      <c r="S192" s="39" t="s">
        <v>368</v>
      </c>
      <c r="T192" s="53">
        <v>0.17</v>
      </c>
      <c r="U192" s="53"/>
      <c r="V192" s="54"/>
      <c r="W192" s="37"/>
      <c r="X192" s="54">
        <f>IF(NOTA[[#This Row],[HARGA/ CTN]]="",NOTA[[#This Row],[JUMLAH_H]],NOTA[[#This Row],[HARGA/ CTN]]*IF(NOTA[[#This Row],[C]]="",0,NOTA[[#This Row],[C]]))</f>
        <v>1375000</v>
      </c>
      <c r="Y192" s="54">
        <f>IF(NOTA[[#This Row],[JUMLAH]]="","",NOTA[[#This Row],[JUMLAH]]*NOTA[[#This Row],[DISC 1]])</f>
        <v>233750.00000000003</v>
      </c>
      <c r="Z192" s="54">
        <f>IF(NOTA[[#This Row],[JUMLAH]]="","",(NOTA[[#This Row],[JUMLAH]]-NOTA[[#This Row],[DISC 1-]])*NOTA[[#This Row],[DISC 2]])</f>
        <v>0</v>
      </c>
      <c r="AA192" s="54">
        <f>IF(NOTA[[#This Row],[JUMLAH]]="","",NOTA[[#This Row],[DISC 1-]]+NOTA[[#This Row],[DISC 2-]])</f>
        <v>233750.00000000003</v>
      </c>
      <c r="AB192" s="54">
        <f>IF(NOTA[[#This Row],[JUMLAH]]="","",NOTA[[#This Row],[JUMLAH]]-NOTA[[#This Row],[DISC]])</f>
        <v>1141250</v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192" s="54" t="str">
        <f>IF(OR(NOTA[[#This Row],[QTY]]="",NOTA[[#This Row],[HARGA SATUAN]]="",),"",NOTA[[#This Row],[QTY]]*NOTA[[#This Row],[HARGA SATUAN]])</f>
        <v/>
      </c>
      <c r="AG192" s="51">
        <f ca="1">IF(NOTA[ID_H]="","",INDEX(NOTA[TANGGAL],MATCH(,INDIRECT(ADDRESS(ROW(NOTA[TANGGAL]),COLUMN(NOTA[TANGGAL]))&amp;":"&amp;ADDRESS(ROW(),COLUMN(NOTA[TANGGAL]))),-1)))</f>
        <v>44935</v>
      </c>
      <c r="AH192" s="65" t="str">
        <f ca="1">IF(NOTA[[#This Row],[NAMA BARANG]]="","",INDEX(NOTA[SUPPLIER],MATCH(,INDIRECT(ADDRESS(ROW(NOTA[ID]),COLUMN(NOTA[ID]))&amp;":"&amp;ADDRESS(ROW(),COLUMN(NOTA[ID]))),-1)))</f>
        <v>KENKO SINAR INDONESIA</v>
      </c>
      <c r="AI192" s="65" t="str">
        <f ca="1">IF(NOTA[[#This Row],[ID_H]]="","",IF(NOTA[[#This Row],[FAKTUR]]="",INDIRECT(ADDRESS(ROW()-1,COLUMN())),NOTA[[#This Row],[FAKTUR]]))</f>
        <v>ARTO MORO</v>
      </c>
      <c r="AJ192" s="38" t="str">
        <f ca="1">IF(NOTA[[#This Row],[ID]]="","",COUNTIF(NOTA[ID_H],NOTA[[#This Row],[ID_H]]))</f>
        <v/>
      </c>
      <c r="AK192" s="38">
        <f ca="1">IF(NOTA[[#This Row],[TGL.NOTA]]="",IF(NOTA[[#This Row],[SUPPLIER_H]]="","",AK191),MONTH(NOTA[[#This Row],[TGL.NOTA]]))</f>
        <v>1</v>
      </c>
      <c r="AL192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192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N192" s="184">
        <f>IF(NOTA[[#This Row],[CONCAT1]]="","",MATCH(NOTA[[#This Row],[CONCAT1]],[1]!db[NB NOTA_C],0)+1)</f>
        <v>1146</v>
      </c>
    </row>
    <row r="193" spans="1:40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Row],[CEK_EXP]]&lt;D192,"err","")</f>
        <v/>
      </c>
      <c r="D193" s="50">
        <f>IF(NOTA[[#This Row],[TANGGAL]]="",D192,NOTA[[#This Row],[TANGGAL]])</f>
        <v>44935</v>
      </c>
      <c r="E193" s="50">
        <f ca="1">IF(NOTA[[#This Row],[NAMA BARANG]]="","",INDEX(NOTA[ID],MATCH(,INDIRECT(ADDRESS(ROW(NOTA[ID]),COLUMN(NOTA[ID]))&amp;":"&amp;ADDRESS(ROW(),COLUMN(NOTA[ID]))),-1)))</f>
        <v>39</v>
      </c>
      <c r="F193" s="23"/>
      <c r="G193" s="26"/>
      <c r="H193" s="26"/>
      <c r="I193" s="31"/>
      <c r="J193" s="26"/>
      <c r="K193" s="51"/>
      <c r="L193" s="26"/>
      <c r="M193" s="26" t="s">
        <v>359</v>
      </c>
      <c r="N193" s="39">
        <v>1</v>
      </c>
      <c r="O193" s="26"/>
      <c r="P193" s="26"/>
      <c r="Q193" s="49"/>
      <c r="R193" s="52">
        <v>741600</v>
      </c>
      <c r="S193" s="39" t="s">
        <v>369</v>
      </c>
      <c r="T193" s="53">
        <v>0.17</v>
      </c>
      <c r="U193" s="53"/>
      <c r="V193" s="54"/>
      <c r="W193" s="37"/>
      <c r="X193" s="54">
        <f>IF(NOTA[[#This Row],[HARGA/ CTN]]="",NOTA[[#This Row],[JUMLAH_H]],NOTA[[#This Row],[HARGA/ CTN]]*IF(NOTA[[#This Row],[C]]="",0,NOTA[[#This Row],[C]]))</f>
        <v>741600</v>
      </c>
      <c r="Y193" s="54">
        <f>IF(NOTA[[#This Row],[JUMLAH]]="","",NOTA[[#This Row],[JUMLAH]]*NOTA[[#This Row],[DISC 1]])</f>
        <v>126072.00000000001</v>
      </c>
      <c r="Z193" s="54">
        <f>IF(NOTA[[#This Row],[JUMLAH]]="","",(NOTA[[#This Row],[JUMLAH]]-NOTA[[#This Row],[DISC 1-]])*NOTA[[#This Row],[DISC 2]])</f>
        <v>0</v>
      </c>
      <c r="AA193" s="54">
        <f>IF(NOTA[[#This Row],[JUMLAH]]="","",NOTA[[#This Row],[DISC 1-]]+NOTA[[#This Row],[DISC 2-]])</f>
        <v>126072.00000000001</v>
      </c>
      <c r="AB193" s="54">
        <f>IF(NOTA[[#This Row],[JUMLAH]]="","",NOTA[[#This Row],[JUMLAH]]-NOTA[[#This Row],[DISC]])</f>
        <v>615528</v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93" s="54" t="str">
        <f>IF(OR(NOTA[[#This Row],[QTY]]="",NOTA[[#This Row],[HARGA SATUAN]]="",),"",NOTA[[#This Row],[QTY]]*NOTA[[#This Row],[HARGA SATUAN]])</f>
        <v/>
      </c>
      <c r="AG193" s="51">
        <f ca="1">IF(NOTA[ID_H]="","",INDEX(NOTA[TANGGAL],MATCH(,INDIRECT(ADDRESS(ROW(NOTA[TANGGAL]),COLUMN(NOTA[TANGGAL]))&amp;":"&amp;ADDRESS(ROW(),COLUMN(NOTA[TANGGAL]))),-1)))</f>
        <v>44935</v>
      </c>
      <c r="AH193" s="65" t="str">
        <f ca="1">IF(NOTA[[#This Row],[NAMA BARANG]]="","",INDEX(NOTA[SUPPLIER],MATCH(,INDIRECT(ADDRESS(ROW(NOTA[ID]),COLUMN(NOTA[ID]))&amp;":"&amp;ADDRESS(ROW(),COLUMN(NOTA[ID]))),-1)))</f>
        <v>KENKO SINAR INDONESIA</v>
      </c>
      <c r="AI193" s="65" t="str">
        <f ca="1">IF(NOTA[[#This Row],[ID_H]]="","",IF(NOTA[[#This Row],[FAKTUR]]="",INDIRECT(ADDRESS(ROW()-1,COLUMN())),NOTA[[#This Row],[FAKTUR]]))</f>
        <v>ARTO MORO</v>
      </c>
      <c r="AJ193" s="38" t="str">
        <f ca="1">IF(NOTA[[#This Row],[ID]]="","",COUNTIF(NOTA[ID_H],NOTA[[#This Row],[ID_H]]))</f>
        <v/>
      </c>
      <c r="AK193" s="38">
        <f ca="1">IF(NOTA[[#This Row],[TGL.NOTA]]="",IF(NOTA[[#This Row],[SUPPLIER_H]]="","",AK192),MONTH(NOTA[[#This Row],[TGL.NOTA]]))</f>
        <v>1</v>
      </c>
      <c r="AL19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93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N193" s="184">
        <f>IF(NOTA[[#This Row],[CONCAT1]]="","",MATCH(NOTA[[#This Row],[CONCAT1]],[1]!db[NB NOTA_C],0)+1)</f>
        <v>1251</v>
      </c>
    </row>
    <row r="194" spans="1:40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Row],[CEK_EXP]]&lt;D193,"err","")</f>
        <v/>
      </c>
      <c r="D194" s="50">
        <f>IF(NOTA[[#This Row],[TANGGAL]]="",D193,NOTA[[#This Row],[TANGGAL]])</f>
        <v>44935</v>
      </c>
      <c r="E194" s="50">
        <f ca="1">IF(NOTA[[#This Row],[NAMA BARANG]]="","",INDEX(NOTA[ID],MATCH(,INDIRECT(ADDRESS(ROW(NOTA[ID]),COLUMN(NOTA[ID]))&amp;":"&amp;ADDRESS(ROW(),COLUMN(NOTA[ID]))),-1)))</f>
        <v>39</v>
      </c>
      <c r="F194" s="23"/>
      <c r="G194" s="26"/>
      <c r="H194" s="26"/>
      <c r="I194" s="31"/>
      <c r="J194" s="26"/>
      <c r="K194" s="51"/>
      <c r="L194" s="26"/>
      <c r="M194" s="26" t="s">
        <v>135</v>
      </c>
      <c r="N194" s="39">
        <v>2</v>
      </c>
      <c r="O194" s="26"/>
      <c r="P194" s="26"/>
      <c r="Q194" s="49"/>
      <c r="R194" s="52">
        <v>462000</v>
      </c>
      <c r="S194" s="39" t="s">
        <v>130</v>
      </c>
      <c r="T194" s="53">
        <v>0.17</v>
      </c>
      <c r="U194" s="53"/>
      <c r="V194" s="54"/>
      <c r="W194" s="37"/>
      <c r="X194" s="54">
        <f>IF(NOTA[[#This Row],[HARGA/ CTN]]="",NOTA[[#This Row],[JUMLAH_H]],NOTA[[#This Row],[HARGA/ CTN]]*IF(NOTA[[#This Row],[C]]="",0,NOTA[[#This Row],[C]]))</f>
        <v>924000</v>
      </c>
      <c r="Y194" s="54">
        <f>IF(NOTA[[#This Row],[JUMLAH]]="","",NOTA[[#This Row],[JUMLAH]]*NOTA[[#This Row],[DISC 1]])</f>
        <v>157080</v>
      </c>
      <c r="Z194" s="54">
        <f>IF(NOTA[[#This Row],[JUMLAH]]="","",(NOTA[[#This Row],[JUMLAH]]-NOTA[[#This Row],[DISC 1-]])*NOTA[[#This Row],[DISC 2]])</f>
        <v>0</v>
      </c>
      <c r="AA194" s="54">
        <f>IF(NOTA[[#This Row],[JUMLAH]]="","",NOTA[[#This Row],[DISC 1-]]+NOTA[[#This Row],[DISC 2-]])</f>
        <v>157080</v>
      </c>
      <c r="AB194" s="54">
        <f>IF(NOTA[[#This Row],[JUMLAH]]="","",NOTA[[#This Row],[JUMLAH]]-NOTA[[#This Row],[DISC]])</f>
        <v>766920</v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194" s="54" t="str">
        <f>IF(OR(NOTA[[#This Row],[QTY]]="",NOTA[[#This Row],[HARGA SATUAN]]="",),"",NOTA[[#This Row],[QTY]]*NOTA[[#This Row],[HARGA SATUAN]])</f>
        <v/>
      </c>
      <c r="AG194" s="51">
        <f ca="1">IF(NOTA[ID_H]="","",INDEX(NOTA[TANGGAL],MATCH(,INDIRECT(ADDRESS(ROW(NOTA[TANGGAL]),COLUMN(NOTA[TANGGAL]))&amp;":"&amp;ADDRESS(ROW(),COLUMN(NOTA[TANGGAL]))),-1)))</f>
        <v>44935</v>
      </c>
      <c r="AH194" s="65" t="str">
        <f ca="1">IF(NOTA[[#This Row],[NAMA BARANG]]="","",INDEX(NOTA[SUPPLIER],MATCH(,INDIRECT(ADDRESS(ROW(NOTA[ID]),COLUMN(NOTA[ID]))&amp;":"&amp;ADDRESS(ROW(),COLUMN(NOTA[ID]))),-1)))</f>
        <v>KENKO SINAR INDONESIA</v>
      </c>
      <c r="AI194" s="65" t="str">
        <f ca="1">IF(NOTA[[#This Row],[ID_H]]="","",IF(NOTA[[#This Row],[FAKTUR]]="",INDIRECT(ADDRESS(ROW()-1,COLUMN())),NOTA[[#This Row],[FAKTUR]]))</f>
        <v>ARTO MORO</v>
      </c>
      <c r="AJ194" s="38" t="str">
        <f ca="1">IF(NOTA[[#This Row],[ID]]="","",COUNTIF(NOTA[ID_H],NOTA[[#This Row],[ID_H]]))</f>
        <v/>
      </c>
      <c r="AK194" s="38">
        <f ca="1">IF(NOTA[[#This Row],[TGL.NOTA]]="",IF(NOTA[[#This Row],[SUPPLIER_H]]="","",AK193),MONTH(NOTA[[#This Row],[TGL.NOTA]]))</f>
        <v>1</v>
      </c>
      <c r="AL19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194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N194" s="184">
        <f>IF(NOTA[[#This Row],[CONCAT1]]="","",MATCH(NOTA[[#This Row],[CONCAT1]],[1]!db[NB NOTA_C],0)+1)</f>
        <v>1307</v>
      </c>
    </row>
    <row r="195" spans="1:40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Row],[CEK_EXP]]&lt;D194,"err","")</f>
        <v/>
      </c>
      <c r="D195" s="50">
        <f>IF(NOTA[[#This Row],[TANGGAL]]="",D194,NOTA[[#This Row],[TANGGAL]])</f>
        <v>44935</v>
      </c>
      <c r="E195" s="50">
        <f ca="1">IF(NOTA[[#This Row],[NAMA BARANG]]="","",INDEX(NOTA[ID],MATCH(,INDIRECT(ADDRESS(ROW(NOTA[ID]),COLUMN(NOTA[ID]))&amp;":"&amp;ADDRESS(ROW(),COLUMN(NOTA[ID]))),-1)))</f>
        <v>39</v>
      </c>
      <c r="F195" s="23"/>
      <c r="G195" s="26"/>
      <c r="H195" s="26"/>
      <c r="I195" s="31"/>
      <c r="J195" s="26"/>
      <c r="K195" s="51"/>
      <c r="L195" s="26"/>
      <c r="M195" s="26" t="s">
        <v>360</v>
      </c>
      <c r="N195" s="39">
        <v>1</v>
      </c>
      <c r="O195" s="26"/>
      <c r="P195" s="26"/>
      <c r="Q195" s="49"/>
      <c r="R195" s="52">
        <v>1476000</v>
      </c>
      <c r="S195" s="39" t="s">
        <v>370</v>
      </c>
      <c r="T195" s="53">
        <v>0.17</v>
      </c>
      <c r="U195" s="53"/>
      <c r="V195" s="54"/>
      <c r="W195" s="37"/>
      <c r="X195" s="54">
        <f>IF(NOTA[[#This Row],[HARGA/ CTN]]="",NOTA[[#This Row],[JUMLAH_H]],NOTA[[#This Row],[HARGA/ CTN]]*IF(NOTA[[#This Row],[C]]="",0,NOTA[[#This Row],[C]]))</f>
        <v>1476000</v>
      </c>
      <c r="Y195" s="54">
        <f>IF(NOTA[[#This Row],[JUMLAH]]="","",NOTA[[#This Row],[JUMLAH]]*NOTA[[#This Row],[DISC 1]])</f>
        <v>250920.00000000003</v>
      </c>
      <c r="Z195" s="54">
        <f>IF(NOTA[[#This Row],[JUMLAH]]="","",(NOTA[[#This Row],[JUMLAH]]-NOTA[[#This Row],[DISC 1-]])*NOTA[[#This Row],[DISC 2]])</f>
        <v>0</v>
      </c>
      <c r="AA195" s="54">
        <f>IF(NOTA[[#This Row],[JUMLAH]]="","",NOTA[[#This Row],[DISC 1-]]+NOTA[[#This Row],[DISC 2-]])</f>
        <v>250920.00000000003</v>
      </c>
      <c r="AB195" s="54">
        <f>IF(NOTA[[#This Row],[JUMLAH]]="","",NOTA[[#This Row],[JUMLAH]]-NOTA[[#This Row],[DISC]])</f>
        <v>1225080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3700322</v>
      </c>
      <c r="AD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18066278</v>
      </c>
      <c r="AE195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95" s="54" t="str">
        <f>IF(OR(NOTA[[#This Row],[QTY]]="",NOTA[[#This Row],[HARGA SATUAN]]="",),"",NOTA[[#This Row],[QTY]]*NOTA[[#This Row],[HARGA SATUAN]])</f>
        <v/>
      </c>
      <c r="AG195" s="51">
        <f ca="1">IF(NOTA[ID_H]="","",INDEX(NOTA[TANGGAL],MATCH(,INDIRECT(ADDRESS(ROW(NOTA[TANGGAL]),COLUMN(NOTA[TANGGAL]))&amp;":"&amp;ADDRESS(ROW(),COLUMN(NOTA[TANGGAL]))),-1)))</f>
        <v>44935</v>
      </c>
      <c r="AH195" s="65" t="str">
        <f ca="1">IF(NOTA[[#This Row],[NAMA BARANG]]="","",INDEX(NOTA[SUPPLIER],MATCH(,INDIRECT(ADDRESS(ROW(NOTA[ID]),COLUMN(NOTA[ID]))&amp;":"&amp;ADDRESS(ROW(),COLUMN(NOTA[ID]))),-1)))</f>
        <v>KENKO SINAR INDONESIA</v>
      </c>
      <c r="AI195" s="65" t="str">
        <f ca="1">IF(NOTA[[#This Row],[ID_H]]="","",IF(NOTA[[#This Row],[FAKTUR]]="",INDIRECT(ADDRESS(ROW()-1,COLUMN())),NOTA[[#This Row],[FAKTUR]]))</f>
        <v>ARTO MORO</v>
      </c>
      <c r="AJ195" s="38" t="str">
        <f ca="1">IF(NOTA[[#This Row],[ID]]="","",COUNTIF(NOTA[ID_H],NOTA[[#This Row],[ID_H]]))</f>
        <v/>
      </c>
      <c r="AK195" s="38">
        <f ca="1">IF(NOTA[[#This Row],[TGL.NOTA]]="",IF(NOTA[[#This Row],[SUPPLIER_H]]="","",AK194),MONTH(NOTA[[#This Row],[TGL.NOTA]]))</f>
        <v>1</v>
      </c>
      <c r="AL195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95" s="38" t="str">
        <f>IF(NOTA[C]="",NOTA[[#This Row],[CONCAT1]]&amp;NOTA[[#This Row],[HARGA SATUAN]],NOTA[[#This Row],[CONCAT1]]&amp;NOTA[[#This Row],[HARGA/ CTN_H]]&amp;NOTA[[#This Row],[DISC 1]]&amp;NOTA[[#This Row],[DISC 2]])</f>
        <v>kenkobinderclipno11114760000.17</v>
      </c>
      <c r="AN195" s="184">
        <f>IF(NOTA[[#This Row],[CONCAT1]]="","",MATCH(NOTA[[#This Row],[CONCAT1]],[1]!db[NB NOTA_C],0)+1)</f>
        <v>1051</v>
      </c>
    </row>
    <row r="196" spans="1:40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Row],[CEK_EXP]]&lt;D195,"err","")</f>
        <v/>
      </c>
      <c r="D196" s="50">
        <f>IF(NOTA[[#This Row],[TANGGAL]]="",D195,NOTA[[#This Row],[TANGGAL]])</f>
        <v>44935</v>
      </c>
      <c r="E196" s="50" t="str">
        <f ca="1">IF(NOTA[[#This Row],[NAMA BARANG]]="","",INDEX(NOTA[ID],MATCH(,INDIRECT(ADDRESS(ROW(NOTA[ID]),COLUMN(NOTA[ID]))&amp;":"&amp;ADDRESS(ROW(),COLUMN(NOTA[ID]))),-1)))</f>
        <v/>
      </c>
      <c r="F196" s="23"/>
      <c r="G196" s="26"/>
      <c r="H196" s="26"/>
      <c r="I196" s="31"/>
      <c r="J196" s="26"/>
      <c r="K196" s="51"/>
      <c r="L196" s="26"/>
      <c r="M196" s="26"/>
      <c r="N196" s="39"/>
      <c r="O196" s="26"/>
      <c r="P196" s="26"/>
      <c r="Q196" s="49"/>
      <c r="R196" s="52"/>
      <c r="S196" s="39"/>
      <c r="T196" s="53"/>
      <c r="U196" s="53"/>
      <c r="V196" s="54"/>
      <c r="W196" s="37"/>
      <c r="X196" s="54" t="str">
        <f>IF(NOTA[[#This Row],[HARGA/ CTN]]="",NOTA[[#This Row],[JUMLAH_H]],NOTA[[#This Row],[HARGA/ CTN]]*IF(NOTA[[#This Row],[C]]="",0,NOTA[[#This Row],[C]]))</f>
        <v/>
      </c>
      <c r="Y196" s="54" t="str">
        <f>IF(NOTA[[#This Row],[JUMLAH]]="","",NOTA[[#This Row],[JUMLAH]]*NOTA[[#This Row],[DISC 1]])</f>
        <v/>
      </c>
      <c r="Z196" s="54" t="str">
        <f>IF(NOTA[[#This Row],[JUMLAH]]="","",(NOTA[[#This Row],[JUMLAH]]-NOTA[[#This Row],[DISC 1-]])*NOTA[[#This Row],[DISC 2]])</f>
        <v/>
      </c>
      <c r="AA196" s="54" t="str">
        <f>IF(NOTA[[#This Row],[JUMLAH]]="","",NOTA[[#This Row],[DISC 1-]]+NOTA[[#This Row],[DISC 2-]])</f>
        <v/>
      </c>
      <c r="AB196" s="54" t="str">
        <f>IF(NOTA[[#This Row],[JUMLAH]]="","",NOTA[[#This Row],[JUMLAH]]-NOTA[[#This Row],[DISC]])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4" t="str">
        <f>IF(OR(NOTA[[#This Row],[QTY]]="",NOTA[[#This Row],[HARGA SATUAN]]="",),"",NOTA[[#This Row],[QTY]]*NOTA[[#This Row],[HARGA SATUAN]])</f>
        <v/>
      </c>
      <c r="AG196" s="51" t="str">
        <f ca="1">IF(NOTA[ID_H]="","",INDEX(NOTA[TANGGAL],MATCH(,INDIRECT(ADDRESS(ROW(NOTA[TANGGAL]),COLUMN(NOTA[TANGGAL]))&amp;":"&amp;ADDRESS(ROW(),COLUMN(NOTA[TANGGAL]))),-1)))</f>
        <v/>
      </c>
      <c r="AH196" s="65" t="str">
        <f ca="1">IF(NOTA[[#This Row],[NAMA BARANG]]="","",INDEX(NOTA[SUPPLIER],MATCH(,INDIRECT(ADDRESS(ROW(NOTA[ID]),COLUMN(NOTA[ID]))&amp;":"&amp;ADDRESS(ROW(),COLUMN(NOTA[ID]))),-1)))</f>
        <v/>
      </c>
      <c r="AI196" s="65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IF(NOTA[C]="",NOTA[[#This Row],[CONCAT1]]&amp;NOTA[[#This Row],[HARGA SATUAN]],NOTA[[#This Row],[CONCAT1]]&amp;NOTA[[#This Row],[HARGA/ CTN_H]]&amp;NOTA[[#This Row],[DISC 1]]&amp;NOTA[[#This Row],[DISC 2]])</f>
        <v/>
      </c>
      <c r="AN196" s="184" t="str">
        <f>IF(NOTA[[#This Row],[CONCAT1]]="","",MATCH(NOTA[[#This Row],[CONCAT1]],[1]!db[NB NOTA_C],0)+1)</f>
        <v/>
      </c>
    </row>
    <row r="197" spans="1:40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KEN_0901_132-3</v>
      </c>
      <c r="C197" s="50" t="str">
        <f>IF(NOTA[[#This Row],[CEK_EXP]]&lt;D196,"err","")</f>
        <v/>
      </c>
      <c r="D197" s="50">
        <f>IF(NOTA[[#This Row],[TANGGAL]]="",D196,NOTA[[#This Row],[TANGGAL]])</f>
        <v>44935</v>
      </c>
      <c r="E197" s="50">
        <f ca="1">IF(NOTA[[#This Row],[NAMA BARANG]]="","",INDEX(NOTA[ID],MATCH(,INDIRECT(ADDRESS(ROW(NOTA[ID]),COLUMN(NOTA[ID]))&amp;":"&amp;ADDRESS(ROW(),COLUMN(NOTA[ID]))),-1)))</f>
        <v>40</v>
      </c>
      <c r="F197" s="23"/>
      <c r="G197" s="26" t="s">
        <v>23</v>
      </c>
      <c r="H197" s="26" t="s">
        <v>24</v>
      </c>
      <c r="I197" s="31" t="s">
        <v>379</v>
      </c>
      <c r="J197" s="26" t="s">
        <v>380</v>
      </c>
      <c r="K197" s="51">
        <v>44930</v>
      </c>
      <c r="L197" s="26"/>
      <c r="M197" s="26" t="s">
        <v>336</v>
      </c>
      <c r="N197" s="39">
        <v>3</v>
      </c>
      <c r="O197" s="26"/>
      <c r="P197" s="26"/>
      <c r="Q197" s="49"/>
      <c r="R197" s="52">
        <v>5616000</v>
      </c>
      <c r="S197" s="39" t="s">
        <v>117</v>
      </c>
      <c r="T197" s="53">
        <v>0.17</v>
      </c>
      <c r="U197" s="53"/>
      <c r="V197" s="54"/>
      <c r="W197" s="37"/>
      <c r="X197" s="54">
        <f>IF(NOTA[[#This Row],[HARGA/ CTN]]="",NOTA[[#This Row],[JUMLAH_H]],NOTA[[#This Row],[HARGA/ CTN]]*IF(NOTA[[#This Row],[C]]="",0,NOTA[[#This Row],[C]]))</f>
        <v>16848000</v>
      </c>
      <c r="Y197" s="54">
        <f>IF(NOTA[[#This Row],[JUMLAH]]="","",NOTA[[#This Row],[JUMLAH]]*NOTA[[#This Row],[DISC 1]])</f>
        <v>2864160</v>
      </c>
      <c r="Z197" s="54">
        <f>IF(NOTA[[#This Row],[JUMLAH]]="","",(NOTA[[#This Row],[JUMLAH]]-NOTA[[#This Row],[DISC 1-]])*NOTA[[#This Row],[DISC 2]])</f>
        <v>0</v>
      </c>
      <c r="AA197" s="54">
        <f>IF(NOTA[[#This Row],[JUMLAH]]="","",NOTA[[#This Row],[DISC 1-]]+NOTA[[#This Row],[DISC 2-]])</f>
        <v>2864160</v>
      </c>
      <c r="AB197" s="54">
        <f>IF(NOTA[[#This Row],[JUMLAH]]="","",NOTA[[#This Row],[JUMLAH]]-NOTA[[#This Row],[DISC]])</f>
        <v>13983840</v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7" s="54" t="str">
        <f>IF(OR(NOTA[[#This Row],[QTY]]="",NOTA[[#This Row],[HARGA SATUAN]]="",),"",NOTA[[#This Row],[QTY]]*NOTA[[#This Row],[HARGA SATUAN]])</f>
        <v/>
      </c>
      <c r="AG197" s="51">
        <f ca="1">IF(NOTA[ID_H]="","",INDEX(NOTA[TANGGAL],MATCH(,INDIRECT(ADDRESS(ROW(NOTA[TANGGAL]),COLUMN(NOTA[TANGGAL]))&amp;":"&amp;ADDRESS(ROW(),COLUMN(NOTA[TANGGAL]))),-1)))</f>
        <v>44935</v>
      </c>
      <c r="AH197" s="65" t="str">
        <f ca="1">IF(NOTA[[#This Row],[NAMA BARANG]]="","",INDEX(NOTA[SUPPLIER],MATCH(,INDIRECT(ADDRESS(ROW(NOTA[ID]),COLUMN(NOTA[ID]))&amp;":"&amp;ADDRESS(ROW(),COLUMN(NOTA[ID]))),-1)))</f>
        <v>KENKO SINAR INDONESIA</v>
      </c>
      <c r="AI197" s="65" t="str">
        <f ca="1">IF(NOTA[[#This Row],[ID_H]]="","",IF(NOTA[[#This Row],[FAKTUR]]="",INDIRECT(ADDRESS(ROW()-1,COLUMN())),NOTA[[#This Row],[FAKTUR]]))</f>
        <v>ARTO MORO</v>
      </c>
      <c r="AJ197" s="38">
        <f ca="1">IF(NOTA[[#This Row],[ID]]="","",COUNTIF(NOTA[ID_H],NOTA[[#This Row],[ID_H]]))</f>
        <v>3</v>
      </c>
      <c r="AK197" s="38">
        <f>IF(NOTA[[#This Row],[TGL.NOTA]]="",IF(NOTA[[#This Row],[SUPPLIER_H]]="","",AK196),MONTH(NOTA[[#This Row],[TGL.NOTA]]))</f>
        <v>1</v>
      </c>
      <c r="AL19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97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N197" s="184">
        <f>IF(NOTA[[#This Row],[CONCAT1]]="","",MATCH(NOTA[[#This Row],[CONCAT1]],[1]!db[NB NOTA_C],0)+1)</f>
        <v>1153</v>
      </c>
    </row>
    <row r="198" spans="1:40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Row],[CEK_EXP]]&lt;D197,"err","")</f>
        <v/>
      </c>
      <c r="D198" s="50">
        <f>IF(NOTA[[#This Row],[TANGGAL]]="",D197,NOTA[[#This Row],[TANGGAL]])</f>
        <v>44935</v>
      </c>
      <c r="E198" s="50">
        <f ca="1">IF(NOTA[[#This Row],[NAMA BARANG]]="","",INDEX(NOTA[ID],MATCH(,INDIRECT(ADDRESS(ROW(NOTA[ID]),COLUMN(NOTA[ID]))&amp;":"&amp;ADDRESS(ROW(),COLUMN(NOTA[ID]))),-1)))</f>
        <v>40</v>
      </c>
      <c r="F198" s="23"/>
      <c r="G198" s="26"/>
      <c r="H198" s="26"/>
      <c r="I198" s="31"/>
      <c r="J198" s="26"/>
      <c r="K198" s="51"/>
      <c r="L198" s="26"/>
      <c r="M198" s="26" t="s">
        <v>160</v>
      </c>
      <c r="N198" s="39">
        <v>5</v>
      </c>
      <c r="O198" s="26"/>
      <c r="P198" s="26"/>
      <c r="Q198" s="49"/>
      <c r="R198" s="52">
        <v>2112000</v>
      </c>
      <c r="S198" s="39" t="s">
        <v>136</v>
      </c>
      <c r="T198" s="53">
        <v>0.17</v>
      </c>
      <c r="U198" s="53"/>
      <c r="V198" s="54"/>
      <c r="W198" s="37"/>
      <c r="X198" s="54">
        <f>IF(NOTA[[#This Row],[HARGA/ CTN]]="",NOTA[[#This Row],[JUMLAH_H]],NOTA[[#This Row],[HARGA/ CTN]]*IF(NOTA[[#This Row],[C]]="",0,NOTA[[#This Row],[C]]))</f>
        <v>10560000</v>
      </c>
      <c r="Y198" s="54">
        <f>IF(NOTA[[#This Row],[JUMLAH]]="","",NOTA[[#This Row],[JUMLAH]]*NOTA[[#This Row],[DISC 1]])</f>
        <v>1795200.0000000002</v>
      </c>
      <c r="Z198" s="54">
        <f>IF(NOTA[[#This Row],[JUMLAH]]="","",(NOTA[[#This Row],[JUMLAH]]-NOTA[[#This Row],[DISC 1-]])*NOTA[[#This Row],[DISC 2]])</f>
        <v>0</v>
      </c>
      <c r="AA198" s="54">
        <f>IF(NOTA[[#This Row],[JUMLAH]]="","",NOTA[[#This Row],[DISC 1-]]+NOTA[[#This Row],[DISC 2-]])</f>
        <v>1795200.0000000002</v>
      </c>
      <c r="AB198" s="54">
        <f>IF(NOTA[[#This Row],[JUMLAH]]="","",NOTA[[#This Row],[JUMLAH]]-NOTA[[#This Row],[DISC]])</f>
        <v>8764800</v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98" s="54" t="str">
        <f>IF(OR(NOTA[[#This Row],[QTY]]="",NOTA[[#This Row],[HARGA SATUAN]]="",),"",NOTA[[#This Row],[QTY]]*NOTA[[#This Row],[HARGA SATUAN]])</f>
        <v/>
      </c>
      <c r="AG198" s="51">
        <f ca="1">IF(NOTA[ID_H]="","",INDEX(NOTA[TANGGAL],MATCH(,INDIRECT(ADDRESS(ROW(NOTA[TANGGAL]),COLUMN(NOTA[TANGGAL]))&amp;":"&amp;ADDRESS(ROW(),COLUMN(NOTA[TANGGAL]))),-1)))</f>
        <v>44935</v>
      </c>
      <c r="AH198" s="65" t="str">
        <f ca="1">IF(NOTA[[#This Row],[NAMA BARANG]]="","",INDEX(NOTA[SUPPLIER],MATCH(,INDIRECT(ADDRESS(ROW(NOTA[ID]),COLUMN(NOTA[ID]))&amp;":"&amp;ADDRESS(ROW(),COLUMN(NOTA[ID]))),-1)))</f>
        <v>KENKO SINAR INDONESIA</v>
      </c>
      <c r="AI198" s="65" t="str">
        <f ca="1">IF(NOTA[[#This Row],[ID_H]]="","",IF(NOTA[[#This Row],[FAKTUR]]="",INDIRECT(ADDRESS(ROW()-1,COLUMN())),NOTA[[#This Row],[FAKTUR]]))</f>
        <v>ARTO MORO</v>
      </c>
      <c r="AJ198" s="38" t="str">
        <f ca="1">IF(NOTA[[#This Row],[ID]]="","",COUNTIF(NOTA[ID_H],NOTA[[#This Row],[ID_H]]))</f>
        <v/>
      </c>
      <c r="AK198" s="38">
        <f ca="1">IF(NOTA[[#This Row],[TGL.NOTA]]="",IF(NOTA[[#This Row],[SUPPLIER_H]]="","",AK197),MONTH(NOTA[[#This Row],[TGL.NOTA]]))</f>
        <v>1</v>
      </c>
      <c r="AL19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198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N198" s="184">
        <f>IF(NOTA[[#This Row],[CONCAT1]]="","",MATCH(NOTA[[#This Row],[CONCAT1]],[1]!db[NB NOTA_C],0)+1)</f>
        <v>1234</v>
      </c>
    </row>
    <row r="199" spans="1:40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Row],[CEK_EXP]]&lt;D198,"err","")</f>
        <v/>
      </c>
      <c r="D199" s="50">
        <f>IF(NOTA[[#This Row],[TANGGAL]]="",D198,NOTA[[#This Row],[TANGGAL]])</f>
        <v>44935</v>
      </c>
      <c r="E199" s="50">
        <f ca="1">IF(NOTA[[#This Row],[NAMA BARANG]]="","",INDEX(NOTA[ID],MATCH(,INDIRECT(ADDRESS(ROW(NOTA[ID]),COLUMN(NOTA[ID]))&amp;":"&amp;ADDRESS(ROW(),COLUMN(NOTA[ID]))),-1)))</f>
        <v>40</v>
      </c>
      <c r="F199" s="23"/>
      <c r="G199" s="26"/>
      <c r="H199" s="26"/>
      <c r="I199" s="31"/>
      <c r="J199" s="26" t="s">
        <v>381</v>
      </c>
      <c r="K199" s="51"/>
      <c r="L199" s="26"/>
      <c r="M199" s="26" t="s">
        <v>335</v>
      </c>
      <c r="N199" s="39">
        <v>5</v>
      </c>
      <c r="O199" s="26"/>
      <c r="P199" s="26"/>
      <c r="Q199" s="49"/>
      <c r="R199" s="52">
        <v>3888000</v>
      </c>
      <c r="S199" s="39" t="s">
        <v>376</v>
      </c>
      <c r="T199" s="53">
        <v>0.17</v>
      </c>
      <c r="U199" s="53"/>
      <c r="V199" s="54"/>
      <c r="W199" s="37"/>
      <c r="X199" s="54">
        <f>IF(NOTA[[#This Row],[HARGA/ CTN]]="",NOTA[[#This Row],[JUMLAH_H]],NOTA[[#This Row],[HARGA/ CTN]]*IF(NOTA[[#This Row],[C]]="",0,NOTA[[#This Row],[C]]))</f>
        <v>19440000</v>
      </c>
      <c r="Y199" s="54">
        <f>IF(NOTA[[#This Row],[JUMLAH]]="","",NOTA[[#This Row],[JUMLAH]]*NOTA[[#This Row],[DISC 1]])</f>
        <v>3304800.0000000005</v>
      </c>
      <c r="Z199" s="54">
        <f>IF(NOTA[[#This Row],[JUMLAH]]="","",(NOTA[[#This Row],[JUMLAH]]-NOTA[[#This Row],[DISC 1-]])*NOTA[[#This Row],[DISC 2]])</f>
        <v>0</v>
      </c>
      <c r="AA199" s="54">
        <f>IF(NOTA[[#This Row],[JUMLAH]]="","",NOTA[[#This Row],[DISC 1-]]+NOTA[[#This Row],[DISC 2-]])</f>
        <v>3304800.0000000005</v>
      </c>
      <c r="AB199" s="54">
        <f>IF(NOTA[[#This Row],[JUMLAH]]="","",NOTA[[#This Row],[JUMLAH]]-NOTA[[#This Row],[DISC]])</f>
        <v>16135200</v>
      </c>
      <c r="AC1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7964160</v>
      </c>
      <c r="AD1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38883840</v>
      </c>
      <c r="AE19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99" s="54" t="str">
        <f>IF(OR(NOTA[[#This Row],[QTY]]="",NOTA[[#This Row],[HARGA SATUAN]]="",),"",NOTA[[#This Row],[QTY]]*NOTA[[#This Row],[HARGA SATUAN]])</f>
        <v/>
      </c>
      <c r="AG199" s="51">
        <f ca="1">IF(NOTA[ID_H]="","",INDEX(NOTA[TANGGAL],MATCH(,INDIRECT(ADDRESS(ROW(NOTA[TANGGAL]),COLUMN(NOTA[TANGGAL]))&amp;":"&amp;ADDRESS(ROW(),COLUMN(NOTA[TANGGAL]))),-1)))</f>
        <v>44935</v>
      </c>
      <c r="AH199" s="65" t="str">
        <f ca="1">IF(NOTA[[#This Row],[NAMA BARANG]]="","",INDEX(NOTA[SUPPLIER],MATCH(,INDIRECT(ADDRESS(ROW(NOTA[ID]),COLUMN(NOTA[ID]))&amp;":"&amp;ADDRESS(ROW(),COLUMN(NOTA[ID]))),-1)))</f>
        <v>KENKO SINAR INDONESIA</v>
      </c>
      <c r="AI199" s="65" t="str">
        <f ca="1">IF(NOTA[[#This Row],[ID_H]]="","",IF(NOTA[[#This Row],[FAKTUR]]="",INDIRECT(ADDRESS(ROW()-1,COLUMN())),NOTA[[#This Row],[FAKTUR]]))</f>
        <v>ARTO MORO</v>
      </c>
      <c r="AJ199" s="38" t="str">
        <f ca="1">IF(NOTA[[#This Row],[ID]]="","",COUNTIF(NOTA[ID_H],NOTA[[#This Row],[ID_H]]))</f>
        <v/>
      </c>
      <c r="AK199" s="38">
        <f ca="1">IF(NOTA[[#This Row],[TGL.NOTA]]="",IF(NOTA[[#This Row],[SUPPLIER_H]]="","",AK198),MONTH(NOTA[[#This Row],[TGL.NOTA]]))</f>
        <v>1</v>
      </c>
      <c r="AL19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199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N199" s="184">
        <f>IF(NOTA[[#This Row],[CONCAT1]]="","",MATCH(NOTA[[#This Row],[CONCAT1]],[1]!db[NB NOTA_C],0)+1)</f>
        <v>1133</v>
      </c>
    </row>
    <row r="200" spans="1:40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Row],[CEK_EXP]]&lt;D199,"err","")</f>
        <v/>
      </c>
      <c r="D200" s="50">
        <f>IF(NOTA[[#This Row],[TANGGAL]]="",D199,NOTA[[#This Row],[TANGGAL]])</f>
        <v>44935</v>
      </c>
      <c r="E200" s="50" t="str">
        <f ca="1">IF(NOTA[[#This Row],[NAMA BARANG]]="","",INDEX(NOTA[ID],MATCH(,INDIRECT(ADDRESS(ROW(NOTA[ID]),COLUMN(NOTA[ID]))&amp;":"&amp;ADDRESS(ROW(),COLUMN(NOTA[ID]))),-1)))</f>
        <v/>
      </c>
      <c r="F200" s="23"/>
      <c r="G200" s="26"/>
      <c r="H200" s="26"/>
      <c r="I200" s="31"/>
      <c r="J200" s="26"/>
      <c r="K200" s="51"/>
      <c r="L200" s="26"/>
      <c r="M200" s="26"/>
      <c r="N200" s="39"/>
      <c r="O200" s="26"/>
      <c r="P200" s="26"/>
      <c r="Q200" s="49"/>
      <c r="R200" s="52"/>
      <c r="S200" s="39"/>
      <c r="T200" s="53"/>
      <c r="U200" s="53"/>
      <c r="V200" s="54"/>
      <c r="W200" s="37"/>
      <c r="X200" s="54" t="str">
        <f>IF(NOTA[[#This Row],[HARGA/ CTN]]="",NOTA[[#This Row],[JUMLAH_H]],NOTA[[#This Row],[HARGA/ CTN]]*IF(NOTA[[#This Row],[C]]="",0,NOTA[[#This Row],[C]]))</f>
        <v/>
      </c>
      <c r="Y200" s="54" t="str">
        <f>IF(NOTA[[#This Row],[JUMLAH]]="","",NOTA[[#This Row],[JUMLAH]]*NOTA[[#This Row],[DISC 1]])</f>
        <v/>
      </c>
      <c r="Z200" s="54" t="str">
        <f>IF(NOTA[[#This Row],[JUMLAH]]="","",(NOTA[[#This Row],[JUMLAH]]-NOTA[[#This Row],[DISC 1-]])*NOTA[[#This Row],[DISC 2]])</f>
        <v/>
      </c>
      <c r="AA200" s="54" t="str">
        <f>IF(NOTA[[#This Row],[JUMLAH]]="","",NOTA[[#This Row],[DISC 1-]]+NOTA[[#This Row],[DISC 2-]])</f>
        <v/>
      </c>
      <c r="AB200" s="54" t="str">
        <f>IF(NOTA[[#This Row],[JUMLAH]]="","",NOTA[[#This Row],[JUMLAH]]-NOTA[[#This Row],[DISC]])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4" t="str">
        <f>IF(OR(NOTA[[#This Row],[QTY]]="",NOTA[[#This Row],[HARGA SATUAN]]="",),"",NOTA[[#This Row],[QTY]]*NOTA[[#This Row],[HARGA SATUAN]])</f>
        <v/>
      </c>
      <c r="AG200" s="51" t="str">
        <f ca="1">IF(NOTA[ID_H]="","",INDEX(NOTA[TANGGAL],MATCH(,INDIRECT(ADDRESS(ROW(NOTA[TANGGAL]),COLUMN(NOTA[TANGGAL]))&amp;":"&amp;ADDRESS(ROW(),COLUMN(NOTA[TANGGAL]))),-1)))</f>
        <v/>
      </c>
      <c r="AH200" s="65" t="str">
        <f ca="1">IF(NOTA[[#This Row],[NAMA BARANG]]="","",INDEX(NOTA[SUPPLIER],MATCH(,INDIRECT(ADDRESS(ROW(NOTA[ID]),COLUMN(NOTA[ID]))&amp;":"&amp;ADDRESS(ROW(),COLUMN(NOTA[ID]))),-1)))</f>
        <v/>
      </c>
      <c r="AI200" s="65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IF(NOTA[C]="",NOTA[[#This Row],[CONCAT1]]&amp;NOTA[[#This Row],[HARGA SATUAN]],NOTA[[#This Row],[CONCAT1]]&amp;NOTA[[#This Row],[HARGA/ CTN_H]]&amp;NOTA[[#This Row],[DISC 1]]&amp;NOTA[[#This Row],[DISC 2]])</f>
        <v/>
      </c>
      <c r="AN200" s="184" t="str">
        <f>IF(NOTA[[#This Row],[CONCAT1]]="","",MATCH(NOTA[[#This Row],[CONCAT1]],[1]!db[NB NOTA_C],0)+1)</f>
        <v/>
      </c>
    </row>
    <row r="201" spans="1:40" ht="20.100000000000001" customHeight="1" x14ac:dyDescent="0.25">
      <c r="A201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KEN_0901_152-9</v>
      </c>
      <c r="C201" s="50" t="str">
        <f>IF(NOTA[[#This Row],[CEK_EXP]]&lt;D200,"err","")</f>
        <v/>
      </c>
      <c r="D201" s="50">
        <f>IF(NOTA[[#This Row],[TANGGAL]]="",D200,NOTA[[#This Row],[TANGGAL]])</f>
        <v>44935</v>
      </c>
      <c r="E201" s="50">
        <f ca="1">IF(NOTA[[#This Row],[NAMA BARANG]]="","",INDEX(NOTA[ID],MATCH(,INDIRECT(ADDRESS(ROW(NOTA[ID]),COLUMN(NOTA[ID]))&amp;":"&amp;ADDRESS(ROW(),COLUMN(NOTA[ID]))),-1)))</f>
        <v>41</v>
      </c>
      <c r="F201" s="23"/>
      <c r="G201" s="26" t="s">
        <v>23</v>
      </c>
      <c r="H201" s="26" t="s">
        <v>24</v>
      </c>
      <c r="I201" s="31" t="s">
        <v>382</v>
      </c>
      <c r="J201" s="26" t="s">
        <v>383</v>
      </c>
      <c r="K201" s="51">
        <v>44930</v>
      </c>
      <c r="L201" s="26"/>
      <c r="M201" s="26" t="s">
        <v>342</v>
      </c>
      <c r="N201" s="39">
        <v>1</v>
      </c>
      <c r="O201" s="26"/>
      <c r="P201" s="26"/>
      <c r="Q201" s="49"/>
      <c r="R201" s="52">
        <v>1069200</v>
      </c>
      <c r="S201" s="39" t="s">
        <v>373</v>
      </c>
      <c r="T201" s="53">
        <v>0.17</v>
      </c>
      <c r="U201" s="53"/>
      <c r="V201" s="54"/>
      <c r="W201" s="37"/>
      <c r="X201" s="54">
        <f>IF(NOTA[[#This Row],[HARGA/ CTN]]="",NOTA[[#This Row],[JUMLAH_H]],NOTA[[#This Row],[HARGA/ CTN]]*IF(NOTA[[#This Row],[C]]="",0,NOTA[[#This Row],[C]]))</f>
        <v>1069200</v>
      </c>
      <c r="Y201" s="54">
        <f>IF(NOTA[[#This Row],[JUMLAH]]="","",NOTA[[#This Row],[JUMLAH]]*NOTA[[#This Row],[DISC 1]])</f>
        <v>181764</v>
      </c>
      <c r="Z201" s="54">
        <f>IF(NOTA[[#This Row],[JUMLAH]]="","",(NOTA[[#This Row],[JUMLAH]]-NOTA[[#This Row],[DISC 1-]])*NOTA[[#This Row],[DISC 2]])</f>
        <v>0</v>
      </c>
      <c r="AA201" s="54">
        <f>IF(NOTA[[#This Row],[JUMLAH]]="","",NOTA[[#This Row],[DISC 1-]]+NOTA[[#This Row],[DISC 2-]])</f>
        <v>181764</v>
      </c>
      <c r="AB201" s="54">
        <f>IF(NOTA[[#This Row],[JUMLAH]]="","",NOTA[[#This Row],[JUMLAH]]-NOTA[[#This Row],[DISC]])</f>
        <v>887436</v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201" s="54" t="str">
        <f>IF(OR(NOTA[[#This Row],[QTY]]="",NOTA[[#This Row],[HARGA SATUAN]]="",),"",NOTA[[#This Row],[QTY]]*NOTA[[#This Row],[HARGA SATUAN]])</f>
        <v/>
      </c>
      <c r="AG201" s="51">
        <f ca="1">IF(NOTA[ID_H]="","",INDEX(NOTA[TANGGAL],MATCH(,INDIRECT(ADDRESS(ROW(NOTA[TANGGAL]),COLUMN(NOTA[TANGGAL]))&amp;":"&amp;ADDRESS(ROW(),COLUMN(NOTA[TANGGAL]))),-1)))</f>
        <v>44935</v>
      </c>
      <c r="AH201" s="65" t="str">
        <f ca="1">IF(NOTA[[#This Row],[NAMA BARANG]]="","",INDEX(NOTA[SUPPLIER],MATCH(,INDIRECT(ADDRESS(ROW(NOTA[ID]),COLUMN(NOTA[ID]))&amp;":"&amp;ADDRESS(ROW(),COLUMN(NOTA[ID]))),-1)))</f>
        <v>KENKO SINAR INDONESIA</v>
      </c>
      <c r="AI201" s="65" t="str">
        <f ca="1">IF(NOTA[[#This Row],[ID_H]]="","",IF(NOTA[[#This Row],[FAKTUR]]="",INDIRECT(ADDRESS(ROW()-1,COLUMN())),NOTA[[#This Row],[FAKTUR]]))</f>
        <v>ARTO MORO</v>
      </c>
      <c r="AJ201" s="38">
        <f ca="1">IF(NOTA[[#This Row],[ID]]="","",COUNTIF(NOTA[ID_H],NOTA[[#This Row],[ID_H]]))</f>
        <v>9</v>
      </c>
      <c r="AK201" s="38">
        <f>IF(NOTA[[#This Row],[TGL.NOTA]]="",IF(NOTA[[#This Row],[SUPPLIER_H]]="","",AK200),MONTH(NOTA[[#This Row],[TGL.NOTA]]))</f>
        <v>1</v>
      </c>
      <c r="AL20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M201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N201" s="184">
        <f>IF(NOTA[[#This Row],[CONCAT1]]="","",MATCH(NOTA[[#This Row],[CONCAT1]],[1]!db[NB NOTA_C],0)+1)</f>
        <v>1287</v>
      </c>
    </row>
    <row r="202" spans="1:40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Row],[CEK_EXP]]&lt;D201,"err","")</f>
        <v/>
      </c>
      <c r="D202" s="50">
        <f>IF(NOTA[[#This Row],[TANGGAL]]="",D201,NOTA[[#This Row],[TANGGAL]])</f>
        <v>44935</v>
      </c>
      <c r="E202" s="50">
        <f ca="1">IF(NOTA[[#This Row],[NAMA BARANG]]="","",INDEX(NOTA[ID],MATCH(,INDIRECT(ADDRESS(ROW(NOTA[ID]),COLUMN(NOTA[ID]))&amp;":"&amp;ADDRESS(ROW(),COLUMN(NOTA[ID]))),-1)))</f>
        <v>41</v>
      </c>
      <c r="F202" s="23"/>
      <c r="G202" s="26"/>
      <c r="H202" s="26"/>
      <c r="I202" s="31"/>
      <c r="J202" s="26"/>
      <c r="K202" s="51"/>
      <c r="L202" s="26"/>
      <c r="M202" s="26" t="s">
        <v>384</v>
      </c>
      <c r="N202" s="39">
        <v>2</v>
      </c>
      <c r="O202" s="26"/>
      <c r="P202" s="26"/>
      <c r="Q202" s="49"/>
      <c r="R202" s="52">
        <v>462000</v>
      </c>
      <c r="S202" s="39" t="s">
        <v>130</v>
      </c>
      <c r="T202" s="53">
        <v>0.17</v>
      </c>
      <c r="U202" s="53"/>
      <c r="V202" s="54"/>
      <c r="W202" s="37"/>
      <c r="X202" s="54">
        <f>IF(NOTA[[#This Row],[HARGA/ CTN]]="",NOTA[[#This Row],[JUMLAH_H]],NOTA[[#This Row],[HARGA/ CTN]]*IF(NOTA[[#This Row],[C]]="",0,NOTA[[#This Row],[C]]))</f>
        <v>924000</v>
      </c>
      <c r="Y202" s="54">
        <f>IF(NOTA[[#This Row],[JUMLAH]]="","",NOTA[[#This Row],[JUMLAH]]*NOTA[[#This Row],[DISC 1]])</f>
        <v>157080</v>
      </c>
      <c r="Z202" s="54">
        <f>IF(NOTA[[#This Row],[JUMLAH]]="","",(NOTA[[#This Row],[JUMLAH]]-NOTA[[#This Row],[DISC 1-]])*NOTA[[#This Row],[DISC 2]])</f>
        <v>0</v>
      </c>
      <c r="AA202" s="54">
        <f>IF(NOTA[[#This Row],[JUMLAH]]="","",NOTA[[#This Row],[DISC 1-]]+NOTA[[#This Row],[DISC 2-]])</f>
        <v>157080</v>
      </c>
      <c r="AB202" s="54">
        <f>IF(NOTA[[#This Row],[JUMLAH]]="","",NOTA[[#This Row],[JUMLAH]]-NOTA[[#This Row],[DISC]])</f>
        <v>766920</v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202" s="54" t="str">
        <f>IF(OR(NOTA[[#This Row],[QTY]]="",NOTA[[#This Row],[HARGA SATUAN]]="",),"",NOTA[[#This Row],[QTY]]*NOTA[[#This Row],[HARGA SATUAN]])</f>
        <v/>
      </c>
      <c r="AG202" s="51">
        <f ca="1">IF(NOTA[ID_H]="","",INDEX(NOTA[TANGGAL],MATCH(,INDIRECT(ADDRESS(ROW(NOTA[TANGGAL]),COLUMN(NOTA[TANGGAL]))&amp;":"&amp;ADDRESS(ROW(),COLUMN(NOTA[TANGGAL]))),-1)))</f>
        <v>44935</v>
      </c>
      <c r="AH202" s="65" t="str">
        <f ca="1">IF(NOTA[[#This Row],[NAMA BARANG]]="","",INDEX(NOTA[SUPPLIER],MATCH(,INDIRECT(ADDRESS(ROW(NOTA[ID]),COLUMN(NOTA[ID]))&amp;":"&amp;ADDRESS(ROW(),COLUMN(NOTA[ID]))),-1)))</f>
        <v>KENKO SINAR INDONESIA</v>
      </c>
      <c r="AI202" s="65" t="str">
        <f ca="1">IF(NOTA[[#This Row],[ID_H]]="","",IF(NOTA[[#This Row],[FAKTUR]]="",INDIRECT(ADDRESS(ROW()-1,COLUMN())),NOTA[[#This Row],[FAKTUR]]))</f>
        <v>ARTO MORO</v>
      </c>
      <c r="AJ202" s="38" t="str">
        <f ca="1">IF(NOTA[[#This Row],[ID]]="","",COUNTIF(NOTA[ID_H],NOTA[[#This Row],[ID_H]]))</f>
        <v/>
      </c>
      <c r="AK202" s="38">
        <f ca="1">IF(NOTA[[#This Row],[TGL.NOTA]]="",IF(NOTA[[#This Row],[SUPPLIER_H]]="","",AK201),MONTH(NOTA[[#This Row],[TGL.NOTA]]))</f>
        <v>1</v>
      </c>
      <c r="AL20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202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N202" s="184">
        <f>IF(NOTA[[#This Row],[CONCAT1]]="","",MATCH(NOTA[[#This Row],[CONCAT1]],[1]!db[NB NOTA_C],0)+1)</f>
        <v>1307</v>
      </c>
    </row>
    <row r="203" spans="1:40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Row],[CEK_EXP]]&lt;D202,"err","")</f>
        <v/>
      </c>
      <c r="D203" s="50">
        <f>IF(NOTA[[#This Row],[TANGGAL]]="",D202,NOTA[[#This Row],[TANGGAL]])</f>
        <v>44935</v>
      </c>
      <c r="E203" s="50">
        <f ca="1">IF(NOTA[[#This Row],[NAMA BARANG]]="","",INDEX(NOTA[ID],MATCH(,INDIRECT(ADDRESS(ROW(NOTA[ID]),COLUMN(NOTA[ID]))&amp;":"&amp;ADDRESS(ROW(),COLUMN(NOTA[ID]))),-1)))</f>
        <v>41</v>
      </c>
      <c r="F203" s="23"/>
      <c r="G203" s="26"/>
      <c r="H203" s="26"/>
      <c r="I203" s="31"/>
      <c r="J203" s="26"/>
      <c r="K203" s="51"/>
      <c r="L203" s="26"/>
      <c r="M203" s="26" t="s">
        <v>351</v>
      </c>
      <c r="N203" s="39">
        <v>2</v>
      </c>
      <c r="O203" s="26"/>
      <c r="P203" s="26"/>
      <c r="Q203" s="49"/>
      <c r="R203" s="52">
        <v>1375000</v>
      </c>
      <c r="S203" s="39" t="s">
        <v>361</v>
      </c>
      <c r="T203" s="53">
        <v>0.17</v>
      </c>
      <c r="U203" s="53"/>
      <c r="V203" s="54"/>
      <c r="W203" s="37"/>
      <c r="X203" s="54">
        <f>IF(NOTA[[#This Row],[HARGA/ CTN]]="",NOTA[[#This Row],[JUMLAH_H]],NOTA[[#This Row],[HARGA/ CTN]]*IF(NOTA[[#This Row],[C]]="",0,NOTA[[#This Row],[C]]))</f>
        <v>2750000</v>
      </c>
      <c r="Y203" s="54">
        <f>IF(NOTA[[#This Row],[JUMLAH]]="","",NOTA[[#This Row],[JUMLAH]]*NOTA[[#This Row],[DISC 1]])</f>
        <v>467500.00000000006</v>
      </c>
      <c r="Z203" s="54">
        <f>IF(NOTA[[#This Row],[JUMLAH]]="","",(NOTA[[#This Row],[JUMLAH]]-NOTA[[#This Row],[DISC 1-]])*NOTA[[#This Row],[DISC 2]])</f>
        <v>0</v>
      </c>
      <c r="AA203" s="54">
        <f>IF(NOTA[[#This Row],[JUMLAH]]="","",NOTA[[#This Row],[DISC 1-]]+NOTA[[#This Row],[DISC 2-]])</f>
        <v>467500.00000000006</v>
      </c>
      <c r="AB203" s="54">
        <f>IF(NOTA[[#This Row],[JUMLAH]]="","",NOTA[[#This Row],[JUMLAH]]-NOTA[[#This Row],[DISC]])</f>
        <v>2282500</v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203" s="54" t="str">
        <f>IF(OR(NOTA[[#This Row],[QTY]]="",NOTA[[#This Row],[HARGA SATUAN]]="",),"",NOTA[[#This Row],[QTY]]*NOTA[[#This Row],[HARGA SATUAN]])</f>
        <v/>
      </c>
      <c r="AG203" s="51">
        <f ca="1">IF(NOTA[ID_H]="","",INDEX(NOTA[TANGGAL],MATCH(,INDIRECT(ADDRESS(ROW(NOTA[TANGGAL]),COLUMN(NOTA[TANGGAL]))&amp;":"&amp;ADDRESS(ROW(),COLUMN(NOTA[TANGGAL]))),-1)))</f>
        <v>44935</v>
      </c>
      <c r="AH203" s="65" t="str">
        <f ca="1">IF(NOTA[[#This Row],[NAMA BARANG]]="","",INDEX(NOTA[SUPPLIER],MATCH(,INDIRECT(ADDRESS(ROW(NOTA[ID]),COLUMN(NOTA[ID]))&amp;":"&amp;ADDRESS(ROW(),COLUMN(NOTA[ID]))),-1)))</f>
        <v>KENKO SINAR INDONESIA</v>
      </c>
      <c r="AI203" s="65" t="str">
        <f ca="1">IF(NOTA[[#This Row],[ID_H]]="","",IF(NOTA[[#This Row],[FAKTUR]]="",INDIRECT(ADDRESS(ROW()-1,COLUMN())),NOTA[[#This Row],[FAKTUR]]))</f>
        <v>ARTO MORO</v>
      </c>
      <c r="AJ203" s="38" t="str">
        <f ca="1">IF(NOTA[[#This Row],[ID]]="","",COUNTIF(NOTA[ID_H],NOTA[[#This Row],[ID_H]]))</f>
        <v/>
      </c>
      <c r="AK203" s="38">
        <f ca="1">IF(NOTA[[#This Row],[TGL.NOTA]]="",IF(NOTA[[#This Row],[SUPPLIER_H]]="","",AK202),MONTH(NOTA[[#This Row],[TGL.NOTA]]))</f>
        <v>1</v>
      </c>
      <c r="AL203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203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N203" s="184">
        <f>IF(NOTA[[#This Row],[CONCAT1]]="","",MATCH(NOTA[[#This Row],[CONCAT1]],[1]!db[NB NOTA_C],0)+1)</f>
        <v>1146</v>
      </c>
    </row>
    <row r="204" spans="1:40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Row],[CEK_EXP]]&lt;D203,"err","")</f>
        <v/>
      </c>
      <c r="D204" s="50">
        <f>IF(NOTA[[#This Row],[TANGGAL]]="",D203,NOTA[[#This Row],[TANGGAL]])</f>
        <v>44935</v>
      </c>
      <c r="E204" s="50">
        <f ca="1">IF(NOTA[[#This Row],[NAMA BARANG]]="","",INDEX(NOTA[ID],MATCH(,INDIRECT(ADDRESS(ROW(NOTA[ID]),COLUMN(NOTA[ID]))&amp;":"&amp;ADDRESS(ROW(),COLUMN(NOTA[ID]))),-1)))</f>
        <v>41</v>
      </c>
      <c r="F204" s="23"/>
      <c r="G204" s="26"/>
      <c r="H204" s="26"/>
      <c r="I204" s="31"/>
      <c r="J204" s="26"/>
      <c r="K204" s="51"/>
      <c r="L204" s="26"/>
      <c r="M204" s="26" t="s">
        <v>385</v>
      </c>
      <c r="N204" s="39">
        <v>1</v>
      </c>
      <c r="O204" s="26"/>
      <c r="P204" s="26"/>
      <c r="Q204" s="49"/>
      <c r="R204" s="52">
        <v>2352000</v>
      </c>
      <c r="S204" s="39" t="s">
        <v>119</v>
      </c>
      <c r="T204" s="53">
        <v>0.17</v>
      </c>
      <c r="U204" s="53"/>
      <c r="V204" s="54"/>
      <c r="W204" s="37"/>
      <c r="X204" s="54">
        <f>IF(NOTA[[#This Row],[HARGA/ CTN]]="",NOTA[[#This Row],[JUMLAH_H]],NOTA[[#This Row],[HARGA/ CTN]]*IF(NOTA[[#This Row],[C]]="",0,NOTA[[#This Row],[C]]))</f>
        <v>2352000</v>
      </c>
      <c r="Y204" s="54">
        <f>IF(NOTA[[#This Row],[JUMLAH]]="","",NOTA[[#This Row],[JUMLAH]]*NOTA[[#This Row],[DISC 1]])</f>
        <v>399840</v>
      </c>
      <c r="Z204" s="54">
        <f>IF(NOTA[[#This Row],[JUMLAH]]="","",(NOTA[[#This Row],[JUMLAH]]-NOTA[[#This Row],[DISC 1-]])*NOTA[[#This Row],[DISC 2]])</f>
        <v>0</v>
      </c>
      <c r="AA204" s="54">
        <f>IF(NOTA[[#This Row],[JUMLAH]]="","",NOTA[[#This Row],[DISC 1-]]+NOTA[[#This Row],[DISC 2-]])</f>
        <v>399840</v>
      </c>
      <c r="AB204" s="54">
        <f>IF(NOTA[[#This Row],[JUMLAH]]="","",NOTA[[#This Row],[JUMLAH]]-NOTA[[#This Row],[DISC]])</f>
        <v>1952160</v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204" s="54" t="str">
        <f>IF(OR(NOTA[[#This Row],[QTY]]="",NOTA[[#This Row],[HARGA SATUAN]]="",),"",NOTA[[#This Row],[QTY]]*NOTA[[#This Row],[HARGA SATUAN]])</f>
        <v/>
      </c>
      <c r="AG204" s="51">
        <f ca="1">IF(NOTA[ID_H]="","",INDEX(NOTA[TANGGAL],MATCH(,INDIRECT(ADDRESS(ROW(NOTA[TANGGAL]),COLUMN(NOTA[TANGGAL]))&amp;":"&amp;ADDRESS(ROW(),COLUMN(NOTA[TANGGAL]))),-1)))</f>
        <v>44935</v>
      </c>
      <c r="AH204" s="65" t="str">
        <f ca="1">IF(NOTA[[#This Row],[NAMA BARANG]]="","",INDEX(NOTA[SUPPLIER],MATCH(,INDIRECT(ADDRESS(ROW(NOTA[ID]),COLUMN(NOTA[ID]))&amp;":"&amp;ADDRESS(ROW(),COLUMN(NOTA[ID]))),-1)))</f>
        <v>KENKO SINAR INDONESIA</v>
      </c>
      <c r="AI204" s="65" t="str">
        <f ca="1">IF(NOTA[[#This Row],[ID_H]]="","",IF(NOTA[[#This Row],[FAKTUR]]="",INDIRECT(ADDRESS(ROW()-1,COLUMN())),NOTA[[#This Row],[FAKTUR]]))</f>
        <v>ARTO MORO</v>
      </c>
      <c r="AJ204" s="38" t="str">
        <f ca="1">IF(NOTA[[#This Row],[ID]]="","",COUNTIF(NOTA[ID_H],NOTA[[#This Row],[ID_H]]))</f>
        <v/>
      </c>
      <c r="AK204" s="38">
        <f ca="1">IF(NOTA[[#This Row],[TGL.NOTA]]="",IF(NOTA[[#This Row],[SUPPLIER_H]]="","",AK203),MONTH(NOTA[[#This Row],[TGL.NOTA]]))</f>
        <v>1</v>
      </c>
      <c r="AL204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M204" s="38" t="str">
        <f>IF(NOTA[C]="",NOTA[[#This Row],[CONCAT1]]&amp;NOTA[[#This Row],[HARGA SATUAN]],NOTA[[#This Row],[CONCAT1]]&amp;NOTA[[#This Row],[HARGA/ CTN_H]]&amp;NOTA[[#This Row],[DISC 1]]&amp;NOTA[[#This Row],[DISC 2]])</f>
        <v>kenkostaplerhd10d23520000.17</v>
      </c>
      <c r="AN204" s="184">
        <f>IF(NOTA[[#This Row],[CONCAT1]]="","",MATCH(NOTA[[#This Row],[CONCAT1]],[1]!db[NB NOTA_C],0)+1)</f>
        <v>1293</v>
      </c>
    </row>
    <row r="205" spans="1:40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Row],[CEK_EXP]]&lt;D204,"err","")</f>
        <v/>
      </c>
      <c r="D205" s="50">
        <f>IF(NOTA[[#This Row],[TANGGAL]]="",D204,NOTA[[#This Row],[TANGGAL]])</f>
        <v>44935</v>
      </c>
      <c r="E205" s="50">
        <f ca="1">IF(NOTA[[#This Row],[NAMA BARANG]]="","",INDEX(NOTA[ID],MATCH(,INDIRECT(ADDRESS(ROW(NOTA[ID]),COLUMN(NOTA[ID]))&amp;":"&amp;ADDRESS(ROW(),COLUMN(NOTA[ID]))),-1)))</f>
        <v>41</v>
      </c>
      <c r="F205" s="23"/>
      <c r="G205" s="26"/>
      <c r="H205" s="26"/>
      <c r="I205" s="31"/>
      <c r="J205" s="26"/>
      <c r="K205" s="51"/>
      <c r="L205" s="26"/>
      <c r="M205" s="26" t="s">
        <v>336</v>
      </c>
      <c r="N205" s="39">
        <v>2</v>
      </c>
      <c r="O205" s="26"/>
      <c r="P205" s="26"/>
      <c r="Q205" s="49"/>
      <c r="R205" s="52">
        <v>5616000</v>
      </c>
      <c r="S205" s="39" t="s">
        <v>117</v>
      </c>
      <c r="T205" s="53">
        <v>0.17</v>
      </c>
      <c r="U205" s="53"/>
      <c r="V205" s="54"/>
      <c r="W205" s="37"/>
      <c r="X205" s="54">
        <f>IF(NOTA[[#This Row],[HARGA/ CTN]]="",NOTA[[#This Row],[JUMLAH_H]],NOTA[[#This Row],[HARGA/ CTN]]*IF(NOTA[[#This Row],[C]]="",0,NOTA[[#This Row],[C]]))</f>
        <v>11232000</v>
      </c>
      <c r="Y205" s="54">
        <f>IF(NOTA[[#This Row],[JUMLAH]]="","",NOTA[[#This Row],[JUMLAH]]*NOTA[[#This Row],[DISC 1]])</f>
        <v>1909440.0000000002</v>
      </c>
      <c r="Z205" s="54">
        <f>IF(NOTA[[#This Row],[JUMLAH]]="","",(NOTA[[#This Row],[JUMLAH]]-NOTA[[#This Row],[DISC 1-]])*NOTA[[#This Row],[DISC 2]])</f>
        <v>0</v>
      </c>
      <c r="AA205" s="54">
        <f>IF(NOTA[[#This Row],[JUMLAH]]="","",NOTA[[#This Row],[DISC 1-]]+NOTA[[#This Row],[DISC 2-]])</f>
        <v>1909440.0000000002</v>
      </c>
      <c r="AB205" s="54">
        <f>IF(NOTA[[#This Row],[JUMLAH]]="","",NOTA[[#This Row],[JUMLAH]]-NOTA[[#This Row],[DISC]])</f>
        <v>9322560</v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5" s="54" t="str">
        <f>IF(OR(NOTA[[#This Row],[QTY]]="",NOTA[[#This Row],[HARGA SATUAN]]="",),"",NOTA[[#This Row],[QTY]]*NOTA[[#This Row],[HARGA SATUAN]])</f>
        <v/>
      </c>
      <c r="AG205" s="51">
        <f ca="1">IF(NOTA[ID_H]="","",INDEX(NOTA[TANGGAL],MATCH(,INDIRECT(ADDRESS(ROW(NOTA[TANGGAL]),COLUMN(NOTA[TANGGAL]))&amp;":"&amp;ADDRESS(ROW(),COLUMN(NOTA[TANGGAL]))),-1)))</f>
        <v>44935</v>
      </c>
      <c r="AH205" s="65" t="str">
        <f ca="1">IF(NOTA[[#This Row],[NAMA BARANG]]="","",INDEX(NOTA[SUPPLIER],MATCH(,INDIRECT(ADDRESS(ROW(NOTA[ID]),COLUMN(NOTA[ID]))&amp;":"&amp;ADDRESS(ROW(),COLUMN(NOTA[ID]))),-1)))</f>
        <v>KENKO SINAR INDONESIA</v>
      </c>
      <c r="AI205" s="65" t="str">
        <f ca="1">IF(NOTA[[#This Row],[ID_H]]="","",IF(NOTA[[#This Row],[FAKTUR]]="",INDIRECT(ADDRESS(ROW()-1,COLUMN())),NOTA[[#This Row],[FAKTUR]]))</f>
        <v>ARTO MORO</v>
      </c>
      <c r="AJ205" s="38" t="str">
        <f ca="1">IF(NOTA[[#This Row],[ID]]="","",COUNTIF(NOTA[ID_H],NOTA[[#This Row],[ID_H]]))</f>
        <v/>
      </c>
      <c r="AK205" s="38">
        <f ca="1">IF(NOTA[[#This Row],[TGL.NOTA]]="",IF(NOTA[[#This Row],[SUPPLIER_H]]="","",AK204),MONTH(NOTA[[#This Row],[TGL.NOTA]]))</f>
        <v>1</v>
      </c>
      <c r="AL20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05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N205" s="184">
        <f>IF(NOTA[[#This Row],[CONCAT1]]="","",MATCH(NOTA[[#This Row],[CONCAT1]],[1]!db[NB NOTA_C],0)+1)</f>
        <v>1153</v>
      </c>
    </row>
    <row r="206" spans="1:40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Row],[CEK_EXP]]&lt;D205,"err","")</f>
        <v/>
      </c>
      <c r="D206" s="50">
        <f>IF(NOTA[[#This Row],[TANGGAL]]="",D205,NOTA[[#This Row],[TANGGAL]])</f>
        <v>44935</v>
      </c>
      <c r="E206" s="50">
        <f ca="1">IF(NOTA[[#This Row],[NAMA BARANG]]="","",INDEX(NOTA[ID],MATCH(,INDIRECT(ADDRESS(ROW(NOTA[ID]),COLUMN(NOTA[ID]))&amp;":"&amp;ADDRESS(ROW(),COLUMN(NOTA[ID]))),-1)))</f>
        <v>41</v>
      </c>
      <c r="F206" s="23"/>
      <c r="G206" s="26"/>
      <c r="H206" s="26"/>
      <c r="I206" s="31"/>
      <c r="J206" s="26"/>
      <c r="K206" s="51"/>
      <c r="L206" s="26"/>
      <c r="M206" s="26" t="s">
        <v>127</v>
      </c>
      <c r="N206" s="39">
        <v>3</v>
      </c>
      <c r="O206" s="26"/>
      <c r="P206" s="26"/>
      <c r="Q206" s="49"/>
      <c r="R206" s="52">
        <v>1860000</v>
      </c>
      <c r="S206" s="39" t="s">
        <v>119</v>
      </c>
      <c r="T206" s="53">
        <v>0.17</v>
      </c>
      <c r="U206" s="53"/>
      <c r="V206" s="54"/>
      <c r="W206" s="37"/>
      <c r="X206" s="54">
        <f>IF(NOTA[[#This Row],[HARGA/ CTN]]="",NOTA[[#This Row],[JUMLAH_H]],NOTA[[#This Row],[HARGA/ CTN]]*IF(NOTA[[#This Row],[C]]="",0,NOTA[[#This Row],[C]]))</f>
        <v>5580000</v>
      </c>
      <c r="Y206" s="54">
        <f>IF(NOTA[[#This Row],[JUMLAH]]="","",NOTA[[#This Row],[JUMLAH]]*NOTA[[#This Row],[DISC 1]])</f>
        <v>948600.00000000012</v>
      </c>
      <c r="Z206" s="54">
        <f>IF(NOTA[[#This Row],[JUMLAH]]="","",(NOTA[[#This Row],[JUMLAH]]-NOTA[[#This Row],[DISC 1-]])*NOTA[[#This Row],[DISC 2]])</f>
        <v>0</v>
      </c>
      <c r="AA206" s="54">
        <f>IF(NOTA[[#This Row],[JUMLAH]]="","",NOTA[[#This Row],[DISC 1-]]+NOTA[[#This Row],[DISC 2-]])</f>
        <v>948600.00000000012</v>
      </c>
      <c r="AB206" s="54">
        <f>IF(NOTA[[#This Row],[JUMLAH]]="","",NOTA[[#This Row],[JUMLAH]]-NOTA[[#This Row],[DISC]])</f>
        <v>4631400</v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06" s="54" t="str">
        <f>IF(OR(NOTA[[#This Row],[QTY]]="",NOTA[[#This Row],[HARGA SATUAN]]="",),"",NOTA[[#This Row],[QTY]]*NOTA[[#This Row],[HARGA SATUAN]])</f>
        <v/>
      </c>
      <c r="AG206" s="51">
        <f ca="1">IF(NOTA[ID_H]="","",INDEX(NOTA[TANGGAL],MATCH(,INDIRECT(ADDRESS(ROW(NOTA[TANGGAL]),COLUMN(NOTA[TANGGAL]))&amp;":"&amp;ADDRESS(ROW(),COLUMN(NOTA[TANGGAL]))),-1)))</f>
        <v>44935</v>
      </c>
      <c r="AH206" s="65" t="str">
        <f ca="1">IF(NOTA[[#This Row],[NAMA BARANG]]="","",INDEX(NOTA[SUPPLIER],MATCH(,INDIRECT(ADDRESS(ROW(NOTA[ID]),COLUMN(NOTA[ID]))&amp;":"&amp;ADDRESS(ROW(),COLUMN(NOTA[ID]))),-1)))</f>
        <v>KENKO SINAR INDONESIA</v>
      </c>
      <c r="AI206" s="65" t="str">
        <f ca="1">IF(NOTA[[#This Row],[ID_H]]="","",IF(NOTA[[#This Row],[FAKTUR]]="",INDIRECT(ADDRESS(ROW()-1,COLUMN())),NOTA[[#This Row],[FAKTUR]]))</f>
        <v>ARTO MORO</v>
      </c>
      <c r="AJ206" s="38" t="str">
        <f ca="1">IF(NOTA[[#This Row],[ID]]="","",COUNTIF(NOTA[ID_H],NOTA[[#This Row],[ID_H]]))</f>
        <v/>
      </c>
      <c r="AK206" s="38">
        <f ca="1">IF(NOTA[[#This Row],[TGL.NOTA]]="",IF(NOTA[[#This Row],[SUPPLIER_H]]="","",AK205),MONTH(NOTA[[#This Row],[TGL.NOTA]]))</f>
        <v>1</v>
      </c>
      <c r="AL20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06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N206" s="184">
        <f>IF(NOTA[[#This Row],[CONCAT1]]="","",MATCH(NOTA[[#This Row],[CONCAT1]],[1]!db[NB NOTA_C],0)+1)</f>
        <v>1292</v>
      </c>
    </row>
    <row r="207" spans="1:40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Row],[CEK_EXP]]&lt;D206,"err","")</f>
        <v/>
      </c>
      <c r="D207" s="50">
        <f>IF(NOTA[[#This Row],[TANGGAL]]="",D206,NOTA[[#This Row],[TANGGAL]])</f>
        <v>44935</v>
      </c>
      <c r="E207" s="50">
        <f ca="1">IF(NOTA[[#This Row],[NAMA BARANG]]="","",INDEX(NOTA[ID],MATCH(,INDIRECT(ADDRESS(ROW(NOTA[ID]),COLUMN(NOTA[ID]))&amp;":"&amp;ADDRESS(ROW(),COLUMN(NOTA[ID]))),-1)))</f>
        <v>41</v>
      </c>
      <c r="F207" s="23"/>
      <c r="G207" s="26"/>
      <c r="H207" s="26"/>
      <c r="I207" s="31"/>
      <c r="J207" s="26"/>
      <c r="K207" s="51"/>
      <c r="L207" s="26"/>
      <c r="M207" s="26" t="s">
        <v>412</v>
      </c>
      <c r="N207" s="39">
        <v>2</v>
      </c>
      <c r="O207" s="26"/>
      <c r="P207" s="26"/>
      <c r="Q207" s="49"/>
      <c r="R207" s="52">
        <v>2100000</v>
      </c>
      <c r="S207" s="39" t="s">
        <v>365</v>
      </c>
      <c r="T207" s="53">
        <v>0.17</v>
      </c>
      <c r="U207" s="53"/>
      <c r="V207" s="54"/>
      <c r="W207" s="37"/>
      <c r="X207" s="54">
        <f>IF(NOTA[[#This Row],[HARGA/ CTN]]="",NOTA[[#This Row],[JUMLAH_H]],NOTA[[#This Row],[HARGA/ CTN]]*IF(NOTA[[#This Row],[C]]="",0,NOTA[[#This Row],[C]]))</f>
        <v>4200000</v>
      </c>
      <c r="Y207" s="54">
        <f>IF(NOTA[[#This Row],[JUMLAH]]="","",NOTA[[#This Row],[JUMLAH]]*NOTA[[#This Row],[DISC 1]])</f>
        <v>714000</v>
      </c>
      <c r="Z207" s="54">
        <f>IF(NOTA[[#This Row],[JUMLAH]]="","",(NOTA[[#This Row],[JUMLAH]]-NOTA[[#This Row],[DISC 1-]])*NOTA[[#This Row],[DISC 2]])</f>
        <v>0</v>
      </c>
      <c r="AA207" s="54">
        <f>IF(NOTA[[#This Row],[JUMLAH]]="","",NOTA[[#This Row],[DISC 1-]]+NOTA[[#This Row],[DISC 2-]])</f>
        <v>714000</v>
      </c>
      <c r="AB207" s="54">
        <f>IF(NOTA[[#This Row],[JUMLAH]]="","",NOTA[[#This Row],[JUMLAH]]-NOTA[[#This Row],[DISC]])</f>
        <v>3486000</v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207" s="54" t="str">
        <f>IF(OR(NOTA[[#This Row],[QTY]]="",NOTA[[#This Row],[HARGA SATUAN]]="",),"",NOTA[[#This Row],[QTY]]*NOTA[[#This Row],[HARGA SATUAN]])</f>
        <v/>
      </c>
      <c r="AG207" s="51">
        <f ca="1">IF(NOTA[ID_H]="","",INDEX(NOTA[TANGGAL],MATCH(,INDIRECT(ADDRESS(ROW(NOTA[TANGGAL]),COLUMN(NOTA[TANGGAL]))&amp;":"&amp;ADDRESS(ROW(),COLUMN(NOTA[TANGGAL]))),-1)))</f>
        <v>44935</v>
      </c>
      <c r="AH207" s="65" t="str">
        <f ca="1">IF(NOTA[[#This Row],[NAMA BARANG]]="","",INDEX(NOTA[SUPPLIER],MATCH(,INDIRECT(ADDRESS(ROW(NOTA[ID]),COLUMN(NOTA[ID]))&amp;":"&amp;ADDRESS(ROW(),COLUMN(NOTA[ID]))),-1)))</f>
        <v>KENKO SINAR INDONESIA</v>
      </c>
      <c r="AI207" s="65" t="str">
        <f ca="1">IF(NOTA[[#This Row],[ID_H]]="","",IF(NOTA[[#This Row],[FAKTUR]]="",INDIRECT(ADDRESS(ROW()-1,COLUMN())),NOTA[[#This Row],[FAKTUR]]))</f>
        <v>ARTO MORO</v>
      </c>
      <c r="AJ207" s="38" t="str">
        <f ca="1">IF(NOTA[[#This Row],[ID]]="","",COUNTIF(NOTA[ID_H],NOTA[[#This Row],[ID_H]]))</f>
        <v/>
      </c>
      <c r="AK207" s="38">
        <f ca="1">IF(NOTA[[#This Row],[TGL.NOTA]]="",IF(NOTA[[#This Row],[SUPPLIER_H]]="","",AK206),MONTH(NOTA[[#This Row],[TGL.NOTA]]))</f>
        <v>1</v>
      </c>
      <c r="AL207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207" s="38" t="str">
        <f>IF(NOTA[C]="",NOTA[[#This Row],[CONCAT1]]&amp;NOTA[[#This Row],[HARGA SATUAN]],NOTA[[#This Row],[CONCAT1]]&amp;NOTA[[#This Row],[HARGA/ CTN_H]]&amp;NOTA[[#This Row],[DISC 1]]&amp;NOTA[[#This Row],[DISC 2]])</f>
        <v>kenkostainlesssteelruler30cm21000000.17</v>
      </c>
      <c r="AN207" s="184">
        <f>IF(NOTA[[#This Row],[CONCAT1]]="","",MATCH(NOTA[[#This Row],[CONCAT1]],[1]!db[NB NOTA_C],0)+1)</f>
        <v>1281</v>
      </c>
    </row>
    <row r="208" spans="1:40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Row],[CEK_EXP]]&lt;D207,"err","")</f>
        <v/>
      </c>
      <c r="D208" s="50">
        <f>IF(NOTA[[#This Row],[TANGGAL]]="",D207,NOTA[[#This Row],[TANGGAL]])</f>
        <v>44935</v>
      </c>
      <c r="E208" s="50">
        <f ca="1">IF(NOTA[[#This Row],[NAMA BARANG]]="","",INDEX(NOTA[ID],MATCH(,INDIRECT(ADDRESS(ROW(NOTA[ID]),COLUMN(NOTA[ID]))&amp;":"&amp;ADDRESS(ROW(),COLUMN(NOTA[ID]))),-1)))</f>
        <v>41</v>
      </c>
      <c r="F208" s="23"/>
      <c r="G208" s="26"/>
      <c r="H208" s="26"/>
      <c r="I208" s="31"/>
      <c r="J208" s="26"/>
      <c r="K208" s="51"/>
      <c r="L208" s="26"/>
      <c r="M208" s="26" t="s">
        <v>357</v>
      </c>
      <c r="N208" s="39">
        <v>1</v>
      </c>
      <c r="O208" s="26"/>
      <c r="P208" s="26"/>
      <c r="Q208" s="49"/>
      <c r="R208" s="52">
        <v>2280000</v>
      </c>
      <c r="S208" s="39" t="s">
        <v>366</v>
      </c>
      <c r="T208" s="53">
        <v>0.17</v>
      </c>
      <c r="U208" s="53"/>
      <c r="V208" s="54"/>
      <c r="W208" s="37"/>
      <c r="X208" s="54">
        <f>IF(NOTA[[#This Row],[HARGA/ CTN]]="",NOTA[[#This Row],[JUMLAH_H]],NOTA[[#This Row],[HARGA/ CTN]]*IF(NOTA[[#This Row],[C]]="",0,NOTA[[#This Row],[C]]))</f>
        <v>2280000</v>
      </c>
      <c r="Y208" s="54">
        <f>IF(NOTA[[#This Row],[JUMLAH]]="","",NOTA[[#This Row],[JUMLAH]]*NOTA[[#This Row],[DISC 1]])</f>
        <v>387600</v>
      </c>
      <c r="Z208" s="54">
        <f>IF(NOTA[[#This Row],[JUMLAH]]="","",(NOTA[[#This Row],[JUMLAH]]-NOTA[[#This Row],[DISC 1-]])*NOTA[[#This Row],[DISC 2]])</f>
        <v>0</v>
      </c>
      <c r="AA208" s="54">
        <f>IF(NOTA[[#This Row],[JUMLAH]]="","",NOTA[[#This Row],[DISC 1-]]+NOTA[[#This Row],[DISC 2-]])</f>
        <v>387600</v>
      </c>
      <c r="AB208" s="54">
        <f>IF(NOTA[[#This Row],[JUMLAH]]="","",NOTA[[#This Row],[JUMLAH]]-NOTA[[#This Row],[DISC]])</f>
        <v>1892400</v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08" s="54" t="str">
        <f>IF(OR(NOTA[[#This Row],[QTY]]="",NOTA[[#This Row],[HARGA SATUAN]]="",),"",NOTA[[#This Row],[QTY]]*NOTA[[#This Row],[HARGA SATUAN]])</f>
        <v/>
      </c>
      <c r="AG208" s="51">
        <f ca="1">IF(NOTA[ID_H]="","",INDEX(NOTA[TANGGAL],MATCH(,INDIRECT(ADDRESS(ROW(NOTA[TANGGAL]),COLUMN(NOTA[TANGGAL]))&amp;":"&amp;ADDRESS(ROW(),COLUMN(NOTA[TANGGAL]))),-1)))</f>
        <v>44935</v>
      </c>
      <c r="AH208" s="65" t="str">
        <f ca="1">IF(NOTA[[#This Row],[NAMA BARANG]]="","",INDEX(NOTA[SUPPLIER],MATCH(,INDIRECT(ADDRESS(ROW(NOTA[ID]),COLUMN(NOTA[ID]))&amp;":"&amp;ADDRESS(ROW(),COLUMN(NOTA[ID]))),-1)))</f>
        <v>KENKO SINAR INDONESIA</v>
      </c>
      <c r="AI208" s="65" t="str">
        <f ca="1">IF(NOTA[[#This Row],[ID_H]]="","",IF(NOTA[[#This Row],[FAKTUR]]="",INDIRECT(ADDRESS(ROW()-1,COLUMN())),NOTA[[#This Row],[FAKTUR]]))</f>
        <v>ARTO MORO</v>
      </c>
      <c r="AJ208" s="38" t="str">
        <f ca="1">IF(NOTA[[#This Row],[ID]]="","",COUNTIF(NOTA[ID_H],NOTA[[#This Row],[ID_H]]))</f>
        <v/>
      </c>
      <c r="AK208" s="38">
        <f ca="1">IF(NOTA[[#This Row],[TGL.NOTA]]="",IF(NOTA[[#This Row],[SUPPLIER_H]]="","",AK207),MONTH(NOTA[[#This Row],[TGL.NOTA]]))</f>
        <v>1</v>
      </c>
      <c r="AL208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208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N208" s="184">
        <f>IF(NOTA[[#This Row],[CONCAT1]]="","",MATCH(NOTA[[#This Row],[CONCAT1]],[1]!db[NB NOTA_C],0)+1)</f>
        <v>1298</v>
      </c>
    </row>
    <row r="209" spans="1:40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Row],[CEK_EXP]]&lt;D208,"err","")</f>
        <v/>
      </c>
      <c r="D209" s="50">
        <f>IF(NOTA[[#This Row],[TANGGAL]]="",D208,NOTA[[#This Row],[TANGGAL]])</f>
        <v>44935</v>
      </c>
      <c r="E209" s="50">
        <f ca="1">IF(NOTA[[#This Row],[NAMA BARANG]]="","",INDEX(NOTA[ID],MATCH(,INDIRECT(ADDRESS(ROW(NOTA[ID]),COLUMN(NOTA[ID]))&amp;":"&amp;ADDRESS(ROW(),COLUMN(NOTA[ID]))),-1)))</f>
        <v>41</v>
      </c>
      <c r="F209" s="23"/>
      <c r="G209" s="26"/>
      <c r="H209" s="26"/>
      <c r="I209" s="31"/>
      <c r="J209" s="26"/>
      <c r="K209" s="51"/>
      <c r="L209" s="26"/>
      <c r="M209" s="26" t="s">
        <v>335</v>
      </c>
      <c r="N209" s="39">
        <v>2</v>
      </c>
      <c r="O209" s="26"/>
      <c r="P209" s="26"/>
      <c r="Q209" s="49"/>
      <c r="R209" s="52">
        <v>3888000</v>
      </c>
      <c r="S209" s="39" t="s">
        <v>376</v>
      </c>
      <c r="T209" s="53">
        <v>0.17</v>
      </c>
      <c r="U209" s="53"/>
      <c r="V209" s="54"/>
      <c r="W209" s="37"/>
      <c r="X209" s="54">
        <f>IF(NOTA[[#This Row],[HARGA/ CTN]]="",NOTA[[#This Row],[JUMLAH_H]],NOTA[[#This Row],[HARGA/ CTN]]*IF(NOTA[[#This Row],[C]]="",0,NOTA[[#This Row],[C]]))</f>
        <v>7776000</v>
      </c>
      <c r="Y209" s="54">
        <f>IF(NOTA[[#This Row],[JUMLAH]]="","",NOTA[[#This Row],[JUMLAH]]*NOTA[[#This Row],[DISC 1]])</f>
        <v>1321920</v>
      </c>
      <c r="Z209" s="54">
        <f>IF(NOTA[[#This Row],[JUMLAH]]="","",(NOTA[[#This Row],[JUMLAH]]-NOTA[[#This Row],[DISC 1-]])*NOTA[[#This Row],[DISC 2]])</f>
        <v>0</v>
      </c>
      <c r="AA209" s="54">
        <f>IF(NOTA[[#This Row],[JUMLAH]]="","",NOTA[[#This Row],[DISC 1-]]+NOTA[[#This Row],[DISC 2-]])</f>
        <v>1321920</v>
      </c>
      <c r="AB209" s="54">
        <f>IF(NOTA[[#This Row],[JUMLAH]]="","",NOTA[[#This Row],[JUMLAH]]-NOTA[[#This Row],[DISC]])</f>
        <v>6454080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6487744</v>
      </c>
      <c r="AD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31675456</v>
      </c>
      <c r="AE2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09" s="54" t="str">
        <f>IF(OR(NOTA[[#This Row],[QTY]]="",NOTA[[#This Row],[HARGA SATUAN]]="",),"",NOTA[[#This Row],[QTY]]*NOTA[[#This Row],[HARGA SATUAN]])</f>
        <v/>
      </c>
      <c r="AG209" s="51">
        <f ca="1">IF(NOTA[ID_H]="","",INDEX(NOTA[TANGGAL],MATCH(,INDIRECT(ADDRESS(ROW(NOTA[TANGGAL]),COLUMN(NOTA[TANGGAL]))&amp;":"&amp;ADDRESS(ROW(),COLUMN(NOTA[TANGGAL]))),-1)))</f>
        <v>44935</v>
      </c>
      <c r="AH209" s="65" t="str">
        <f ca="1">IF(NOTA[[#This Row],[NAMA BARANG]]="","",INDEX(NOTA[SUPPLIER],MATCH(,INDIRECT(ADDRESS(ROW(NOTA[ID]),COLUMN(NOTA[ID]))&amp;":"&amp;ADDRESS(ROW(),COLUMN(NOTA[ID]))),-1)))</f>
        <v>KENKO SINAR INDONESIA</v>
      </c>
      <c r="AI209" s="65" t="str">
        <f ca="1">IF(NOTA[[#This Row],[ID_H]]="","",IF(NOTA[[#This Row],[FAKTUR]]="",INDIRECT(ADDRESS(ROW()-1,COLUMN())),NOTA[[#This Row],[FAKTUR]]))</f>
        <v>ARTO MORO</v>
      </c>
      <c r="AJ209" s="38" t="str">
        <f ca="1">IF(NOTA[[#This Row],[ID]]="","",COUNTIF(NOTA[ID_H],NOTA[[#This Row],[ID_H]]))</f>
        <v/>
      </c>
      <c r="AK209" s="38">
        <f ca="1">IF(NOTA[[#This Row],[TGL.NOTA]]="",IF(NOTA[[#This Row],[SUPPLIER_H]]="","",AK208),MONTH(NOTA[[#This Row],[TGL.NOTA]]))</f>
        <v>1</v>
      </c>
      <c r="AL20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09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N209" s="184">
        <f>IF(NOTA[[#This Row],[CONCAT1]]="","",MATCH(NOTA[[#This Row],[CONCAT1]],[1]!db[NB NOTA_C],0)+1)</f>
        <v>1133</v>
      </c>
    </row>
    <row r="210" spans="1:40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Row],[CEK_EXP]]&lt;D209,"err","")</f>
        <v/>
      </c>
      <c r="D210" s="50">
        <f>IF(NOTA[[#This Row],[TANGGAL]]="",D209,NOTA[[#This Row],[TANGGAL]])</f>
        <v>44935</v>
      </c>
      <c r="E210" s="50" t="str">
        <f ca="1">IF(NOTA[[#This Row],[NAMA BARANG]]="","",INDEX(NOTA[ID],MATCH(,INDIRECT(ADDRESS(ROW(NOTA[ID]),COLUMN(NOTA[ID]))&amp;":"&amp;ADDRESS(ROW(),COLUMN(NOTA[ID]))),-1)))</f>
        <v/>
      </c>
      <c r="F210" s="23"/>
      <c r="G210" s="26"/>
      <c r="H210" s="26"/>
      <c r="I210" s="31"/>
      <c r="J210" s="26"/>
      <c r="K210" s="51"/>
      <c r="L210" s="26"/>
      <c r="M210" s="26"/>
      <c r="N210" s="39"/>
      <c r="O210" s="26"/>
      <c r="P210" s="26"/>
      <c r="Q210" s="49"/>
      <c r="R210" s="52"/>
      <c r="S210" s="39"/>
      <c r="T210" s="53"/>
      <c r="U210" s="53"/>
      <c r="V210" s="54"/>
      <c r="W210" s="37"/>
      <c r="X210" s="54" t="str">
        <f>IF(NOTA[[#This Row],[HARGA/ CTN]]="",NOTA[[#This Row],[JUMLAH_H]],NOTA[[#This Row],[HARGA/ CTN]]*IF(NOTA[[#This Row],[C]]="",0,NOTA[[#This Row],[C]]))</f>
        <v/>
      </c>
      <c r="Y210" s="54" t="str">
        <f>IF(NOTA[[#This Row],[JUMLAH]]="","",NOTA[[#This Row],[JUMLAH]]*NOTA[[#This Row],[DISC 1]])</f>
        <v/>
      </c>
      <c r="Z210" s="54" t="str">
        <f>IF(NOTA[[#This Row],[JUMLAH]]="","",(NOTA[[#This Row],[JUMLAH]]-NOTA[[#This Row],[DISC 1-]])*NOTA[[#This Row],[DISC 2]])</f>
        <v/>
      </c>
      <c r="AA210" s="54" t="str">
        <f>IF(NOTA[[#This Row],[JUMLAH]]="","",NOTA[[#This Row],[DISC 1-]]+NOTA[[#This Row],[DISC 2-]])</f>
        <v/>
      </c>
      <c r="AB210" s="54" t="str">
        <f>IF(NOTA[[#This Row],[JUMLAH]]="","",NOTA[[#This Row],[JUMLAH]]-NOTA[[#This Row],[DISC]])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0" s="54" t="str">
        <f>IF(OR(NOTA[[#This Row],[QTY]]="",NOTA[[#This Row],[HARGA SATUAN]]="",),"",NOTA[[#This Row],[QTY]]*NOTA[[#This Row],[HARGA SATUAN]])</f>
        <v/>
      </c>
      <c r="AG210" s="51" t="str">
        <f ca="1">IF(NOTA[ID_H]="","",INDEX(NOTA[TANGGAL],MATCH(,INDIRECT(ADDRESS(ROW(NOTA[TANGGAL]),COLUMN(NOTA[TANGGAL]))&amp;":"&amp;ADDRESS(ROW(),COLUMN(NOTA[TANGGAL]))),-1)))</f>
        <v/>
      </c>
      <c r="AH210" s="65" t="str">
        <f ca="1">IF(NOTA[[#This Row],[NAMA BARANG]]="","",INDEX(NOTA[SUPPLIER],MATCH(,INDIRECT(ADDRESS(ROW(NOTA[ID]),COLUMN(NOTA[ID]))&amp;":"&amp;ADDRESS(ROW(),COLUMN(NOTA[ID]))),-1)))</f>
        <v/>
      </c>
      <c r="AI210" s="65" t="str">
        <f ca="1">IF(NOTA[[#This Row],[ID_H]]="","",IF(NOTA[[#This Row],[FAKTUR]]="",INDIRECT(ADDRESS(ROW()-1,COLUMN())),NOTA[[#This Row],[FAKTUR]]))</f>
        <v/>
      </c>
      <c r="AJ210" s="38" t="str">
        <f ca="1">IF(NOTA[[#This Row],[ID]]="","",COUNTIF(NOTA[ID_H],NOTA[[#This Row],[ID_H]]))</f>
        <v/>
      </c>
      <c r="AK210" s="38" t="str">
        <f ca="1">IF(NOTA[[#This Row],[TGL.NOTA]]="",IF(NOTA[[#This Row],[SUPPLIER_H]]="","",AK209),MONTH(NOTA[[#This Row],[TGL.NOTA]]))</f>
        <v/>
      </c>
      <c r="AL210" s="38" t="str">
        <f>LOWER(SUBSTITUTE(SUBSTITUTE(SUBSTITUTE(SUBSTITUTE(SUBSTITUTE(SUBSTITUTE(SUBSTITUTE(SUBSTITUTE(SUBSTITUTE(NOTA[NAMA BARANG]," ",),".",""),"-",""),"(",""),")",""),",",""),"/",""),"""",""),"+",""))</f>
        <v/>
      </c>
      <c r="AM210" s="38" t="str">
        <f>IF(NOTA[C]="",NOTA[[#This Row],[CONCAT1]]&amp;NOTA[[#This Row],[HARGA SATUAN]],NOTA[[#This Row],[CONCAT1]]&amp;NOTA[[#This Row],[HARGA/ CTN_H]]&amp;NOTA[[#This Row],[DISC 1]]&amp;NOTA[[#This Row],[DISC 2]])</f>
        <v/>
      </c>
      <c r="AN210" s="184" t="str">
        <f>IF(NOTA[[#This Row],[CONCAT1]]="","",MATCH(NOTA[[#This Row],[CONCAT1]],[1]!db[NB NOTA_C],0)+1)</f>
        <v/>
      </c>
    </row>
    <row r="211" spans="1:40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KEN_0901_249-1</v>
      </c>
      <c r="C211" s="50" t="str">
        <f>IF(NOTA[[#This Row],[CEK_EXP]]&lt;D210,"err","")</f>
        <v/>
      </c>
      <c r="D211" s="50">
        <f>IF(NOTA[[#This Row],[TANGGAL]]="",D210,NOTA[[#This Row],[TANGGAL]])</f>
        <v>44935</v>
      </c>
      <c r="E211" s="50">
        <f ca="1">IF(NOTA[[#This Row],[NAMA BARANG]]="","",INDEX(NOTA[ID],MATCH(,INDIRECT(ADDRESS(ROW(NOTA[ID]),COLUMN(NOTA[ID]))&amp;":"&amp;ADDRESS(ROW(),COLUMN(NOTA[ID]))),-1)))</f>
        <v>42</v>
      </c>
      <c r="F211" s="23"/>
      <c r="G211" s="26" t="s">
        <v>23</v>
      </c>
      <c r="H211" s="26" t="s">
        <v>24</v>
      </c>
      <c r="I211" s="31" t="s">
        <v>386</v>
      </c>
      <c r="J211" s="26" t="s">
        <v>387</v>
      </c>
      <c r="K211" s="51">
        <v>44931</v>
      </c>
      <c r="L211" s="26"/>
      <c r="M211" s="26" t="s">
        <v>413</v>
      </c>
      <c r="N211" s="39">
        <v>5</v>
      </c>
      <c r="O211" s="26"/>
      <c r="P211" s="26"/>
      <c r="Q211" s="49"/>
      <c r="R211" s="52">
        <v>2170800</v>
      </c>
      <c r="S211" s="39" t="s">
        <v>118</v>
      </c>
      <c r="T211" s="53">
        <v>0.17</v>
      </c>
      <c r="U211" s="53"/>
      <c r="V211" s="54"/>
      <c r="W211" s="37"/>
      <c r="X211" s="54">
        <f>IF(NOTA[[#This Row],[HARGA/ CTN]]="",NOTA[[#This Row],[JUMLAH_H]],NOTA[[#This Row],[HARGA/ CTN]]*IF(NOTA[[#This Row],[C]]="",0,NOTA[[#This Row],[C]]))</f>
        <v>10854000</v>
      </c>
      <c r="Y211" s="54">
        <f>IF(NOTA[[#This Row],[JUMLAH]]="","",NOTA[[#This Row],[JUMLAH]]*NOTA[[#This Row],[DISC 1]])</f>
        <v>1845180.0000000002</v>
      </c>
      <c r="Z211" s="54">
        <f>IF(NOTA[[#This Row],[JUMLAH]]="","",(NOTA[[#This Row],[JUMLAH]]-NOTA[[#This Row],[DISC 1-]])*NOTA[[#This Row],[DISC 2]])</f>
        <v>0</v>
      </c>
      <c r="AA211" s="54">
        <f>IF(NOTA[[#This Row],[JUMLAH]]="","",NOTA[[#This Row],[DISC 1-]]+NOTA[[#This Row],[DISC 2-]])</f>
        <v>1845180.0000000002</v>
      </c>
      <c r="AB211" s="54">
        <f>IF(NOTA[[#This Row],[JUMLAH]]="","",NOTA[[#This Row],[JUMLAH]]-NOTA[[#This Row],[DISC]])</f>
        <v>9008820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1845180.0000000002</v>
      </c>
      <c r="AD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9008820</v>
      </c>
      <c r="AE211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11" s="54" t="str">
        <f>IF(OR(NOTA[[#This Row],[QTY]]="",NOTA[[#This Row],[HARGA SATUAN]]="",),"",NOTA[[#This Row],[QTY]]*NOTA[[#This Row],[HARGA SATUAN]])</f>
        <v/>
      </c>
      <c r="AG211" s="51">
        <f ca="1">IF(NOTA[ID_H]="","",INDEX(NOTA[TANGGAL],MATCH(,INDIRECT(ADDRESS(ROW(NOTA[TANGGAL]),COLUMN(NOTA[TANGGAL]))&amp;":"&amp;ADDRESS(ROW(),COLUMN(NOTA[TANGGAL]))),-1)))</f>
        <v>44935</v>
      </c>
      <c r="AH211" s="65" t="str">
        <f ca="1">IF(NOTA[[#This Row],[NAMA BARANG]]="","",INDEX(NOTA[SUPPLIER],MATCH(,INDIRECT(ADDRESS(ROW(NOTA[ID]),COLUMN(NOTA[ID]))&amp;":"&amp;ADDRESS(ROW(),COLUMN(NOTA[ID]))),-1)))</f>
        <v>KENKO SINAR INDONESIA</v>
      </c>
      <c r="AI211" s="65" t="str">
        <f ca="1">IF(NOTA[[#This Row],[ID_H]]="","",IF(NOTA[[#This Row],[FAKTUR]]="",INDIRECT(ADDRESS(ROW()-1,COLUMN())),NOTA[[#This Row],[FAKTUR]]))</f>
        <v>ARTO MORO</v>
      </c>
      <c r="AJ211" s="38">
        <f ca="1">IF(NOTA[[#This Row],[ID]]="","",COUNTIF(NOTA[ID_H],NOTA[[#This Row],[ID_H]]))</f>
        <v>1</v>
      </c>
      <c r="AK211" s="38">
        <f>IF(NOTA[[#This Row],[TGL.NOTA]]="",IF(NOTA[[#This Row],[SUPPLIER_H]]="","",AK210),MONTH(NOTA[[#This Row],[TGL.NOTA]]))</f>
        <v>1</v>
      </c>
      <c r="AL21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11" s="38" t="str">
        <f>IF(NOTA[C]="",NOTA[[#This Row],[CONCAT1]]&amp;NOTA[[#This Row],[HARGA SATUAN]],NOTA[[#This Row],[CONCAT1]]&amp;NOTA[[#This Row],[HARGA/ CTN_H]]&amp;NOTA[[#This Row],[DISC 1]]&amp;NOTA[[#This Row],[DISC 2]])</f>
        <v>kenkocorrectionfluidke826m21708000.17</v>
      </c>
      <c r="AN211" s="184">
        <f>IF(NOTA[[#This Row],[CONCAT1]]="","",MATCH(NOTA[[#This Row],[CONCAT1]],[1]!db[NB NOTA_C],0)+1)</f>
        <v>1107</v>
      </c>
    </row>
    <row r="212" spans="1:40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Row],[CEK_EXP]]&lt;D211,"err","")</f>
        <v/>
      </c>
      <c r="D212" s="50">
        <f>IF(NOTA[[#This Row],[TANGGAL]]="",D211,NOTA[[#This Row],[TANGGAL]])</f>
        <v>44935</v>
      </c>
      <c r="E212" s="50" t="str">
        <f ca="1">IF(NOTA[[#This Row],[NAMA BARANG]]="","",INDEX(NOTA[ID],MATCH(,INDIRECT(ADDRESS(ROW(NOTA[ID]),COLUMN(NOTA[ID]))&amp;":"&amp;ADDRESS(ROW(),COLUMN(NOTA[ID]))),-1)))</f>
        <v/>
      </c>
      <c r="F212" s="23"/>
      <c r="G212" s="26"/>
      <c r="H212" s="26"/>
      <c r="I212" s="31"/>
      <c r="J212" s="26"/>
      <c r="K212" s="51"/>
      <c r="L212" s="26"/>
      <c r="M212" s="26"/>
      <c r="N212" s="39"/>
      <c r="O212" s="26"/>
      <c r="P212" s="26"/>
      <c r="Q212" s="49"/>
      <c r="R212" s="52"/>
      <c r="S212" s="39"/>
      <c r="T212" s="53"/>
      <c r="U212" s="53"/>
      <c r="V212" s="54"/>
      <c r="W212" s="37"/>
      <c r="X212" s="54" t="str">
        <f>IF(NOTA[[#This Row],[HARGA/ CTN]]="",NOTA[[#This Row],[JUMLAH_H]],NOTA[[#This Row],[HARGA/ CTN]]*IF(NOTA[[#This Row],[C]]="",0,NOTA[[#This Row],[C]]))</f>
        <v/>
      </c>
      <c r="Y212" s="54" t="str">
        <f>IF(NOTA[[#This Row],[JUMLAH]]="","",NOTA[[#This Row],[JUMLAH]]*NOTA[[#This Row],[DISC 1]])</f>
        <v/>
      </c>
      <c r="Z212" s="54" t="str">
        <f>IF(NOTA[[#This Row],[JUMLAH]]="","",(NOTA[[#This Row],[JUMLAH]]-NOTA[[#This Row],[DISC 1-]])*NOTA[[#This Row],[DISC 2]])</f>
        <v/>
      </c>
      <c r="AA212" s="54" t="str">
        <f>IF(NOTA[[#This Row],[JUMLAH]]="","",NOTA[[#This Row],[DISC 1-]]+NOTA[[#This Row],[DISC 2-]])</f>
        <v/>
      </c>
      <c r="AB212" s="54" t="str">
        <f>IF(NOTA[[#This Row],[JUMLAH]]="","",NOTA[[#This Row],[JUMLAH]]-NOTA[[#This Row],[DISC]])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2" s="54" t="str">
        <f>IF(OR(NOTA[[#This Row],[QTY]]="",NOTA[[#This Row],[HARGA SATUAN]]="",),"",NOTA[[#This Row],[QTY]]*NOTA[[#This Row],[HARGA SATUAN]])</f>
        <v/>
      </c>
      <c r="AG212" s="51" t="str">
        <f ca="1">IF(NOTA[ID_H]="","",INDEX(NOTA[TANGGAL],MATCH(,INDIRECT(ADDRESS(ROW(NOTA[TANGGAL]),COLUMN(NOTA[TANGGAL]))&amp;":"&amp;ADDRESS(ROW(),COLUMN(NOTA[TANGGAL]))),-1)))</f>
        <v/>
      </c>
      <c r="AH212" s="65" t="str">
        <f ca="1">IF(NOTA[[#This Row],[NAMA BARANG]]="","",INDEX(NOTA[SUPPLIER],MATCH(,INDIRECT(ADDRESS(ROW(NOTA[ID]),COLUMN(NOTA[ID]))&amp;":"&amp;ADDRESS(ROW(),COLUMN(NOTA[ID]))),-1)))</f>
        <v/>
      </c>
      <c r="AI212" s="65" t="str">
        <f ca="1">IF(NOTA[[#This Row],[ID_H]]="","",IF(NOTA[[#This Row],[FAKTUR]]="",INDIRECT(ADDRESS(ROW()-1,COLUMN())),NOTA[[#This Row],[FAKTUR]]))</f>
        <v/>
      </c>
      <c r="AJ212" s="38" t="str">
        <f ca="1">IF(NOTA[[#This Row],[ID]]="","",COUNTIF(NOTA[ID_H],NOTA[[#This Row],[ID_H]]))</f>
        <v/>
      </c>
      <c r="AK212" s="38" t="str">
        <f ca="1">IF(NOTA[[#This Row],[TGL.NOTA]]="",IF(NOTA[[#This Row],[SUPPLIER_H]]="","",AK211),MONTH(NOTA[[#This Row],[TGL.NOTA]]))</f>
        <v/>
      </c>
      <c r="AL212" s="38" t="str">
        <f>LOWER(SUBSTITUTE(SUBSTITUTE(SUBSTITUTE(SUBSTITUTE(SUBSTITUTE(SUBSTITUTE(SUBSTITUTE(SUBSTITUTE(SUBSTITUTE(NOTA[NAMA BARANG]," ",),".",""),"-",""),"(",""),")",""),",",""),"/",""),"""",""),"+",""))</f>
        <v/>
      </c>
      <c r="AM212" s="38" t="str">
        <f>IF(NOTA[C]="",NOTA[[#This Row],[CONCAT1]]&amp;NOTA[[#This Row],[HARGA SATUAN]],NOTA[[#This Row],[CONCAT1]]&amp;NOTA[[#This Row],[HARGA/ CTN_H]]&amp;NOTA[[#This Row],[DISC 1]]&amp;NOTA[[#This Row],[DISC 2]])</f>
        <v/>
      </c>
      <c r="AN212" s="184" t="str">
        <f>IF(NOTA[[#This Row],[CONCAT1]]="","",MATCH(NOTA[[#This Row],[CONCAT1]],[1]!db[NB NOTA_C],0)+1)</f>
        <v/>
      </c>
    </row>
    <row r="213" spans="1:40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KEN_0901_211-7</v>
      </c>
      <c r="C213" s="50" t="str">
        <f>IF(NOTA[[#This Row],[CEK_EXP]]&lt;D212,"err","")</f>
        <v/>
      </c>
      <c r="D213" s="50">
        <f>IF(NOTA[[#This Row],[TANGGAL]]="",D212,NOTA[[#This Row],[TANGGAL]])</f>
        <v>44935</v>
      </c>
      <c r="E213" s="50">
        <f ca="1">IF(NOTA[[#This Row],[NAMA BARANG]]="","",INDEX(NOTA[ID],MATCH(,INDIRECT(ADDRESS(ROW(NOTA[ID]),COLUMN(NOTA[ID]))&amp;":"&amp;ADDRESS(ROW(),COLUMN(NOTA[ID]))),-1)))</f>
        <v>43</v>
      </c>
      <c r="F213" s="23"/>
      <c r="G213" s="26" t="s">
        <v>23</v>
      </c>
      <c r="H213" s="26" t="s">
        <v>24</v>
      </c>
      <c r="I213" s="31" t="s">
        <v>388</v>
      </c>
      <c r="J213" s="26" t="s">
        <v>389</v>
      </c>
      <c r="K213" s="51">
        <v>44931</v>
      </c>
      <c r="L213" s="26"/>
      <c r="M213" s="26" t="s">
        <v>390</v>
      </c>
      <c r="N213" s="39">
        <v>1</v>
      </c>
      <c r="O213" s="26"/>
      <c r="P213" s="26"/>
      <c r="Q213" s="49"/>
      <c r="R213" s="52">
        <v>2208000</v>
      </c>
      <c r="S213" s="39" t="s">
        <v>136</v>
      </c>
      <c r="T213" s="53">
        <v>0.17</v>
      </c>
      <c r="U213" s="53"/>
      <c r="V213" s="54"/>
      <c r="W213" s="37"/>
      <c r="X213" s="54">
        <f>IF(NOTA[[#This Row],[HARGA/ CTN]]="",NOTA[[#This Row],[JUMLAH_H]],NOTA[[#This Row],[HARGA/ CTN]]*IF(NOTA[[#This Row],[C]]="",0,NOTA[[#This Row],[C]]))</f>
        <v>2208000</v>
      </c>
      <c r="Y213" s="54">
        <f>IF(NOTA[[#This Row],[JUMLAH]]="","",NOTA[[#This Row],[JUMLAH]]*NOTA[[#This Row],[DISC 1]])</f>
        <v>375360</v>
      </c>
      <c r="Z213" s="54">
        <f>IF(NOTA[[#This Row],[JUMLAH]]="","",(NOTA[[#This Row],[JUMLAH]]-NOTA[[#This Row],[DISC 1-]])*NOTA[[#This Row],[DISC 2]])</f>
        <v>0</v>
      </c>
      <c r="AA213" s="54">
        <f>IF(NOTA[[#This Row],[JUMLAH]]="","",NOTA[[#This Row],[DISC 1-]]+NOTA[[#This Row],[DISC 2-]])</f>
        <v>375360</v>
      </c>
      <c r="AB213" s="54">
        <f>IF(NOTA[[#This Row],[JUMLAH]]="","",NOTA[[#This Row],[JUMLAH]]-NOTA[[#This Row],[DISC]])</f>
        <v>1832640</v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213" s="54" t="str">
        <f>IF(OR(NOTA[[#This Row],[QTY]]="",NOTA[[#This Row],[HARGA SATUAN]]="",),"",NOTA[[#This Row],[QTY]]*NOTA[[#This Row],[HARGA SATUAN]])</f>
        <v/>
      </c>
      <c r="AG213" s="51">
        <f ca="1">IF(NOTA[ID_H]="","",INDEX(NOTA[TANGGAL],MATCH(,INDIRECT(ADDRESS(ROW(NOTA[TANGGAL]),COLUMN(NOTA[TANGGAL]))&amp;":"&amp;ADDRESS(ROW(),COLUMN(NOTA[TANGGAL]))),-1)))</f>
        <v>44935</v>
      </c>
      <c r="AH213" s="65" t="str">
        <f ca="1">IF(NOTA[[#This Row],[NAMA BARANG]]="","",INDEX(NOTA[SUPPLIER],MATCH(,INDIRECT(ADDRESS(ROW(NOTA[ID]),COLUMN(NOTA[ID]))&amp;":"&amp;ADDRESS(ROW(),COLUMN(NOTA[ID]))),-1)))</f>
        <v>KENKO SINAR INDONESIA</v>
      </c>
      <c r="AI213" s="65" t="str">
        <f ca="1">IF(NOTA[[#This Row],[ID_H]]="","",IF(NOTA[[#This Row],[FAKTUR]]="",INDIRECT(ADDRESS(ROW()-1,COLUMN())),NOTA[[#This Row],[FAKTUR]]))</f>
        <v>ARTO MORO</v>
      </c>
      <c r="AJ213" s="38">
        <f ca="1">IF(NOTA[[#This Row],[ID]]="","",COUNTIF(NOTA[ID_H],NOTA[[#This Row],[ID_H]]))</f>
        <v>7</v>
      </c>
      <c r="AK213" s="38">
        <f>IF(NOTA[[#This Row],[TGL.NOTA]]="",IF(NOTA[[#This Row],[SUPPLIER_H]]="","",AK212),MONTH(NOTA[[#This Row],[TGL.NOTA]]))</f>
        <v>1</v>
      </c>
      <c r="AL21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213" s="38" t="str">
        <f>IF(NOTA[C]="",NOTA[[#This Row],[CONCAT1]]&amp;NOTA[[#This Row],[HARGA SATUAN]],NOTA[[#This Row],[CONCAT1]]&amp;NOTA[[#This Row],[HARGA/ CTN_H]]&amp;NOTA[[#This Row],[DISC 1]]&amp;NOTA[[#This Row],[DISC 2]])</f>
        <v>kenkopencil2b6191hijaucaphitam22080000.17</v>
      </c>
      <c r="AN213" s="184">
        <f>IF(NOTA[[#This Row],[CONCAT1]]="","",MATCH(NOTA[[#This Row],[CONCAT1]],[1]!db[NB NOTA_C],0)+1)</f>
        <v>1238</v>
      </c>
    </row>
    <row r="214" spans="1:40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Row],[CEK_EXP]]&lt;D213,"err","")</f>
        <v/>
      </c>
      <c r="D214" s="50">
        <f>IF(NOTA[[#This Row],[TANGGAL]]="",D213,NOTA[[#This Row],[TANGGAL]])</f>
        <v>44935</v>
      </c>
      <c r="E214" s="50">
        <f ca="1">IF(NOTA[[#This Row],[NAMA BARANG]]="","",INDEX(NOTA[ID],MATCH(,INDIRECT(ADDRESS(ROW(NOTA[ID]),COLUMN(NOTA[ID]))&amp;":"&amp;ADDRESS(ROW(),COLUMN(NOTA[ID]))),-1)))</f>
        <v>43</v>
      </c>
      <c r="F214" s="23"/>
      <c r="G214" s="26"/>
      <c r="H214" s="26"/>
      <c r="I214" s="31"/>
      <c r="J214" s="26"/>
      <c r="K214" s="51"/>
      <c r="L214" s="26"/>
      <c r="M214" s="26" t="s">
        <v>120</v>
      </c>
      <c r="N214" s="39">
        <v>2</v>
      </c>
      <c r="O214" s="26"/>
      <c r="P214" s="26"/>
      <c r="Q214" s="49"/>
      <c r="R214" s="52">
        <v>2880000</v>
      </c>
      <c r="S214" s="39" t="s">
        <v>121</v>
      </c>
      <c r="T214" s="53">
        <v>0.17</v>
      </c>
      <c r="U214" s="53"/>
      <c r="V214" s="54"/>
      <c r="W214" s="37"/>
      <c r="X214" s="54">
        <f>IF(NOTA[[#This Row],[HARGA/ CTN]]="",NOTA[[#This Row],[JUMLAH_H]],NOTA[[#This Row],[HARGA/ CTN]]*IF(NOTA[[#This Row],[C]]="",0,NOTA[[#This Row],[C]]))</f>
        <v>5760000</v>
      </c>
      <c r="Y214" s="54">
        <f>IF(NOTA[[#This Row],[JUMLAH]]="","",NOTA[[#This Row],[JUMLAH]]*NOTA[[#This Row],[DISC 1]])</f>
        <v>979200.00000000012</v>
      </c>
      <c r="Z214" s="54">
        <f>IF(NOTA[[#This Row],[JUMLAH]]="","",(NOTA[[#This Row],[JUMLAH]]-NOTA[[#This Row],[DISC 1-]])*NOTA[[#This Row],[DISC 2]])</f>
        <v>0</v>
      </c>
      <c r="AA214" s="54">
        <f>IF(NOTA[[#This Row],[JUMLAH]]="","",NOTA[[#This Row],[DISC 1-]]+NOTA[[#This Row],[DISC 2-]])</f>
        <v>979200.00000000012</v>
      </c>
      <c r="AB214" s="54">
        <f>IF(NOTA[[#This Row],[JUMLAH]]="","",NOTA[[#This Row],[JUMLAH]]-NOTA[[#This Row],[DISC]])</f>
        <v>4780800</v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14" s="54" t="str">
        <f>IF(OR(NOTA[[#This Row],[QTY]]="",NOTA[[#This Row],[HARGA SATUAN]]="",),"",NOTA[[#This Row],[QTY]]*NOTA[[#This Row],[HARGA SATUAN]])</f>
        <v/>
      </c>
      <c r="AG214" s="51">
        <f ca="1">IF(NOTA[ID_H]="","",INDEX(NOTA[TANGGAL],MATCH(,INDIRECT(ADDRESS(ROW(NOTA[TANGGAL]),COLUMN(NOTA[TANGGAL]))&amp;":"&amp;ADDRESS(ROW(),COLUMN(NOTA[TANGGAL]))),-1)))</f>
        <v>44935</v>
      </c>
      <c r="AH214" s="65" t="str">
        <f ca="1">IF(NOTA[[#This Row],[NAMA BARANG]]="","",INDEX(NOTA[SUPPLIER],MATCH(,INDIRECT(ADDRESS(ROW(NOTA[ID]),COLUMN(NOTA[ID]))&amp;":"&amp;ADDRESS(ROW(),COLUMN(NOTA[ID]))),-1)))</f>
        <v>KENKO SINAR INDONESIA</v>
      </c>
      <c r="AI214" s="65" t="str">
        <f ca="1">IF(NOTA[[#This Row],[ID_H]]="","",IF(NOTA[[#This Row],[FAKTUR]]="",INDIRECT(ADDRESS(ROW()-1,COLUMN())),NOTA[[#This Row],[FAKTUR]]))</f>
        <v>ARTO MORO</v>
      </c>
      <c r="AJ214" s="38" t="str">
        <f ca="1">IF(NOTA[[#This Row],[ID]]="","",COUNTIF(NOTA[ID_H],NOTA[[#This Row],[ID_H]]))</f>
        <v/>
      </c>
      <c r="AK214" s="38">
        <f ca="1">IF(NOTA[[#This Row],[TGL.NOTA]]="",IF(NOTA[[#This Row],[SUPPLIER_H]]="","",AK213),MONTH(NOTA[[#This Row],[TGL.NOTA]]))</f>
        <v>1</v>
      </c>
      <c r="AL214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14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N214" s="184">
        <f>IF(NOTA[[#This Row],[CONCAT1]]="","",MATCH(NOTA[[#This Row],[CONCAT1]],[1]!db[NB NOTA_C],0)+1)</f>
        <v>1124</v>
      </c>
    </row>
    <row r="215" spans="1:40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Row],[CEK_EXP]]&lt;D214,"err","")</f>
        <v/>
      </c>
      <c r="D215" s="50">
        <f>IF(NOTA[[#This Row],[TANGGAL]]="",D214,NOTA[[#This Row],[TANGGAL]])</f>
        <v>44935</v>
      </c>
      <c r="E215" s="50">
        <f ca="1">IF(NOTA[[#This Row],[NAMA BARANG]]="","",INDEX(NOTA[ID],MATCH(,INDIRECT(ADDRESS(ROW(NOTA[ID]),COLUMN(NOTA[ID]))&amp;":"&amp;ADDRESS(ROW(),COLUMN(NOTA[ID]))),-1)))</f>
        <v>43</v>
      </c>
      <c r="F215" s="23"/>
      <c r="G215" s="26"/>
      <c r="H215" s="26"/>
      <c r="I215" s="31"/>
      <c r="J215" s="26"/>
      <c r="K215" s="51"/>
      <c r="L215" s="26"/>
      <c r="M215" s="26" t="s">
        <v>391</v>
      </c>
      <c r="N215" s="39">
        <v>1</v>
      </c>
      <c r="O215" s="26"/>
      <c r="P215" s="26"/>
      <c r="Q215" s="49"/>
      <c r="R215" s="52">
        <v>2995200</v>
      </c>
      <c r="S215" s="39" t="s">
        <v>121</v>
      </c>
      <c r="T215" s="53">
        <v>0.17</v>
      </c>
      <c r="U215" s="53"/>
      <c r="V215" s="54"/>
      <c r="W215" s="37"/>
      <c r="X215" s="54">
        <f>IF(NOTA[[#This Row],[HARGA/ CTN]]="",NOTA[[#This Row],[JUMLAH_H]],NOTA[[#This Row],[HARGA/ CTN]]*IF(NOTA[[#This Row],[C]]="",0,NOTA[[#This Row],[C]]))</f>
        <v>2995200</v>
      </c>
      <c r="Y215" s="54">
        <f>IF(NOTA[[#This Row],[JUMLAH]]="","",NOTA[[#This Row],[JUMLAH]]*NOTA[[#This Row],[DISC 1]])</f>
        <v>509184.00000000006</v>
      </c>
      <c r="Z215" s="54">
        <f>IF(NOTA[[#This Row],[JUMLAH]]="","",(NOTA[[#This Row],[JUMLAH]]-NOTA[[#This Row],[DISC 1-]])*NOTA[[#This Row],[DISC 2]])</f>
        <v>0</v>
      </c>
      <c r="AA215" s="54">
        <f>IF(NOTA[[#This Row],[JUMLAH]]="","",NOTA[[#This Row],[DISC 1-]]+NOTA[[#This Row],[DISC 2-]])</f>
        <v>509184.00000000006</v>
      </c>
      <c r="AB215" s="54">
        <f>IF(NOTA[[#This Row],[JUMLAH]]="","",NOTA[[#This Row],[JUMLAH]]-NOTA[[#This Row],[DISC]])</f>
        <v>2486016</v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215" s="54" t="str">
        <f>IF(OR(NOTA[[#This Row],[QTY]]="",NOTA[[#This Row],[HARGA SATUAN]]="",),"",NOTA[[#This Row],[QTY]]*NOTA[[#This Row],[HARGA SATUAN]])</f>
        <v/>
      </c>
      <c r="AG215" s="51">
        <f ca="1">IF(NOTA[ID_H]="","",INDEX(NOTA[TANGGAL],MATCH(,INDIRECT(ADDRESS(ROW(NOTA[TANGGAL]),COLUMN(NOTA[TANGGAL]))&amp;":"&amp;ADDRESS(ROW(),COLUMN(NOTA[TANGGAL]))),-1)))</f>
        <v>44935</v>
      </c>
      <c r="AH215" s="65" t="str">
        <f ca="1">IF(NOTA[[#This Row],[NAMA BARANG]]="","",INDEX(NOTA[SUPPLIER],MATCH(,INDIRECT(ADDRESS(ROW(NOTA[ID]),COLUMN(NOTA[ID]))&amp;":"&amp;ADDRESS(ROW(),COLUMN(NOTA[ID]))),-1)))</f>
        <v>KENKO SINAR INDONESIA</v>
      </c>
      <c r="AI215" s="65" t="str">
        <f ca="1">IF(NOTA[[#This Row],[ID_H]]="","",IF(NOTA[[#This Row],[FAKTUR]]="",INDIRECT(ADDRESS(ROW()-1,COLUMN())),NOTA[[#This Row],[FAKTUR]]))</f>
        <v>ARTO MORO</v>
      </c>
      <c r="AJ215" s="38" t="str">
        <f ca="1">IF(NOTA[[#This Row],[ID]]="","",COUNTIF(NOTA[ID_H],NOTA[[#This Row],[ID_H]]))</f>
        <v/>
      </c>
      <c r="AK215" s="38">
        <f ca="1">IF(NOTA[[#This Row],[TGL.NOTA]]="",IF(NOTA[[#This Row],[SUPPLIER_H]]="","",AK214),MONTH(NOTA[[#This Row],[TGL.NOTA]]))</f>
        <v>1</v>
      </c>
      <c r="AL215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215" s="38" t="str">
        <f>IF(NOTA[C]="",NOTA[[#This Row],[CONCAT1]]&amp;NOTA[[#This Row],[HARGA SATUAN]],NOTA[[#This Row],[CONCAT1]]&amp;NOTA[[#This Row],[HARGA/ CTN_H]]&amp;NOTA[[#This Row],[DISC 1]]&amp;NOTA[[#This Row],[DISC 2]])</f>
        <v>kenkocorrectiontapect90612mx5mm29952000.17</v>
      </c>
      <c r="AN215" s="184">
        <f>IF(NOTA[[#This Row],[CONCAT1]]="","",MATCH(NOTA[[#This Row],[CONCAT1]],[1]!db[NB NOTA_C],0)+1)</f>
        <v>1129</v>
      </c>
    </row>
    <row r="216" spans="1:40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Row],[CEK_EXP]]&lt;D215,"err","")</f>
        <v/>
      </c>
      <c r="D216" s="50">
        <f>IF(NOTA[[#This Row],[TANGGAL]]="",D215,NOTA[[#This Row],[TANGGAL]])</f>
        <v>44935</v>
      </c>
      <c r="E216" s="50">
        <f ca="1">IF(NOTA[[#This Row],[NAMA BARANG]]="","",INDEX(NOTA[ID],MATCH(,INDIRECT(ADDRESS(ROW(NOTA[ID]),COLUMN(NOTA[ID]))&amp;":"&amp;ADDRESS(ROW(),COLUMN(NOTA[ID]))),-1)))</f>
        <v>43</v>
      </c>
      <c r="F216" s="23"/>
      <c r="G216" s="26"/>
      <c r="H216" s="26"/>
      <c r="I216" s="31"/>
      <c r="J216" s="26"/>
      <c r="K216" s="51"/>
      <c r="L216" s="26"/>
      <c r="M216" s="26" t="s">
        <v>392</v>
      </c>
      <c r="N216" s="39">
        <v>1</v>
      </c>
      <c r="O216" s="26"/>
      <c r="P216" s="26"/>
      <c r="Q216" s="49"/>
      <c r="R216" s="52">
        <v>5702400</v>
      </c>
      <c r="S216" s="39" t="s">
        <v>117</v>
      </c>
      <c r="T216" s="53">
        <v>0.17</v>
      </c>
      <c r="U216" s="53"/>
      <c r="V216" s="54"/>
      <c r="W216" s="37"/>
      <c r="X216" s="54">
        <f>IF(NOTA[[#This Row],[HARGA/ CTN]]="",NOTA[[#This Row],[JUMLAH_H]],NOTA[[#This Row],[HARGA/ CTN]]*IF(NOTA[[#This Row],[C]]="",0,NOTA[[#This Row],[C]]))</f>
        <v>5702400</v>
      </c>
      <c r="Y216" s="54">
        <f>IF(NOTA[[#This Row],[JUMLAH]]="","",NOTA[[#This Row],[JUMLAH]]*NOTA[[#This Row],[DISC 1]])</f>
        <v>969408.00000000012</v>
      </c>
      <c r="Z216" s="54">
        <f>IF(NOTA[[#This Row],[JUMLAH]]="","",(NOTA[[#This Row],[JUMLAH]]-NOTA[[#This Row],[DISC 1-]])*NOTA[[#This Row],[DISC 2]])</f>
        <v>0</v>
      </c>
      <c r="AA216" s="54">
        <f>IF(NOTA[[#This Row],[JUMLAH]]="","",NOTA[[#This Row],[DISC 1-]]+NOTA[[#This Row],[DISC 2-]])</f>
        <v>969408.00000000012</v>
      </c>
      <c r="AB216" s="54">
        <f>IF(NOTA[[#This Row],[JUMLAH]]="","",NOTA[[#This Row],[JUMLAH]]-NOTA[[#This Row],[DISC]])</f>
        <v>4732992</v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16" s="54" t="str">
        <f>IF(OR(NOTA[[#This Row],[QTY]]="",NOTA[[#This Row],[HARGA SATUAN]]="",),"",NOTA[[#This Row],[QTY]]*NOTA[[#This Row],[HARGA SATUAN]])</f>
        <v/>
      </c>
      <c r="AG216" s="51">
        <f ca="1">IF(NOTA[ID_H]="","",INDEX(NOTA[TANGGAL],MATCH(,INDIRECT(ADDRESS(ROW(NOTA[TANGGAL]),COLUMN(NOTA[TANGGAL]))&amp;":"&amp;ADDRESS(ROW(),COLUMN(NOTA[TANGGAL]))),-1)))</f>
        <v>44935</v>
      </c>
      <c r="AH216" s="65" t="str">
        <f ca="1">IF(NOTA[[#This Row],[NAMA BARANG]]="","",INDEX(NOTA[SUPPLIER],MATCH(,INDIRECT(ADDRESS(ROW(NOTA[ID]),COLUMN(NOTA[ID]))&amp;":"&amp;ADDRESS(ROW(),COLUMN(NOTA[ID]))),-1)))</f>
        <v>KENKO SINAR INDONESIA</v>
      </c>
      <c r="AI216" s="65" t="str">
        <f ca="1">IF(NOTA[[#This Row],[ID_H]]="","",IF(NOTA[[#This Row],[FAKTUR]]="",INDIRECT(ADDRESS(ROW()-1,COLUMN())),NOTA[[#This Row],[FAKTUR]]))</f>
        <v>ARTO MORO</v>
      </c>
      <c r="AJ216" s="38" t="str">
        <f ca="1">IF(NOTA[[#This Row],[ID]]="","",COUNTIF(NOTA[ID_H],NOTA[[#This Row],[ID_H]]))</f>
        <v/>
      </c>
      <c r="AK216" s="38">
        <f ca="1">IF(NOTA[[#This Row],[TGL.NOTA]]="",IF(NOTA[[#This Row],[SUPPLIER_H]]="","",AK215),MONTH(NOTA[[#This Row],[TGL.NOTA]]))</f>
        <v>1</v>
      </c>
      <c r="AL216" s="38" t="str">
        <f>LOWER(SUBSTITUTE(SUBSTITUTE(SUBSTITUTE(SUBSTITUTE(SUBSTITUTE(SUBSTITUTE(SUBSTITUTE(SUBSTITUTE(SUBSTITUTE(NOTA[NAMA BARANG]," ",),".",""),"-",""),"(",""),")",""),",",""),"/",""),"""",""),"+",""))</f>
        <v>kenkogelpenmicrotec04mmblack</v>
      </c>
      <c r="AM216" s="38" t="str">
        <f>IF(NOTA[C]="",NOTA[[#This Row],[CONCAT1]]&amp;NOTA[[#This Row],[HARGA SATUAN]],NOTA[[#This Row],[CONCAT1]]&amp;NOTA[[#This Row],[HARGA/ CTN_H]]&amp;NOTA[[#This Row],[DISC 1]]&amp;NOTA[[#This Row],[DISC 2]])</f>
        <v>kenkogelpenmicrotec04mmblack57024000.17</v>
      </c>
      <c r="AN216" s="184">
        <f>IF(NOTA[[#This Row],[CONCAT1]]="","",MATCH(NOTA[[#This Row],[CONCAT1]],[1]!db[NB NOTA_C],0)+1)</f>
        <v>1177</v>
      </c>
    </row>
    <row r="217" spans="1:40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Row],[CEK_EXP]]&lt;D216,"err","")</f>
        <v/>
      </c>
      <c r="D217" s="50">
        <f>IF(NOTA[[#This Row],[TANGGAL]]="",D216,NOTA[[#This Row],[TANGGAL]])</f>
        <v>44935</v>
      </c>
      <c r="E217" s="50">
        <f ca="1">IF(NOTA[[#This Row],[NAMA BARANG]]="","",INDEX(NOTA[ID],MATCH(,INDIRECT(ADDRESS(ROW(NOTA[ID]),COLUMN(NOTA[ID]))&amp;":"&amp;ADDRESS(ROW(),COLUMN(NOTA[ID]))),-1)))</f>
        <v>43</v>
      </c>
      <c r="F217" s="23"/>
      <c r="G217" s="26"/>
      <c r="H217" s="26"/>
      <c r="I217" s="31"/>
      <c r="J217" s="26"/>
      <c r="K217" s="51"/>
      <c r="L217" s="26"/>
      <c r="M217" s="26" t="s">
        <v>393</v>
      </c>
      <c r="N217" s="39">
        <v>1</v>
      </c>
      <c r="O217" s="26"/>
      <c r="P217" s="26"/>
      <c r="Q217" s="49"/>
      <c r="R217" s="52">
        <v>2112000</v>
      </c>
      <c r="S217" s="39" t="s">
        <v>136</v>
      </c>
      <c r="T217" s="53">
        <v>0.17</v>
      </c>
      <c r="U217" s="53"/>
      <c r="V217" s="54"/>
      <c r="W217" s="37"/>
      <c r="X217" s="54">
        <f>IF(NOTA[[#This Row],[HARGA/ CTN]]="",NOTA[[#This Row],[JUMLAH_H]],NOTA[[#This Row],[HARGA/ CTN]]*IF(NOTA[[#This Row],[C]]="",0,NOTA[[#This Row],[C]]))</f>
        <v>2112000</v>
      </c>
      <c r="Y217" s="54">
        <f>IF(NOTA[[#This Row],[JUMLAH]]="","",NOTA[[#This Row],[JUMLAH]]*NOTA[[#This Row],[DISC 1]])</f>
        <v>359040</v>
      </c>
      <c r="Z217" s="54">
        <f>IF(NOTA[[#This Row],[JUMLAH]]="","",(NOTA[[#This Row],[JUMLAH]]-NOTA[[#This Row],[DISC 1-]])*NOTA[[#This Row],[DISC 2]])</f>
        <v>0</v>
      </c>
      <c r="AA217" s="54">
        <f>IF(NOTA[[#This Row],[JUMLAH]]="","",NOTA[[#This Row],[DISC 1-]]+NOTA[[#This Row],[DISC 2-]])</f>
        <v>359040</v>
      </c>
      <c r="AB217" s="54">
        <f>IF(NOTA[[#This Row],[JUMLAH]]="","",NOTA[[#This Row],[JUMLAH]]-NOTA[[#This Row],[DISC]])</f>
        <v>1752960</v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17" s="54" t="str">
        <f>IF(OR(NOTA[[#This Row],[QTY]]="",NOTA[[#This Row],[HARGA SATUAN]]="",),"",NOTA[[#This Row],[QTY]]*NOTA[[#This Row],[HARGA SATUAN]])</f>
        <v/>
      </c>
      <c r="AG217" s="51">
        <f ca="1">IF(NOTA[ID_H]="","",INDEX(NOTA[TANGGAL],MATCH(,INDIRECT(ADDRESS(ROW(NOTA[TANGGAL]),COLUMN(NOTA[TANGGAL]))&amp;":"&amp;ADDRESS(ROW(),COLUMN(NOTA[TANGGAL]))),-1)))</f>
        <v>44935</v>
      </c>
      <c r="AH217" s="65" t="str">
        <f ca="1">IF(NOTA[[#This Row],[NAMA BARANG]]="","",INDEX(NOTA[SUPPLIER],MATCH(,INDIRECT(ADDRESS(ROW(NOTA[ID]),COLUMN(NOTA[ID]))&amp;":"&amp;ADDRESS(ROW(),COLUMN(NOTA[ID]))),-1)))</f>
        <v>KENKO SINAR INDONESIA</v>
      </c>
      <c r="AI217" s="65" t="str">
        <f ca="1">IF(NOTA[[#This Row],[ID_H]]="","",IF(NOTA[[#This Row],[FAKTUR]]="",INDIRECT(ADDRESS(ROW()-1,COLUMN())),NOTA[[#This Row],[FAKTUR]]))</f>
        <v>ARTO MORO</v>
      </c>
      <c r="AJ217" s="38" t="str">
        <f ca="1">IF(NOTA[[#This Row],[ID]]="","",COUNTIF(NOTA[ID_H],NOTA[[#This Row],[ID_H]]))</f>
        <v/>
      </c>
      <c r="AK217" s="38">
        <f ca="1">IF(NOTA[[#This Row],[TGL.NOTA]]="",IF(NOTA[[#This Row],[SUPPLIER_H]]="","",AK216),MONTH(NOTA[[#This Row],[TGL.NOTA]]))</f>
        <v>1</v>
      </c>
      <c r="AL217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M217" s="38" t="str">
        <f>IF(NOTA[C]="",NOTA[[#This Row],[CONCAT1]]&amp;NOTA[[#This Row],[HARGA SATUAN]],NOTA[[#This Row],[CONCAT1]]&amp;NOTA[[#This Row],[HARGA/ CTN_H]]&amp;NOTA[[#This Row],[DISC 1]]&amp;NOTA[[#This Row],[DISC 2]])</f>
        <v>kenkopencil2b6800platinum21120000.17</v>
      </c>
      <c r="AN217" s="184">
        <f>IF(NOTA[[#This Row],[CONCAT1]]="","",MATCH(NOTA[[#This Row],[CONCAT1]],[1]!db[NB NOTA_C],0)+1)</f>
        <v>1242</v>
      </c>
    </row>
    <row r="218" spans="1:40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Row],[CEK_EXP]]&lt;D217,"err","")</f>
        <v/>
      </c>
      <c r="D218" s="50">
        <f>IF(NOTA[[#This Row],[TANGGAL]]="",D217,NOTA[[#This Row],[TANGGAL]])</f>
        <v>44935</v>
      </c>
      <c r="E218" s="50">
        <f ca="1">IF(NOTA[[#This Row],[NAMA BARANG]]="","",INDEX(NOTA[ID],MATCH(,INDIRECT(ADDRESS(ROW(NOTA[ID]),COLUMN(NOTA[ID]))&amp;":"&amp;ADDRESS(ROW(),COLUMN(NOTA[ID]))),-1)))</f>
        <v>43</v>
      </c>
      <c r="F218" s="23"/>
      <c r="G218" s="26"/>
      <c r="H218" s="26"/>
      <c r="I218" s="31"/>
      <c r="J218" s="26"/>
      <c r="K218" s="51"/>
      <c r="L218" s="26"/>
      <c r="M218" s="26" t="s">
        <v>394</v>
      </c>
      <c r="N218" s="39">
        <v>1</v>
      </c>
      <c r="O218" s="26"/>
      <c r="P218" s="26"/>
      <c r="Q218" s="49"/>
      <c r="R218" s="52">
        <v>2040000</v>
      </c>
      <c r="S218" s="39" t="s">
        <v>136</v>
      </c>
      <c r="T218" s="53">
        <v>0.17</v>
      </c>
      <c r="U218" s="53"/>
      <c r="V218" s="54"/>
      <c r="W218" s="37"/>
      <c r="X218" s="54">
        <f>IF(NOTA[[#This Row],[HARGA/ CTN]]="",NOTA[[#This Row],[JUMLAH_H]],NOTA[[#This Row],[HARGA/ CTN]]*IF(NOTA[[#This Row],[C]]="",0,NOTA[[#This Row],[C]]))</f>
        <v>2040000</v>
      </c>
      <c r="Y218" s="54">
        <f>IF(NOTA[[#This Row],[JUMLAH]]="","",NOTA[[#This Row],[JUMLAH]]*NOTA[[#This Row],[DISC 1]])</f>
        <v>346800</v>
      </c>
      <c r="Z218" s="54">
        <f>IF(NOTA[[#This Row],[JUMLAH]]="","",(NOTA[[#This Row],[JUMLAH]]-NOTA[[#This Row],[DISC 1-]])*NOTA[[#This Row],[DISC 2]])</f>
        <v>0</v>
      </c>
      <c r="AA218" s="54">
        <f>IF(NOTA[[#This Row],[JUMLAH]]="","",NOTA[[#This Row],[DISC 1-]]+NOTA[[#This Row],[DISC 2-]])</f>
        <v>346800</v>
      </c>
      <c r="AB218" s="54">
        <f>IF(NOTA[[#This Row],[JUMLAH]]="","",NOTA[[#This Row],[JUMLAH]]-NOTA[[#This Row],[DISC]])</f>
        <v>1693200</v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54" t="str">
        <f>IF(OR(NOTA[[#This Row],[QTY]]="",NOTA[[#This Row],[HARGA SATUAN]]="",),"",NOTA[[#This Row],[QTY]]*NOTA[[#This Row],[HARGA SATUAN]])</f>
        <v/>
      </c>
      <c r="AG218" s="51">
        <f ca="1">IF(NOTA[ID_H]="","",INDEX(NOTA[TANGGAL],MATCH(,INDIRECT(ADDRESS(ROW(NOTA[TANGGAL]),COLUMN(NOTA[TANGGAL]))&amp;":"&amp;ADDRESS(ROW(),COLUMN(NOTA[TANGGAL]))),-1)))</f>
        <v>44935</v>
      </c>
      <c r="AH218" s="65" t="str">
        <f ca="1">IF(NOTA[[#This Row],[NAMA BARANG]]="","",INDEX(NOTA[SUPPLIER],MATCH(,INDIRECT(ADDRESS(ROW(NOTA[ID]),COLUMN(NOTA[ID]))&amp;":"&amp;ADDRESS(ROW(),COLUMN(NOTA[ID]))),-1)))</f>
        <v>KENKO SINAR INDONESIA</v>
      </c>
      <c r="AI218" s="65" t="str">
        <f ca="1">IF(NOTA[[#This Row],[ID_H]]="","",IF(NOTA[[#This Row],[FAKTUR]]="",INDIRECT(ADDRESS(ROW()-1,COLUMN())),NOTA[[#This Row],[FAKTUR]]))</f>
        <v>ARTO MORO</v>
      </c>
      <c r="AJ218" s="38" t="str">
        <f ca="1">IF(NOTA[[#This Row],[ID]]="","",COUNTIF(NOTA[ID_H],NOTA[[#This Row],[ID_H]]))</f>
        <v/>
      </c>
      <c r="AK218" s="38">
        <f ca="1">IF(NOTA[[#This Row],[TGL.NOTA]]="",IF(NOTA[[#This Row],[SUPPLIER_H]]="","",AK217),MONTH(NOTA[[#This Row],[TGL.NOTA]]))</f>
        <v>1</v>
      </c>
      <c r="AL218" s="38" t="str">
        <f>LOWER(SUBSTITUTE(SUBSTITUTE(SUBSTITUTE(SUBSTITUTE(SUBSTITUTE(SUBSTITUTE(SUBSTITUTE(SUBSTITUTE(SUBSTITUTE(NOTA[NAMA BARANG]," ",),".",""),"-",""),"(",""),")",""),",",""),"/",""),"""",""),"+",""))</f>
        <v>kenkopencil2b6019antibacterial</v>
      </c>
      <c r="AM218" s="38" t="str">
        <f>IF(NOTA[C]="",NOTA[[#This Row],[CONCAT1]]&amp;NOTA[[#This Row],[HARGA SATUAN]],NOTA[[#This Row],[CONCAT1]]&amp;NOTA[[#This Row],[HARGA/ CTN_H]]&amp;NOTA[[#This Row],[DISC 1]]&amp;NOTA[[#This Row],[DISC 2]])</f>
        <v>kenkopencil2b6019antibacterial20400000.17</v>
      </c>
      <c r="AN218" s="184">
        <f>IF(NOTA[[#This Row],[CONCAT1]]="","",MATCH(NOTA[[#This Row],[CONCAT1]],[1]!db[NB NOTA_C],0)+1)</f>
        <v>1236</v>
      </c>
    </row>
    <row r="219" spans="1:40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Row],[CEK_EXP]]&lt;D218,"err","")</f>
        <v/>
      </c>
      <c r="D219" s="50">
        <f>IF(NOTA[[#This Row],[TANGGAL]]="",D218,NOTA[[#This Row],[TANGGAL]])</f>
        <v>44935</v>
      </c>
      <c r="E219" s="50">
        <f ca="1">IF(NOTA[[#This Row],[NAMA BARANG]]="","",INDEX(NOTA[ID],MATCH(,INDIRECT(ADDRESS(ROW(NOTA[ID]),COLUMN(NOTA[ID]))&amp;":"&amp;ADDRESS(ROW(),COLUMN(NOTA[ID]))),-1)))</f>
        <v>43</v>
      </c>
      <c r="F219" s="23"/>
      <c r="G219" s="26"/>
      <c r="H219" s="26"/>
      <c r="I219" s="31"/>
      <c r="J219" s="26"/>
      <c r="K219" s="51"/>
      <c r="L219" s="26"/>
      <c r="M219" s="26" t="s">
        <v>160</v>
      </c>
      <c r="N219" s="39">
        <v>2</v>
      </c>
      <c r="O219" s="26"/>
      <c r="P219" s="26"/>
      <c r="Q219" s="49"/>
      <c r="R219" s="52">
        <v>2112000</v>
      </c>
      <c r="S219" s="39" t="s">
        <v>136</v>
      </c>
      <c r="T219" s="53">
        <v>0.17</v>
      </c>
      <c r="U219" s="53"/>
      <c r="V219" s="54"/>
      <c r="W219" s="37"/>
      <c r="X219" s="54">
        <f>IF(NOTA[[#This Row],[HARGA/ CTN]]="",NOTA[[#This Row],[JUMLAH_H]],NOTA[[#This Row],[HARGA/ CTN]]*IF(NOTA[[#This Row],[C]]="",0,NOTA[[#This Row],[C]]))</f>
        <v>4224000</v>
      </c>
      <c r="Y219" s="54">
        <f>IF(NOTA[[#This Row],[JUMLAH]]="","",NOTA[[#This Row],[JUMLAH]]*NOTA[[#This Row],[DISC 1]])</f>
        <v>718080</v>
      </c>
      <c r="Z219" s="54">
        <f>IF(NOTA[[#This Row],[JUMLAH]]="","",(NOTA[[#This Row],[JUMLAH]]-NOTA[[#This Row],[DISC 1-]])*NOTA[[#This Row],[DISC 2]])</f>
        <v>0</v>
      </c>
      <c r="AA219" s="54">
        <f>IF(NOTA[[#This Row],[JUMLAH]]="","",NOTA[[#This Row],[DISC 1-]]+NOTA[[#This Row],[DISC 2-]])</f>
        <v>718080</v>
      </c>
      <c r="AB219" s="54">
        <f>IF(NOTA[[#This Row],[JUMLAH]]="","",NOTA[[#This Row],[JUMLAH]]-NOTA[[#This Row],[DISC]])</f>
        <v>3505920</v>
      </c>
      <c r="AC2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4257072</v>
      </c>
      <c r="AD2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20784528</v>
      </c>
      <c r="AE21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19" s="54" t="str">
        <f>IF(OR(NOTA[[#This Row],[QTY]]="",NOTA[[#This Row],[HARGA SATUAN]]="",),"",NOTA[[#This Row],[QTY]]*NOTA[[#This Row],[HARGA SATUAN]])</f>
        <v/>
      </c>
      <c r="AG219" s="51">
        <f ca="1">IF(NOTA[ID_H]="","",INDEX(NOTA[TANGGAL],MATCH(,INDIRECT(ADDRESS(ROW(NOTA[TANGGAL]),COLUMN(NOTA[TANGGAL]))&amp;":"&amp;ADDRESS(ROW(),COLUMN(NOTA[TANGGAL]))),-1)))</f>
        <v>44935</v>
      </c>
      <c r="AH219" s="65" t="str">
        <f ca="1">IF(NOTA[[#This Row],[NAMA BARANG]]="","",INDEX(NOTA[SUPPLIER],MATCH(,INDIRECT(ADDRESS(ROW(NOTA[ID]),COLUMN(NOTA[ID]))&amp;":"&amp;ADDRESS(ROW(),COLUMN(NOTA[ID]))),-1)))</f>
        <v>KENKO SINAR INDONESIA</v>
      </c>
      <c r="AI219" s="65" t="str">
        <f ca="1">IF(NOTA[[#This Row],[ID_H]]="","",IF(NOTA[[#This Row],[FAKTUR]]="",INDIRECT(ADDRESS(ROW()-1,COLUMN())),NOTA[[#This Row],[FAKTUR]]))</f>
        <v>ARTO MORO</v>
      </c>
      <c r="AJ219" s="38" t="str">
        <f ca="1">IF(NOTA[[#This Row],[ID]]="","",COUNTIF(NOTA[ID_H],NOTA[[#This Row],[ID_H]]))</f>
        <v/>
      </c>
      <c r="AK219" s="38">
        <f ca="1">IF(NOTA[[#This Row],[TGL.NOTA]]="",IF(NOTA[[#This Row],[SUPPLIER_H]]="","",AK218),MONTH(NOTA[[#This Row],[TGL.NOTA]]))</f>
        <v>1</v>
      </c>
      <c r="AL219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219" s="38" t="str">
        <f>IF(NOTA[C]="",NOTA[[#This Row],[CONCAT1]]&amp;NOTA[[#This Row],[HARGA SATUAN]],NOTA[[#This Row],[CONCAT1]]&amp;NOTA[[#This Row],[HARGA/ CTN_H]]&amp;NOTA[[#This Row],[DISC 1]]&amp;NOTA[[#This Row],[DISC 2]])</f>
        <v>kenkopencil2b3181hitamcapmerah21120000.17</v>
      </c>
      <c r="AN219" s="184">
        <f>IF(NOTA[[#This Row],[CONCAT1]]="","",MATCH(NOTA[[#This Row],[CONCAT1]],[1]!db[NB NOTA_C],0)+1)</f>
        <v>1234</v>
      </c>
    </row>
    <row r="220" spans="1:40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Row],[CEK_EXP]]&lt;D219,"err","")</f>
        <v/>
      </c>
      <c r="D220" s="50">
        <f>IF(NOTA[[#This Row],[TANGGAL]]="",D219,NOTA[[#This Row],[TANGGAL]])</f>
        <v>44935</v>
      </c>
      <c r="E220" s="50" t="str">
        <f ca="1">IF(NOTA[[#This Row],[NAMA BARANG]]="","",INDEX(NOTA[ID],MATCH(,INDIRECT(ADDRESS(ROW(NOTA[ID]),COLUMN(NOTA[ID]))&amp;":"&amp;ADDRESS(ROW(),COLUMN(NOTA[ID]))),-1)))</f>
        <v/>
      </c>
      <c r="F220" s="23"/>
      <c r="G220" s="26"/>
      <c r="H220" s="163"/>
      <c r="I220" s="26"/>
      <c r="J220" s="31"/>
      <c r="K220" s="51"/>
      <c r="L220" s="26"/>
      <c r="M220" s="26"/>
      <c r="N220" s="39"/>
      <c r="O220" s="26"/>
      <c r="P220" s="26"/>
      <c r="Q220" s="49"/>
      <c r="R220" s="52"/>
      <c r="S220" s="39"/>
      <c r="T220" s="53"/>
      <c r="U220" s="53"/>
      <c r="V220" s="54"/>
      <c r="W220" s="37"/>
      <c r="X220" s="54" t="str">
        <f>IF(NOTA[[#This Row],[HARGA/ CTN]]="",NOTA[[#This Row],[JUMLAH_H]],NOTA[[#This Row],[HARGA/ CTN]]*IF(NOTA[[#This Row],[C]]="",0,NOTA[[#This Row],[C]]))</f>
        <v/>
      </c>
      <c r="Y220" s="54" t="str">
        <f>IF(NOTA[[#This Row],[JUMLAH]]="","",NOTA[[#This Row],[JUMLAH]]*NOTA[[#This Row],[DISC 1]])</f>
        <v/>
      </c>
      <c r="Z220" s="54" t="str">
        <f>IF(NOTA[[#This Row],[JUMLAH]]="","",(NOTA[[#This Row],[JUMLAH]]-NOTA[[#This Row],[DISC 1-]])*NOTA[[#This Row],[DISC 2]])</f>
        <v/>
      </c>
      <c r="AA220" s="54" t="str">
        <f>IF(NOTA[[#This Row],[JUMLAH]]="","",NOTA[[#This Row],[DISC 1-]]+NOTA[[#This Row],[DISC 2-]])</f>
        <v/>
      </c>
      <c r="AB220" s="54" t="str">
        <f>IF(NOTA[[#This Row],[JUMLAH]]="","",NOTA[[#This Row],[JUMLAH]]-NOTA[[#This Row],[DISC]])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4" t="str">
        <f>IF(OR(NOTA[[#This Row],[QTY]]="",NOTA[[#This Row],[HARGA SATUAN]]="",),"",NOTA[[#This Row],[QTY]]*NOTA[[#This Row],[HARGA SATUAN]])</f>
        <v/>
      </c>
      <c r="AG220" s="51" t="str">
        <f ca="1">IF(NOTA[ID_H]="","",INDEX(NOTA[TANGGAL],MATCH(,INDIRECT(ADDRESS(ROW(NOTA[TANGGAL]),COLUMN(NOTA[TANGGAL]))&amp;":"&amp;ADDRESS(ROW(),COLUMN(NOTA[TANGGAL]))),-1)))</f>
        <v/>
      </c>
      <c r="AH220" s="65" t="str">
        <f ca="1">IF(NOTA[[#This Row],[NAMA BARANG]]="","",INDEX(NOTA[SUPPLIER],MATCH(,INDIRECT(ADDRESS(ROW(NOTA[ID]),COLUMN(NOTA[ID]))&amp;":"&amp;ADDRESS(ROW(),COLUMN(NOTA[ID]))),-1)))</f>
        <v/>
      </c>
      <c r="AI220" s="65" t="str">
        <f ca="1">IF(NOTA[[#This Row],[ID_H]]="","",IF(NOTA[[#This Row],[FAKTUR]]="",INDIRECT(ADDRESS(ROW()-1,COLUMN())),NOTA[[#This Row],[FAKTUR]]))</f>
        <v/>
      </c>
      <c r="AJ220" s="38" t="str">
        <f ca="1">IF(NOTA[[#This Row],[ID]]="","",COUNTIF(NOTA[ID_H],NOTA[[#This Row],[ID_H]]))</f>
        <v/>
      </c>
      <c r="AK220" s="38" t="str">
        <f ca="1">IF(NOTA[[#This Row],[TGL.NOTA]]="",IF(NOTA[[#This Row],[SUPPLIER_H]]="","",AK219),MONTH(NOTA[[#This Row],[TGL.NOTA]]))</f>
        <v/>
      </c>
      <c r="AL220" s="38" t="str">
        <f>LOWER(SUBSTITUTE(SUBSTITUTE(SUBSTITUTE(SUBSTITUTE(SUBSTITUTE(SUBSTITUTE(SUBSTITUTE(SUBSTITUTE(SUBSTITUTE(NOTA[NAMA BARANG]," ",),".",""),"-",""),"(",""),")",""),",",""),"/",""),"""",""),"+",""))</f>
        <v/>
      </c>
      <c r="AM220" s="38" t="str">
        <f>IF(NOTA[C]="",NOTA[[#This Row],[CONCAT1]]&amp;NOTA[[#This Row],[HARGA SATUAN]],NOTA[[#This Row],[CONCAT1]]&amp;NOTA[[#This Row],[HARGA/ CTN_H]]&amp;NOTA[[#This Row],[DISC 1]]&amp;NOTA[[#This Row],[DISC 2]])</f>
        <v/>
      </c>
      <c r="AN220" s="184" t="str">
        <f>IF(NOTA[[#This Row],[CONCAT1]]="","",MATCH(NOTA[[#This Row],[CONCAT1]],[1]!db[NB NOTA_C],0)+1)</f>
        <v/>
      </c>
    </row>
    <row r="221" spans="1:40" ht="20.100000000000001" customHeight="1" x14ac:dyDescent="0.25">
      <c r="A221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KEN_0901_343-4</v>
      </c>
      <c r="C221" s="50" t="str">
        <f>IF(NOTA[[#This Row],[CEK_EXP]]&lt;D220,"err","")</f>
        <v/>
      </c>
      <c r="D221" s="50">
        <f>IF(NOTA[[#This Row],[TANGGAL]]="",D220,NOTA[[#This Row],[TANGGAL]])</f>
        <v>44935</v>
      </c>
      <c r="E221" s="50">
        <f ca="1">IF(NOTA[[#This Row],[NAMA BARANG]]="","",INDEX(NOTA[ID],MATCH(,INDIRECT(ADDRESS(ROW(NOTA[ID]),COLUMN(NOTA[ID]))&amp;":"&amp;ADDRESS(ROW(),COLUMN(NOTA[ID]))),-1)))</f>
        <v>44</v>
      </c>
      <c r="F221" s="23"/>
      <c r="G221" s="26" t="s">
        <v>23</v>
      </c>
      <c r="H221" s="26" t="s">
        <v>24</v>
      </c>
      <c r="I221" s="31" t="s">
        <v>395</v>
      </c>
      <c r="J221" s="26" t="s">
        <v>398</v>
      </c>
      <c r="K221" s="51">
        <v>44932</v>
      </c>
      <c r="L221" s="26"/>
      <c r="M221" s="26" t="s">
        <v>166</v>
      </c>
      <c r="N221" s="39">
        <v>7</v>
      </c>
      <c r="O221" s="26"/>
      <c r="P221" s="26"/>
      <c r="Q221" s="49"/>
      <c r="R221" s="52">
        <v>3110400</v>
      </c>
      <c r="S221" s="39" t="s">
        <v>410</v>
      </c>
      <c r="T221" s="53">
        <v>0.17</v>
      </c>
      <c r="U221" s="53"/>
      <c r="V221" s="54"/>
      <c r="W221" s="37"/>
      <c r="X221" s="54">
        <f>IF(NOTA[[#This Row],[HARGA/ CTN]]="",NOTA[[#This Row],[JUMLAH_H]],NOTA[[#This Row],[HARGA/ CTN]]*IF(NOTA[[#This Row],[C]]="",0,NOTA[[#This Row],[C]]))</f>
        <v>21772800</v>
      </c>
      <c r="Y221" s="54">
        <f>IF(NOTA[[#This Row],[JUMLAH]]="","",NOTA[[#This Row],[JUMLAH]]*NOTA[[#This Row],[DISC 1]])</f>
        <v>3701376.0000000005</v>
      </c>
      <c r="Z221" s="54">
        <f>IF(NOTA[[#This Row],[JUMLAH]]="","",(NOTA[[#This Row],[JUMLAH]]-NOTA[[#This Row],[DISC 1-]])*NOTA[[#This Row],[DISC 2]])</f>
        <v>0</v>
      </c>
      <c r="AA221" s="54">
        <f>IF(NOTA[[#This Row],[JUMLAH]]="","",NOTA[[#This Row],[DISC 1-]]+NOTA[[#This Row],[DISC 2-]])</f>
        <v>3701376.0000000005</v>
      </c>
      <c r="AB221" s="54">
        <f>IF(NOTA[[#This Row],[JUMLAH]]="","",NOTA[[#This Row],[JUMLAH]]-NOTA[[#This Row],[DISC]])</f>
        <v>18071424</v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21" s="54" t="str">
        <f>IF(OR(NOTA[[#This Row],[QTY]]="",NOTA[[#This Row],[HARGA SATUAN]]="",),"",NOTA[[#This Row],[QTY]]*NOTA[[#This Row],[HARGA SATUAN]])</f>
        <v/>
      </c>
      <c r="AG221" s="51">
        <f ca="1">IF(NOTA[ID_H]="","",INDEX(NOTA[TANGGAL],MATCH(,INDIRECT(ADDRESS(ROW(NOTA[TANGGAL]),COLUMN(NOTA[TANGGAL]))&amp;":"&amp;ADDRESS(ROW(),COLUMN(NOTA[TANGGAL]))),-1)))</f>
        <v>44935</v>
      </c>
      <c r="AH221" s="65" t="str">
        <f ca="1">IF(NOTA[[#This Row],[NAMA BARANG]]="","",INDEX(NOTA[SUPPLIER],MATCH(,INDIRECT(ADDRESS(ROW(NOTA[ID]),COLUMN(NOTA[ID]))&amp;":"&amp;ADDRESS(ROW(),COLUMN(NOTA[ID]))),-1)))</f>
        <v>KENKO SINAR INDONESIA</v>
      </c>
      <c r="AI221" s="65" t="str">
        <f ca="1">IF(NOTA[[#This Row],[ID_H]]="","",IF(NOTA[[#This Row],[FAKTUR]]="",INDIRECT(ADDRESS(ROW()-1,COLUMN())),NOTA[[#This Row],[FAKTUR]]))</f>
        <v>ARTO MORO</v>
      </c>
      <c r="AJ221" s="38">
        <f ca="1">IF(NOTA[[#This Row],[ID]]="","",COUNTIF(NOTA[ID_H],NOTA[[#This Row],[ID_H]]))</f>
        <v>4</v>
      </c>
      <c r="AK221" s="38">
        <f>IF(NOTA[[#This Row],[TGL.NOTA]]="",IF(NOTA[[#This Row],[SUPPLIER_H]]="","",AK220),MONTH(NOTA[[#This Row],[TGL.NOTA]]))</f>
        <v>1</v>
      </c>
      <c r="AL221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221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N221" s="184">
        <f>IF(NOTA[[#This Row],[CONCAT1]]="","",MATCH(NOTA[[#This Row],[CONCAT1]],[1]!db[NB NOTA_C],0)+1)</f>
        <v>1172</v>
      </c>
    </row>
    <row r="222" spans="1:40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Row],[CEK_EXP]]&lt;D221,"err","")</f>
        <v/>
      </c>
      <c r="D222" s="50">
        <f>IF(NOTA[[#This Row],[TANGGAL]]="",D221,NOTA[[#This Row],[TANGGAL]])</f>
        <v>44935</v>
      </c>
      <c r="E222" s="50">
        <f ca="1">IF(NOTA[[#This Row],[NAMA BARANG]]="","",INDEX(NOTA[ID],MATCH(,INDIRECT(ADDRESS(ROW(NOTA[ID]),COLUMN(NOTA[ID]))&amp;":"&amp;ADDRESS(ROW(),COLUMN(NOTA[ID]))),-1)))</f>
        <v>44</v>
      </c>
      <c r="F222" s="23"/>
      <c r="G222" s="26"/>
      <c r="H222" s="26"/>
      <c r="I222" s="31"/>
      <c r="J222" s="26"/>
      <c r="K222" s="51"/>
      <c r="L222" s="26"/>
      <c r="M222" s="26" t="s">
        <v>167</v>
      </c>
      <c r="N222" s="39">
        <v>1</v>
      </c>
      <c r="O222" s="26"/>
      <c r="P222" s="26"/>
      <c r="Q222" s="49"/>
      <c r="R222" s="52">
        <v>2448000</v>
      </c>
      <c r="S222" s="39" t="s">
        <v>121</v>
      </c>
      <c r="T222" s="53">
        <v>0.17</v>
      </c>
      <c r="U222" s="53"/>
      <c r="V222" s="54"/>
      <c r="W222" s="37"/>
      <c r="X222" s="54">
        <f>IF(NOTA[[#This Row],[HARGA/ CTN]]="",NOTA[[#This Row],[JUMLAH_H]],NOTA[[#This Row],[HARGA/ CTN]]*IF(NOTA[[#This Row],[C]]="",0,NOTA[[#This Row],[C]]))</f>
        <v>2448000</v>
      </c>
      <c r="Y222" s="54">
        <f>IF(NOTA[[#This Row],[JUMLAH]]="","",NOTA[[#This Row],[JUMLAH]]*NOTA[[#This Row],[DISC 1]])</f>
        <v>416160.00000000006</v>
      </c>
      <c r="Z222" s="54">
        <f>IF(NOTA[[#This Row],[JUMLAH]]="","",(NOTA[[#This Row],[JUMLAH]]-NOTA[[#This Row],[DISC 1-]])*NOTA[[#This Row],[DISC 2]])</f>
        <v>0</v>
      </c>
      <c r="AA222" s="54">
        <f>IF(NOTA[[#This Row],[JUMLAH]]="","",NOTA[[#This Row],[DISC 1-]]+NOTA[[#This Row],[DISC 2-]])</f>
        <v>416160.00000000006</v>
      </c>
      <c r="AB222" s="54">
        <f>IF(NOTA[[#This Row],[JUMLAH]]="","",NOTA[[#This Row],[JUMLAH]]-NOTA[[#This Row],[DISC]])</f>
        <v>2031840</v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22" s="54" t="str">
        <f>IF(OR(NOTA[[#This Row],[QTY]]="",NOTA[[#This Row],[HARGA SATUAN]]="",),"",NOTA[[#This Row],[QTY]]*NOTA[[#This Row],[HARGA SATUAN]])</f>
        <v/>
      </c>
      <c r="AG222" s="51">
        <f ca="1">IF(NOTA[ID_H]="","",INDEX(NOTA[TANGGAL],MATCH(,INDIRECT(ADDRESS(ROW(NOTA[TANGGAL]),COLUMN(NOTA[TANGGAL]))&amp;":"&amp;ADDRESS(ROW(),COLUMN(NOTA[TANGGAL]))),-1)))</f>
        <v>44935</v>
      </c>
      <c r="AH222" s="65" t="str">
        <f ca="1">IF(NOTA[[#This Row],[NAMA BARANG]]="","",INDEX(NOTA[SUPPLIER],MATCH(,INDIRECT(ADDRESS(ROW(NOTA[ID]),COLUMN(NOTA[ID]))&amp;":"&amp;ADDRESS(ROW(),COLUMN(NOTA[ID]))),-1)))</f>
        <v>KENKO SINAR INDONESIA</v>
      </c>
      <c r="AI222" s="65" t="str">
        <f ca="1">IF(NOTA[[#This Row],[ID_H]]="","",IF(NOTA[[#This Row],[FAKTUR]]="",INDIRECT(ADDRESS(ROW()-1,COLUMN())),NOTA[[#This Row],[FAKTUR]]))</f>
        <v>ARTO MORO</v>
      </c>
      <c r="AJ222" s="38" t="str">
        <f ca="1">IF(NOTA[[#This Row],[ID]]="","",COUNTIF(NOTA[ID_H],NOTA[[#This Row],[ID_H]]))</f>
        <v/>
      </c>
      <c r="AK222" s="38">
        <f ca="1">IF(NOTA[[#This Row],[TGL.NOTA]]="",IF(NOTA[[#This Row],[SUPPLIER_H]]="","",AK221),MONTH(NOTA[[#This Row],[TGL.NOTA]]))</f>
        <v>1</v>
      </c>
      <c r="AL222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M222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N222" s="184">
        <f>IF(NOTA[[#This Row],[CONCAT1]]="","",MATCH(NOTA[[#This Row],[CONCAT1]],[1]!db[NB NOTA_C],0)+1)</f>
        <v>1120</v>
      </c>
    </row>
    <row r="223" spans="1:40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Row],[CEK_EXP]]&lt;D222,"err","")</f>
        <v/>
      </c>
      <c r="D223" s="50">
        <f>IF(NOTA[[#This Row],[TANGGAL]]="",D222,NOTA[[#This Row],[TANGGAL]])</f>
        <v>44935</v>
      </c>
      <c r="E223" s="50">
        <f ca="1">IF(NOTA[[#This Row],[NAMA BARANG]]="","",INDEX(NOTA[ID],MATCH(,INDIRECT(ADDRESS(ROW(NOTA[ID]),COLUMN(NOTA[ID]))&amp;":"&amp;ADDRESS(ROW(),COLUMN(NOTA[ID]))),-1)))</f>
        <v>44</v>
      </c>
      <c r="F223" s="23"/>
      <c r="G223" s="26"/>
      <c r="H223" s="26"/>
      <c r="I223" s="31"/>
      <c r="J223" s="26"/>
      <c r="K223" s="51"/>
      <c r="L223" s="26"/>
      <c r="M223" s="26" t="s">
        <v>396</v>
      </c>
      <c r="N223" s="39">
        <v>3</v>
      </c>
      <c r="O223" s="26"/>
      <c r="P223" s="26"/>
      <c r="Q223" s="49"/>
      <c r="R223" s="52">
        <v>900000</v>
      </c>
      <c r="S223" s="39" t="s">
        <v>411</v>
      </c>
      <c r="T223" s="53">
        <v>0.17</v>
      </c>
      <c r="U223" s="53"/>
      <c r="V223" s="54"/>
      <c r="W223" s="37"/>
      <c r="X223" s="54">
        <f>IF(NOTA[[#This Row],[HARGA/ CTN]]="",NOTA[[#This Row],[JUMLAH_H]],NOTA[[#This Row],[HARGA/ CTN]]*IF(NOTA[[#This Row],[C]]="",0,NOTA[[#This Row],[C]]))</f>
        <v>2700000</v>
      </c>
      <c r="Y223" s="54">
        <f>IF(NOTA[[#This Row],[JUMLAH]]="","",NOTA[[#This Row],[JUMLAH]]*NOTA[[#This Row],[DISC 1]])</f>
        <v>459000.00000000006</v>
      </c>
      <c r="Z223" s="54">
        <f>IF(NOTA[[#This Row],[JUMLAH]]="","",(NOTA[[#This Row],[JUMLAH]]-NOTA[[#This Row],[DISC 1-]])*NOTA[[#This Row],[DISC 2]])</f>
        <v>0</v>
      </c>
      <c r="AA223" s="54">
        <f>IF(NOTA[[#This Row],[JUMLAH]]="","",NOTA[[#This Row],[DISC 1-]]+NOTA[[#This Row],[DISC 2-]])</f>
        <v>459000.00000000006</v>
      </c>
      <c r="AB223" s="54">
        <f>IF(NOTA[[#This Row],[JUMLAH]]="","",NOTA[[#This Row],[JUMLAH]]-NOTA[[#This Row],[DISC]])</f>
        <v>2241000</v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223" s="54" t="str">
        <f>IF(OR(NOTA[[#This Row],[QTY]]="",NOTA[[#This Row],[HARGA SATUAN]]="",),"",NOTA[[#This Row],[QTY]]*NOTA[[#This Row],[HARGA SATUAN]])</f>
        <v/>
      </c>
      <c r="AG223" s="51">
        <f ca="1">IF(NOTA[ID_H]="","",INDEX(NOTA[TANGGAL],MATCH(,INDIRECT(ADDRESS(ROW(NOTA[TANGGAL]),COLUMN(NOTA[TANGGAL]))&amp;":"&amp;ADDRESS(ROW(),COLUMN(NOTA[TANGGAL]))),-1)))</f>
        <v>44935</v>
      </c>
      <c r="AH223" s="65" t="str">
        <f ca="1">IF(NOTA[[#This Row],[NAMA BARANG]]="","",INDEX(NOTA[SUPPLIER],MATCH(,INDIRECT(ADDRESS(ROW(NOTA[ID]),COLUMN(NOTA[ID]))&amp;":"&amp;ADDRESS(ROW(),COLUMN(NOTA[ID]))),-1)))</f>
        <v>KENKO SINAR INDONESIA</v>
      </c>
      <c r="AI223" s="65" t="str">
        <f ca="1">IF(NOTA[[#This Row],[ID_H]]="","",IF(NOTA[[#This Row],[FAKTUR]]="",INDIRECT(ADDRESS(ROW()-1,COLUMN())),NOTA[[#This Row],[FAKTUR]]))</f>
        <v>ARTO MORO</v>
      </c>
      <c r="AJ223" s="38" t="str">
        <f ca="1">IF(NOTA[[#This Row],[ID]]="","",COUNTIF(NOTA[ID_H],NOTA[[#This Row],[ID_H]]))</f>
        <v/>
      </c>
      <c r="AK223" s="38">
        <f ca="1">IF(NOTA[[#This Row],[TGL.NOTA]]="",IF(NOTA[[#This Row],[SUPPLIER_H]]="","",AK222),MONTH(NOTA[[#This Row],[TGL.NOTA]]))</f>
        <v>1</v>
      </c>
      <c r="AL22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223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N223" s="184">
        <f>IF(NOTA[[#This Row],[CONCAT1]]="","",MATCH(NOTA[[#This Row],[CONCAT1]],[1]!db[NB NOTA_C],0)+1)</f>
        <v>1054</v>
      </c>
    </row>
    <row r="224" spans="1:40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Row],[CEK_EXP]]&lt;D223,"err","")</f>
        <v/>
      </c>
      <c r="D224" s="50">
        <f>IF(NOTA[[#This Row],[TANGGAL]]="",D223,NOTA[[#This Row],[TANGGAL]])</f>
        <v>44935</v>
      </c>
      <c r="E224" s="50">
        <f ca="1">IF(NOTA[[#This Row],[NAMA BARANG]]="","",INDEX(NOTA[ID],MATCH(,INDIRECT(ADDRESS(ROW(NOTA[ID]),COLUMN(NOTA[ID]))&amp;":"&amp;ADDRESS(ROW(),COLUMN(NOTA[ID]))),-1)))</f>
        <v>44</v>
      </c>
      <c r="F224" s="23"/>
      <c r="G224" s="26"/>
      <c r="H224" s="26"/>
      <c r="I224" s="31"/>
      <c r="J224" s="26"/>
      <c r="K224" s="51"/>
      <c r="L224" s="26"/>
      <c r="M224" s="26" t="s">
        <v>397</v>
      </c>
      <c r="N224" s="39">
        <v>3</v>
      </c>
      <c r="O224" s="26"/>
      <c r="P224" s="26"/>
      <c r="Q224" s="49"/>
      <c r="R224" s="52">
        <v>840000</v>
      </c>
      <c r="S224" s="39" t="s">
        <v>363</v>
      </c>
      <c r="T224" s="53">
        <v>0.17</v>
      </c>
      <c r="U224" s="53"/>
      <c r="V224" s="54"/>
      <c r="W224" s="37"/>
      <c r="X224" s="54">
        <f>IF(NOTA[[#This Row],[HARGA/ CTN]]="",NOTA[[#This Row],[JUMLAH_H]],NOTA[[#This Row],[HARGA/ CTN]]*IF(NOTA[[#This Row],[C]]="",0,NOTA[[#This Row],[C]]))</f>
        <v>2520000</v>
      </c>
      <c r="Y224" s="54">
        <f>IF(NOTA[[#This Row],[JUMLAH]]="","",NOTA[[#This Row],[JUMLAH]]*NOTA[[#This Row],[DISC 1]])</f>
        <v>428400.00000000006</v>
      </c>
      <c r="Z224" s="54">
        <f>IF(NOTA[[#This Row],[JUMLAH]]="","",(NOTA[[#This Row],[JUMLAH]]-NOTA[[#This Row],[DISC 1-]])*NOTA[[#This Row],[DISC 2]])</f>
        <v>0</v>
      </c>
      <c r="AA224" s="54">
        <f>IF(NOTA[[#This Row],[JUMLAH]]="","",NOTA[[#This Row],[DISC 1-]]+NOTA[[#This Row],[DISC 2-]])</f>
        <v>428400.00000000006</v>
      </c>
      <c r="AB224" s="54">
        <f>IF(NOTA[[#This Row],[JUMLAH]]="","",NOTA[[#This Row],[JUMLAH]]-NOTA[[#This Row],[DISC]])</f>
        <v>2091600</v>
      </c>
      <c r="AC2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5004936.0000000009</v>
      </c>
      <c r="AD2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24435864</v>
      </c>
      <c r="AE224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24" s="54" t="str">
        <f>IF(OR(NOTA[[#This Row],[QTY]]="",NOTA[[#This Row],[HARGA SATUAN]]="",),"",NOTA[[#This Row],[QTY]]*NOTA[[#This Row],[HARGA SATUAN]])</f>
        <v/>
      </c>
      <c r="AG224" s="51">
        <f ca="1">IF(NOTA[ID_H]="","",INDEX(NOTA[TANGGAL],MATCH(,INDIRECT(ADDRESS(ROW(NOTA[TANGGAL]),COLUMN(NOTA[TANGGAL]))&amp;":"&amp;ADDRESS(ROW(),COLUMN(NOTA[TANGGAL]))),-1)))</f>
        <v>44935</v>
      </c>
      <c r="AH224" s="65" t="str">
        <f ca="1">IF(NOTA[[#This Row],[NAMA BARANG]]="","",INDEX(NOTA[SUPPLIER],MATCH(,INDIRECT(ADDRESS(ROW(NOTA[ID]),COLUMN(NOTA[ID]))&amp;":"&amp;ADDRESS(ROW(),COLUMN(NOTA[ID]))),-1)))</f>
        <v>KENKO SINAR INDONESIA</v>
      </c>
      <c r="AI224" s="65" t="str">
        <f ca="1">IF(NOTA[[#This Row],[ID_H]]="","",IF(NOTA[[#This Row],[FAKTUR]]="",INDIRECT(ADDRESS(ROW()-1,COLUMN())),NOTA[[#This Row],[FAKTUR]]))</f>
        <v>ARTO MORO</v>
      </c>
      <c r="AJ224" s="38" t="str">
        <f ca="1">IF(NOTA[[#This Row],[ID]]="","",COUNTIF(NOTA[ID_H],NOTA[[#This Row],[ID_H]]))</f>
        <v/>
      </c>
      <c r="AK224" s="38">
        <f ca="1">IF(NOTA[[#This Row],[TGL.NOTA]]="",IF(NOTA[[#This Row],[SUPPLIER_H]]="","",AK223),MONTH(NOTA[[#This Row],[TGL.NOTA]]))</f>
        <v>1</v>
      </c>
      <c r="AL224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224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N224" s="184">
        <f>IF(NOTA[[#This Row],[CONCAT1]]="","",MATCH(NOTA[[#This Row],[CONCAT1]],[1]!db[NB NOTA_C],0)+1)</f>
        <v>1302</v>
      </c>
    </row>
    <row r="225" spans="1:40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Row],[CEK_EXP]]&lt;D224,"err","")</f>
        <v/>
      </c>
      <c r="D225" s="50">
        <f>IF(NOTA[[#This Row],[TANGGAL]]="",D224,NOTA[[#This Row],[TANGGAL]])</f>
        <v>44935</v>
      </c>
      <c r="E225" s="50" t="str">
        <f ca="1">IF(NOTA[[#This Row],[NAMA BARANG]]="","",INDEX(NOTA[ID],MATCH(,INDIRECT(ADDRESS(ROW(NOTA[ID]),COLUMN(NOTA[ID]))&amp;":"&amp;ADDRESS(ROW(),COLUMN(NOTA[ID]))),-1)))</f>
        <v/>
      </c>
      <c r="F225" s="23"/>
      <c r="G225" s="26"/>
      <c r="H225" s="26"/>
      <c r="I225" s="31"/>
      <c r="J225" s="26"/>
      <c r="K225" s="51"/>
      <c r="L225" s="26"/>
      <c r="M225" s="26"/>
      <c r="N225" s="39"/>
      <c r="O225" s="26"/>
      <c r="P225" s="26"/>
      <c r="Q225" s="49"/>
      <c r="R225" s="52"/>
      <c r="S225" s="39"/>
      <c r="T225" s="53"/>
      <c r="U225" s="53"/>
      <c r="V225" s="54"/>
      <c r="W225" s="37"/>
      <c r="X225" s="54" t="str">
        <f>IF(NOTA[[#This Row],[HARGA/ CTN]]="",NOTA[[#This Row],[JUMLAH_H]],NOTA[[#This Row],[HARGA/ CTN]]*IF(NOTA[[#This Row],[C]]="",0,NOTA[[#This Row],[C]]))</f>
        <v/>
      </c>
      <c r="Y225" s="54" t="str">
        <f>IF(NOTA[[#This Row],[JUMLAH]]="","",NOTA[[#This Row],[JUMLAH]]*NOTA[[#This Row],[DISC 1]])</f>
        <v/>
      </c>
      <c r="Z225" s="54" t="str">
        <f>IF(NOTA[[#This Row],[JUMLAH]]="","",(NOTA[[#This Row],[JUMLAH]]-NOTA[[#This Row],[DISC 1-]])*NOTA[[#This Row],[DISC 2]])</f>
        <v/>
      </c>
      <c r="AA225" s="54" t="str">
        <f>IF(NOTA[[#This Row],[JUMLAH]]="","",NOTA[[#This Row],[DISC 1-]]+NOTA[[#This Row],[DISC 2-]])</f>
        <v/>
      </c>
      <c r="AB225" s="54" t="str">
        <f>IF(NOTA[[#This Row],[JUMLAH]]="","",NOTA[[#This Row],[JUMLAH]]-NOTA[[#This Row],[DISC]])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54" t="str">
        <f>IF(OR(NOTA[[#This Row],[QTY]]="",NOTA[[#This Row],[HARGA SATUAN]]="",),"",NOTA[[#This Row],[QTY]]*NOTA[[#This Row],[HARGA SATUAN]])</f>
        <v/>
      </c>
      <c r="AG225" s="51" t="str">
        <f ca="1">IF(NOTA[ID_H]="","",INDEX(NOTA[TANGGAL],MATCH(,INDIRECT(ADDRESS(ROW(NOTA[TANGGAL]),COLUMN(NOTA[TANGGAL]))&amp;":"&amp;ADDRESS(ROW(),COLUMN(NOTA[TANGGAL]))),-1)))</f>
        <v/>
      </c>
      <c r="AH225" s="65" t="str">
        <f ca="1">IF(NOTA[[#This Row],[NAMA BARANG]]="","",INDEX(NOTA[SUPPLIER],MATCH(,INDIRECT(ADDRESS(ROW(NOTA[ID]),COLUMN(NOTA[ID]))&amp;":"&amp;ADDRESS(ROW(),COLUMN(NOTA[ID]))),-1)))</f>
        <v/>
      </c>
      <c r="AI225" s="65" t="str">
        <f ca="1">IF(NOTA[[#This Row],[ID_H]]="","",IF(NOTA[[#This Row],[FAKTUR]]="",INDIRECT(ADDRESS(ROW()-1,COLUMN())),NOTA[[#This Row],[FAKTUR]]))</f>
        <v/>
      </c>
      <c r="AJ225" s="38" t="str">
        <f ca="1">IF(NOTA[[#This Row],[ID]]="","",COUNTIF(NOTA[ID_H],NOTA[[#This Row],[ID_H]]))</f>
        <v/>
      </c>
      <c r="AK225" s="38" t="str">
        <f ca="1">IF(NOTA[[#This Row],[TGL.NOTA]]="",IF(NOTA[[#This Row],[SUPPLIER_H]]="","",AK224),MONTH(NOTA[[#This Row],[TGL.NOTA]]))</f>
        <v/>
      </c>
      <c r="AL225" s="38" t="str">
        <f>LOWER(SUBSTITUTE(SUBSTITUTE(SUBSTITUTE(SUBSTITUTE(SUBSTITUTE(SUBSTITUTE(SUBSTITUTE(SUBSTITUTE(SUBSTITUTE(NOTA[NAMA BARANG]," ",),".",""),"-",""),"(",""),")",""),",",""),"/",""),"""",""),"+",""))</f>
        <v/>
      </c>
      <c r="AM225" s="38" t="str">
        <f>IF(NOTA[C]="",NOTA[[#This Row],[CONCAT1]]&amp;NOTA[[#This Row],[HARGA SATUAN]],NOTA[[#This Row],[CONCAT1]]&amp;NOTA[[#This Row],[HARGA/ CTN_H]]&amp;NOTA[[#This Row],[DISC 1]]&amp;NOTA[[#This Row],[DISC 2]])</f>
        <v/>
      </c>
      <c r="AN225" s="184" t="str">
        <f>IF(NOTA[[#This Row],[CONCAT1]]="","",MATCH(NOTA[[#This Row],[CONCAT1]],[1]!db[NB NOTA_C],0)+1)</f>
        <v/>
      </c>
    </row>
    <row r="226" spans="1:40" ht="20.100000000000001" customHeight="1" x14ac:dyDescent="0.25">
      <c r="A226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KEN_0901_336-10</v>
      </c>
      <c r="C226" s="50" t="str">
        <f>IF(NOTA[[#This Row],[CEK_EXP]]&lt;D225,"err","")</f>
        <v/>
      </c>
      <c r="D226" s="50">
        <f>IF(NOTA[[#This Row],[TANGGAL]]="",D225,NOTA[[#This Row],[TANGGAL]])</f>
        <v>44935</v>
      </c>
      <c r="E226" s="50">
        <f ca="1">IF(NOTA[[#This Row],[NAMA BARANG]]="","",INDEX(NOTA[ID],MATCH(,INDIRECT(ADDRESS(ROW(NOTA[ID]),COLUMN(NOTA[ID]))&amp;":"&amp;ADDRESS(ROW(),COLUMN(NOTA[ID]))),-1)))</f>
        <v>45</v>
      </c>
      <c r="F226" s="23"/>
      <c r="G226" s="26" t="s">
        <v>23</v>
      </c>
      <c r="H226" s="26" t="s">
        <v>24</v>
      </c>
      <c r="I226" s="31" t="s">
        <v>399</v>
      </c>
      <c r="J226" s="26" t="s">
        <v>387</v>
      </c>
      <c r="K226" s="51">
        <v>44932</v>
      </c>
      <c r="L226" s="26"/>
      <c r="M226" s="26" t="s">
        <v>400</v>
      </c>
      <c r="N226" s="39">
        <v>1</v>
      </c>
      <c r="O226" s="26"/>
      <c r="P226" s="26"/>
      <c r="Q226" s="49"/>
      <c r="R226" s="52">
        <v>1728000</v>
      </c>
      <c r="S226" s="39" t="s">
        <v>406</v>
      </c>
      <c r="T226" s="53">
        <v>0.17</v>
      </c>
      <c r="U226" s="53"/>
      <c r="V226" s="54"/>
      <c r="W226" s="37"/>
      <c r="X226" s="54">
        <f>IF(NOTA[[#This Row],[HARGA/ CTN]]="",NOTA[[#This Row],[JUMLAH_H]],NOTA[[#This Row],[HARGA/ CTN]]*IF(NOTA[[#This Row],[C]]="",0,NOTA[[#This Row],[C]]))</f>
        <v>1728000</v>
      </c>
      <c r="Y226" s="54">
        <f>IF(NOTA[[#This Row],[JUMLAH]]="","",NOTA[[#This Row],[JUMLAH]]*NOTA[[#This Row],[DISC 1]])</f>
        <v>293760</v>
      </c>
      <c r="Z226" s="54">
        <f>IF(NOTA[[#This Row],[JUMLAH]]="","",(NOTA[[#This Row],[JUMLAH]]-NOTA[[#This Row],[DISC 1-]])*NOTA[[#This Row],[DISC 2]])</f>
        <v>0</v>
      </c>
      <c r="AA226" s="54">
        <f>IF(NOTA[[#This Row],[JUMLAH]]="","",NOTA[[#This Row],[DISC 1-]]+NOTA[[#This Row],[DISC 2-]])</f>
        <v>293760</v>
      </c>
      <c r="AB226" s="54">
        <f>IF(NOTA[[#This Row],[JUMLAH]]="","",NOTA[[#This Row],[JUMLAH]]-NOTA[[#This Row],[DISC]])</f>
        <v>1434240</v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226" s="54" t="str">
        <f>IF(OR(NOTA[[#This Row],[QTY]]="",NOTA[[#This Row],[HARGA SATUAN]]="",),"",NOTA[[#This Row],[QTY]]*NOTA[[#This Row],[HARGA SATUAN]])</f>
        <v/>
      </c>
      <c r="AG226" s="51">
        <f ca="1">IF(NOTA[ID_H]="","",INDEX(NOTA[TANGGAL],MATCH(,INDIRECT(ADDRESS(ROW(NOTA[TANGGAL]),COLUMN(NOTA[TANGGAL]))&amp;":"&amp;ADDRESS(ROW(),COLUMN(NOTA[TANGGAL]))),-1)))</f>
        <v>44935</v>
      </c>
      <c r="AH226" s="65" t="str">
        <f ca="1">IF(NOTA[[#This Row],[NAMA BARANG]]="","",INDEX(NOTA[SUPPLIER],MATCH(,INDIRECT(ADDRESS(ROW(NOTA[ID]),COLUMN(NOTA[ID]))&amp;":"&amp;ADDRESS(ROW(),COLUMN(NOTA[ID]))),-1)))</f>
        <v>KENKO SINAR INDONESIA</v>
      </c>
      <c r="AI226" s="65" t="str">
        <f ca="1">IF(NOTA[[#This Row],[ID_H]]="","",IF(NOTA[[#This Row],[FAKTUR]]="",INDIRECT(ADDRESS(ROW()-1,COLUMN())),NOTA[[#This Row],[FAKTUR]]))</f>
        <v>ARTO MORO</v>
      </c>
      <c r="AJ226" s="38">
        <f ca="1">IF(NOTA[[#This Row],[ID]]="","",COUNTIF(NOTA[ID_H],NOTA[[#This Row],[ID_H]]))</f>
        <v>10</v>
      </c>
      <c r="AK226" s="38">
        <f>IF(NOTA[[#This Row],[TGL.NOTA]]="",IF(NOTA[[#This Row],[SUPPLIER_H]]="","",AK225),MONTH(NOTA[[#This Row],[TGL.NOTA]]))</f>
        <v>1</v>
      </c>
      <c r="AL226" s="38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M226" s="38" t="str">
        <f>IF(NOTA[C]="",NOTA[[#This Row],[CONCAT1]]&amp;NOTA[[#This Row],[HARGA SATUAN]],NOTA[[#This Row],[CONCAT1]]&amp;NOTA[[#This Row],[HARGA/ CTN_H]]&amp;NOTA[[#This Row],[DISC 1]]&amp;NOTA[[#This Row],[DISC 2]])</f>
        <v>kenko12coloroilpastelgarden17280000.17</v>
      </c>
      <c r="AN226" s="184">
        <f>IF(NOTA[[#This Row],[CONCAT1]]="","",MATCH(NOTA[[#This Row],[CONCAT1]],[1]!db[NB NOTA_C],0)+1)</f>
        <v>1034</v>
      </c>
    </row>
    <row r="227" spans="1:40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Row],[CEK_EXP]]&lt;D226,"err","")</f>
        <v/>
      </c>
      <c r="D227" s="50">
        <f>IF(NOTA[[#This Row],[TANGGAL]]="",D226,NOTA[[#This Row],[TANGGAL]])</f>
        <v>44935</v>
      </c>
      <c r="E227" s="50">
        <f ca="1">IF(NOTA[[#This Row],[NAMA BARANG]]="","",INDEX(NOTA[ID],MATCH(,INDIRECT(ADDRESS(ROW(NOTA[ID]),COLUMN(NOTA[ID]))&amp;":"&amp;ADDRESS(ROW(),COLUMN(NOTA[ID]))),-1)))</f>
        <v>45</v>
      </c>
      <c r="F227" s="23"/>
      <c r="G227" s="26"/>
      <c r="H227" s="26"/>
      <c r="I227" s="31"/>
      <c r="J227" s="26"/>
      <c r="K227" s="51"/>
      <c r="L227" s="26"/>
      <c r="M227" s="38" t="s">
        <v>401</v>
      </c>
      <c r="N227" s="39">
        <v>1</v>
      </c>
      <c r="O227" s="26"/>
      <c r="P227" s="26"/>
      <c r="Q227" s="49"/>
      <c r="R227" s="52">
        <v>1548000</v>
      </c>
      <c r="S227" s="39" t="s">
        <v>407</v>
      </c>
      <c r="T227" s="53">
        <v>0.17</v>
      </c>
      <c r="U227" s="53"/>
      <c r="V227" s="54"/>
      <c r="W227" s="37"/>
      <c r="X227" s="54">
        <f>IF(NOTA[[#This Row],[HARGA/ CTN]]="",NOTA[[#This Row],[JUMLAH_H]],NOTA[[#This Row],[HARGA/ CTN]]*IF(NOTA[[#This Row],[C]]="",0,NOTA[[#This Row],[C]]))</f>
        <v>1548000</v>
      </c>
      <c r="Y227" s="54">
        <f>IF(NOTA[[#This Row],[JUMLAH]]="","",NOTA[[#This Row],[JUMLAH]]*NOTA[[#This Row],[DISC 1]])</f>
        <v>263160</v>
      </c>
      <c r="Z227" s="54">
        <f>IF(NOTA[[#This Row],[JUMLAH]]="","",(NOTA[[#This Row],[JUMLAH]]-NOTA[[#This Row],[DISC 1-]])*NOTA[[#This Row],[DISC 2]])</f>
        <v>0</v>
      </c>
      <c r="AA227" s="54">
        <f>IF(NOTA[[#This Row],[JUMLAH]]="","",NOTA[[#This Row],[DISC 1-]]+NOTA[[#This Row],[DISC 2-]])</f>
        <v>263160</v>
      </c>
      <c r="AB227" s="54">
        <f>IF(NOTA[[#This Row],[JUMLAH]]="","",NOTA[[#This Row],[JUMLAH]]-NOTA[[#This Row],[DISC]])</f>
        <v>1284840</v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7" s="54" t="str">
        <f>IF(OR(NOTA[[#This Row],[QTY]]="",NOTA[[#This Row],[HARGA SATUAN]]="",),"",NOTA[[#This Row],[QTY]]*NOTA[[#This Row],[HARGA SATUAN]])</f>
        <v/>
      </c>
      <c r="AG227" s="51">
        <f ca="1">IF(NOTA[ID_H]="","",INDEX(NOTA[TANGGAL],MATCH(,INDIRECT(ADDRESS(ROW(NOTA[TANGGAL]),COLUMN(NOTA[TANGGAL]))&amp;":"&amp;ADDRESS(ROW(),COLUMN(NOTA[TANGGAL]))),-1)))</f>
        <v>44935</v>
      </c>
      <c r="AH227" s="65" t="str">
        <f ca="1">IF(NOTA[[#This Row],[NAMA BARANG]]="","",INDEX(NOTA[SUPPLIER],MATCH(,INDIRECT(ADDRESS(ROW(NOTA[ID]),COLUMN(NOTA[ID]))&amp;":"&amp;ADDRESS(ROW(),COLUMN(NOTA[ID]))),-1)))</f>
        <v>KENKO SINAR INDONESIA</v>
      </c>
      <c r="AI227" s="65" t="str">
        <f ca="1">IF(NOTA[[#This Row],[ID_H]]="","",IF(NOTA[[#This Row],[FAKTUR]]="",INDIRECT(ADDRESS(ROW()-1,COLUMN())),NOTA[[#This Row],[FAKTUR]]))</f>
        <v>ARTO MORO</v>
      </c>
      <c r="AJ227" s="38" t="str">
        <f ca="1">IF(NOTA[[#This Row],[ID]]="","",COUNTIF(NOTA[ID_H],NOTA[[#This Row],[ID_H]]))</f>
        <v/>
      </c>
      <c r="AK227" s="38">
        <f ca="1">IF(NOTA[[#This Row],[TGL.NOTA]]="",IF(NOTA[[#This Row],[SUPPLIER_H]]="","",AK226),MONTH(NOTA[[#This Row],[TGL.NOTA]]))</f>
        <v>1</v>
      </c>
      <c r="AL227" s="38" t="str">
        <f>LOWER(SUBSTITUTE(SUBSTITUTE(SUBSTITUTE(SUBSTITUTE(SUBSTITUTE(SUBSTITUTE(SUBSTITUTE(SUBSTITUTE(SUBSTITUTE(NOTA[NAMA BARANG]," ",),".",""),"-",""),"(",""),")",""),",",""),"/",""),"""",""),"+",""))</f>
        <v>kenko18coloroilpastelgarden</v>
      </c>
      <c r="AM227" s="38" t="str">
        <f>IF(NOTA[C]="",NOTA[[#This Row],[CONCAT1]]&amp;NOTA[[#This Row],[HARGA SATUAN]],NOTA[[#This Row],[CONCAT1]]&amp;NOTA[[#This Row],[HARGA/ CTN_H]]&amp;NOTA[[#This Row],[DISC 1]]&amp;NOTA[[#This Row],[DISC 2]])</f>
        <v>kenko18coloroilpastelgarden15480000.17</v>
      </c>
      <c r="AN227" s="184">
        <f>IF(NOTA[[#This Row],[CONCAT1]]="","",MATCH(NOTA[[#This Row],[CONCAT1]],[1]!db[NB NOTA_C],0)+1)</f>
        <v>1041</v>
      </c>
    </row>
    <row r="228" spans="1:40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Row],[CEK_EXP]]&lt;D227,"err","")</f>
        <v/>
      </c>
      <c r="D228" s="50">
        <f>IF(NOTA[[#This Row],[TANGGAL]]="",D227,NOTA[[#This Row],[TANGGAL]])</f>
        <v>44935</v>
      </c>
      <c r="E228" s="50">
        <f ca="1">IF(NOTA[[#This Row],[NAMA BARANG]]="","",INDEX(NOTA[ID],MATCH(,INDIRECT(ADDRESS(ROW(NOTA[ID]),COLUMN(NOTA[ID]))&amp;":"&amp;ADDRESS(ROW(),COLUMN(NOTA[ID]))),-1)))</f>
        <v>45</v>
      </c>
      <c r="F228" s="23"/>
      <c r="G228" s="26"/>
      <c r="H228" s="26"/>
      <c r="I228" s="31"/>
      <c r="J228" s="26"/>
      <c r="K228" s="51"/>
      <c r="L228" s="26"/>
      <c r="M228" s="26" t="s">
        <v>402</v>
      </c>
      <c r="N228" s="39">
        <v>1</v>
      </c>
      <c r="O228" s="26"/>
      <c r="P228" s="26"/>
      <c r="Q228" s="49"/>
      <c r="R228" s="52">
        <v>1368000</v>
      </c>
      <c r="S228" s="39" t="s">
        <v>408</v>
      </c>
      <c r="T228" s="53">
        <v>0.17</v>
      </c>
      <c r="U228" s="53"/>
      <c r="V228" s="54"/>
      <c r="W228" s="37"/>
      <c r="X228" s="54">
        <f>IF(NOTA[[#This Row],[HARGA/ CTN]]="",NOTA[[#This Row],[JUMLAH_H]],NOTA[[#This Row],[HARGA/ CTN]]*IF(NOTA[[#This Row],[C]]="",0,NOTA[[#This Row],[C]]))</f>
        <v>1368000</v>
      </c>
      <c r="Y228" s="54">
        <f>IF(NOTA[[#This Row],[JUMLAH]]="","",NOTA[[#This Row],[JUMLAH]]*NOTA[[#This Row],[DISC 1]])</f>
        <v>232560.00000000003</v>
      </c>
      <c r="Z228" s="54">
        <f>IF(NOTA[[#This Row],[JUMLAH]]="","",(NOTA[[#This Row],[JUMLAH]]-NOTA[[#This Row],[DISC 1-]])*NOTA[[#This Row],[DISC 2]])</f>
        <v>0</v>
      </c>
      <c r="AA228" s="54">
        <f>IF(NOTA[[#This Row],[JUMLAH]]="","",NOTA[[#This Row],[DISC 1-]]+NOTA[[#This Row],[DISC 2-]])</f>
        <v>232560.00000000003</v>
      </c>
      <c r="AB228" s="54">
        <f>IF(NOTA[[#This Row],[JUMLAH]]="","",NOTA[[#This Row],[JUMLAH]]-NOTA[[#This Row],[DISC]])</f>
        <v>1135440</v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228" s="54" t="str">
        <f>IF(OR(NOTA[[#This Row],[QTY]]="",NOTA[[#This Row],[HARGA SATUAN]]="",),"",NOTA[[#This Row],[QTY]]*NOTA[[#This Row],[HARGA SATUAN]])</f>
        <v/>
      </c>
      <c r="AG228" s="51">
        <f ca="1">IF(NOTA[ID_H]="","",INDEX(NOTA[TANGGAL],MATCH(,INDIRECT(ADDRESS(ROW(NOTA[TANGGAL]),COLUMN(NOTA[TANGGAL]))&amp;":"&amp;ADDRESS(ROW(),COLUMN(NOTA[TANGGAL]))),-1)))</f>
        <v>44935</v>
      </c>
      <c r="AH228" s="65" t="str">
        <f ca="1">IF(NOTA[[#This Row],[NAMA BARANG]]="","",INDEX(NOTA[SUPPLIER],MATCH(,INDIRECT(ADDRESS(ROW(NOTA[ID]),COLUMN(NOTA[ID]))&amp;":"&amp;ADDRESS(ROW(),COLUMN(NOTA[ID]))),-1)))</f>
        <v>KENKO SINAR INDONESIA</v>
      </c>
      <c r="AI228" s="65" t="str">
        <f ca="1">IF(NOTA[[#This Row],[ID_H]]="","",IF(NOTA[[#This Row],[FAKTUR]]="",INDIRECT(ADDRESS(ROW()-1,COLUMN())),NOTA[[#This Row],[FAKTUR]]))</f>
        <v>ARTO MORO</v>
      </c>
      <c r="AJ228" s="38" t="str">
        <f ca="1">IF(NOTA[[#This Row],[ID]]="","",COUNTIF(NOTA[ID_H],NOTA[[#This Row],[ID_H]]))</f>
        <v/>
      </c>
      <c r="AK228" s="38">
        <f ca="1">IF(NOTA[[#This Row],[TGL.NOTA]]="",IF(NOTA[[#This Row],[SUPPLIER_H]]="","",AK227),MONTH(NOTA[[#This Row],[TGL.NOTA]]))</f>
        <v>1</v>
      </c>
      <c r="AL228" s="38" t="str">
        <f>LOWER(SUBSTITUTE(SUBSTITUTE(SUBSTITUTE(SUBSTITUTE(SUBSTITUTE(SUBSTITUTE(SUBSTITUTE(SUBSTITUTE(SUBSTITUTE(NOTA[NAMA BARANG]," ",),".",""),"-",""),"(",""),")",""),",",""),"/",""),"""",""),"+",""))</f>
        <v>kenko24coloroilpastelgarden</v>
      </c>
      <c r="AM228" s="38" t="str">
        <f>IF(NOTA[C]="",NOTA[[#This Row],[CONCAT1]]&amp;NOTA[[#This Row],[HARGA SATUAN]],NOTA[[#This Row],[CONCAT1]]&amp;NOTA[[#This Row],[HARGA/ CTN_H]]&amp;NOTA[[#This Row],[DISC 1]]&amp;NOTA[[#This Row],[DISC 2]])</f>
        <v>kenko24coloroilpastelgarden13680000.17</v>
      </c>
      <c r="AN228" s="184">
        <f>IF(NOTA[[#This Row],[CONCAT1]]="","",MATCH(NOTA[[#This Row],[CONCAT1]],[1]!db[NB NOTA_C],0)+1)</f>
        <v>1042</v>
      </c>
    </row>
    <row r="229" spans="1:40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Row],[CEK_EXP]]&lt;D228,"err","")</f>
        <v/>
      </c>
      <c r="D229" s="50">
        <f>IF(NOTA[[#This Row],[TANGGAL]]="",D228,NOTA[[#This Row],[TANGGAL]])</f>
        <v>44935</v>
      </c>
      <c r="E229" s="50">
        <f ca="1">IF(NOTA[[#This Row],[NAMA BARANG]]="","",INDEX(NOTA[ID],MATCH(,INDIRECT(ADDRESS(ROW(NOTA[ID]),COLUMN(NOTA[ID]))&amp;":"&amp;ADDRESS(ROW(),COLUMN(NOTA[ID]))),-1)))</f>
        <v>45</v>
      </c>
      <c r="F229" s="23"/>
      <c r="G229" s="26"/>
      <c r="H229" s="26"/>
      <c r="I229" s="31"/>
      <c r="J229" s="26"/>
      <c r="K229" s="51"/>
      <c r="L229" s="26"/>
      <c r="M229" s="26" t="s">
        <v>403</v>
      </c>
      <c r="N229" s="39">
        <v>1</v>
      </c>
      <c r="O229" s="26"/>
      <c r="P229" s="26"/>
      <c r="Q229" s="49"/>
      <c r="R229" s="52">
        <v>1494000</v>
      </c>
      <c r="S229" s="39" t="s">
        <v>123</v>
      </c>
      <c r="T229" s="53">
        <v>0.17</v>
      </c>
      <c r="U229" s="53"/>
      <c r="V229" s="54"/>
      <c r="W229" s="37"/>
      <c r="X229" s="54">
        <f>IF(NOTA[[#This Row],[HARGA/ CTN]]="",NOTA[[#This Row],[JUMLAH_H]],NOTA[[#This Row],[HARGA/ CTN]]*IF(NOTA[[#This Row],[C]]="",0,NOTA[[#This Row],[C]]))</f>
        <v>1494000</v>
      </c>
      <c r="Y229" s="54">
        <f>IF(NOTA[[#This Row],[JUMLAH]]="","",NOTA[[#This Row],[JUMLAH]]*NOTA[[#This Row],[DISC 1]])</f>
        <v>253980.00000000003</v>
      </c>
      <c r="Z229" s="54">
        <f>IF(NOTA[[#This Row],[JUMLAH]]="","",(NOTA[[#This Row],[JUMLAH]]-NOTA[[#This Row],[DISC 1-]])*NOTA[[#This Row],[DISC 2]])</f>
        <v>0</v>
      </c>
      <c r="AA229" s="54">
        <f>IF(NOTA[[#This Row],[JUMLAH]]="","",NOTA[[#This Row],[DISC 1-]]+NOTA[[#This Row],[DISC 2-]])</f>
        <v>253980.00000000003</v>
      </c>
      <c r="AB229" s="54">
        <f>IF(NOTA[[#This Row],[JUMLAH]]="","",NOTA[[#This Row],[JUMLAH]]-NOTA[[#This Row],[DISC]])</f>
        <v>1240020</v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29" s="54" t="str">
        <f>IF(OR(NOTA[[#This Row],[QTY]]="",NOTA[[#This Row],[HARGA SATUAN]]="",),"",NOTA[[#This Row],[QTY]]*NOTA[[#This Row],[HARGA SATUAN]])</f>
        <v/>
      </c>
      <c r="AG229" s="51">
        <f ca="1">IF(NOTA[ID_H]="","",INDEX(NOTA[TANGGAL],MATCH(,INDIRECT(ADDRESS(ROW(NOTA[TANGGAL]),COLUMN(NOTA[TANGGAL]))&amp;":"&amp;ADDRESS(ROW(),COLUMN(NOTA[TANGGAL]))),-1)))</f>
        <v>44935</v>
      </c>
      <c r="AH229" s="65" t="str">
        <f ca="1">IF(NOTA[[#This Row],[NAMA BARANG]]="","",INDEX(NOTA[SUPPLIER],MATCH(,INDIRECT(ADDRESS(ROW(NOTA[ID]),COLUMN(NOTA[ID]))&amp;":"&amp;ADDRESS(ROW(),COLUMN(NOTA[ID]))),-1)))</f>
        <v>KENKO SINAR INDONESIA</v>
      </c>
      <c r="AI229" s="65" t="str">
        <f ca="1">IF(NOTA[[#This Row],[ID_H]]="","",IF(NOTA[[#This Row],[FAKTUR]]="",INDIRECT(ADDRESS(ROW()-1,COLUMN())),NOTA[[#This Row],[FAKTUR]]))</f>
        <v>ARTO MORO</v>
      </c>
      <c r="AJ229" s="38" t="str">
        <f ca="1">IF(NOTA[[#This Row],[ID]]="","",COUNTIF(NOTA[ID_H],NOTA[[#This Row],[ID_H]]))</f>
        <v/>
      </c>
      <c r="AK229" s="38">
        <f ca="1">IF(NOTA[[#This Row],[TGL.NOTA]]="",IF(NOTA[[#This Row],[SUPPLIER_H]]="","",AK228),MONTH(NOTA[[#This Row],[TGL.NOTA]]))</f>
        <v>1</v>
      </c>
      <c r="AL229" s="38" t="str">
        <f>LOWER(SUBSTITUTE(SUBSTITUTE(SUBSTITUTE(SUBSTITUTE(SUBSTITUTE(SUBSTITUTE(SUBSTITUTE(SUBSTITUTE(SUBSTITUTE(NOTA[NAMA BARANG]," ",),".",""),"-",""),"(",""),")",""),",",""),"/",""),"""",""),"+",""))</f>
        <v>kenko36coloroilpastelgarden</v>
      </c>
      <c r="AM229" s="38" t="str">
        <f>IF(NOTA[C]="",NOTA[[#This Row],[CONCAT1]]&amp;NOTA[[#This Row],[HARGA SATUAN]],NOTA[[#This Row],[CONCAT1]]&amp;NOTA[[#This Row],[HARGA/ CTN_H]]&amp;NOTA[[#This Row],[DISC 1]]&amp;NOTA[[#This Row],[DISC 2]])</f>
        <v>kenko36coloroilpastelgarden14940000.17</v>
      </c>
      <c r="AN229" s="184">
        <f>IF(NOTA[[#This Row],[CONCAT1]]="","",MATCH(NOTA[[#This Row],[CONCAT1]],[1]!db[NB NOTA_C],0)+1)</f>
        <v>1046</v>
      </c>
    </row>
    <row r="230" spans="1:40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Row],[CEK_EXP]]&lt;D229,"err","")</f>
        <v/>
      </c>
      <c r="D230" s="50">
        <f>IF(NOTA[[#This Row],[TANGGAL]]="",D229,NOTA[[#This Row],[TANGGAL]])</f>
        <v>44935</v>
      </c>
      <c r="E230" s="50">
        <f ca="1">IF(NOTA[[#This Row],[NAMA BARANG]]="","",INDEX(NOTA[ID],MATCH(,INDIRECT(ADDRESS(ROW(NOTA[ID]),COLUMN(NOTA[ID]))&amp;":"&amp;ADDRESS(ROW(),COLUMN(NOTA[ID]))),-1)))</f>
        <v>45</v>
      </c>
      <c r="F230" s="23"/>
      <c r="G230" s="26"/>
      <c r="H230" s="26"/>
      <c r="I230" s="31"/>
      <c r="J230" s="26"/>
      <c r="K230" s="51"/>
      <c r="L230" s="26"/>
      <c r="M230" s="26" t="s">
        <v>404</v>
      </c>
      <c r="N230" s="39">
        <v>1</v>
      </c>
      <c r="O230" s="26"/>
      <c r="P230" s="26"/>
      <c r="Q230" s="49"/>
      <c r="R230" s="52">
        <v>3240000</v>
      </c>
      <c r="S230" s="39" t="s">
        <v>409</v>
      </c>
      <c r="T230" s="53">
        <v>0.17</v>
      </c>
      <c r="U230" s="53"/>
      <c r="V230" s="54"/>
      <c r="W230" s="37"/>
      <c r="X230" s="54">
        <f>IF(NOTA[[#This Row],[HARGA/ CTN]]="",NOTA[[#This Row],[JUMLAH_H]],NOTA[[#This Row],[HARGA/ CTN]]*IF(NOTA[[#This Row],[C]]="",0,NOTA[[#This Row],[C]]))</f>
        <v>3240000</v>
      </c>
      <c r="Y230" s="54">
        <f>IF(NOTA[[#This Row],[JUMLAH]]="","",NOTA[[#This Row],[JUMLAH]]*NOTA[[#This Row],[DISC 1]])</f>
        <v>550800</v>
      </c>
      <c r="Z230" s="54">
        <f>IF(NOTA[[#This Row],[JUMLAH]]="","",(NOTA[[#This Row],[JUMLAH]]-NOTA[[#This Row],[DISC 1-]])*NOTA[[#This Row],[DISC 2]])</f>
        <v>0</v>
      </c>
      <c r="AA230" s="54">
        <f>IF(NOTA[[#This Row],[JUMLAH]]="","",NOTA[[#This Row],[DISC 1-]]+NOTA[[#This Row],[DISC 2-]])</f>
        <v>550800</v>
      </c>
      <c r="AB230" s="54">
        <f>IF(NOTA[[#This Row],[JUMLAH]]="","",NOTA[[#This Row],[JUMLAH]]-NOTA[[#This Row],[DISC]])</f>
        <v>2689200</v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230" s="54" t="str">
        <f>IF(OR(NOTA[[#This Row],[QTY]]="",NOTA[[#This Row],[HARGA SATUAN]]="",),"",NOTA[[#This Row],[QTY]]*NOTA[[#This Row],[HARGA SATUAN]])</f>
        <v/>
      </c>
      <c r="AG230" s="51">
        <f ca="1">IF(NOTA[ID_H]="","",INDEX(NOTA[TANGGAL],MATCH(,INDIRECT(ADDRESS(ROW(NOTA[TANGGAL]),COLUMN(NOTA[TANGGAL]))&amp;":"&amp;ADDRESS(ROW(),COLUMN(NOTA[TANGGAL]))),-1)))</f>
        <v>44935</v>
      </c>
      <c r="AH230" s="65" t="str">
        <f ca="1">IF(NOTA[[#This Row],[NAMA BARANG]]="","",INDEX(NOTA[SUPPLIER],MATCH(,INDIRECT(ADDRESS(ROW(NOTA[ID]),COLUMN(NOTA[ID]))&amp;":"&amp;ADDRESS(ROW(),COLUMN(NOTA[ID]))),-1)))</f>
        <v>KENKO SINAR INDONESIA</v>
      </c>
      <c r="AI230" s="65" t="str">
        <f ca="1">IF(NOTA[[#This Row],[ID_H]]="","",IF(NOTA[[#This Row],[FAKTUR]]="",INDIRECT(ADDRESS(ROW()-1,COLUMN())),NOTA[[#This Row],[FAKTUR]]))</f>
        <v>ARTO MORO</v>
      </c>
      <c r="AJ230" s="38" t="str">
        <f ca="1">IF(NOTA[[#This Row],[ID]]="","",COUNTIF(NOTA[ID_H],NOTA[[#This Row],[ID_H]]))</f>
        <v/>
      </c>
      <c r="AK230" s="38">
        <f ca="1">IF(NOTA[[#This Row],[TGL.NOTA]]="",IF(NOTA[[#This Row],[SUPPLIER_H]]="","",AK229),MONTH(NOTA[[#This Row],[TGL.NOTA]]))</f>
        <v>1</v>
      </c>
      <c r="AL23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230" s="38" t="str">
        <f>IF(NOTA[C]="",NOTA[[#This Row],[CONCAT1]]&amp;NOTA[[#This Row],[HARGA SATUAN]],NOTA[[#This Row],[CONCAT1]]&amp;NOTA[[#This Row],[HARGA/ CTN_H]]&amp;NOTA[[#This Row],[DISC 1]]&amp;NOTA[[#This Row],[DISC 2]])</f>
        <v>kenkopencilleadpl052b05mmhipolymer32400000.17</v>
      </c>
      <c r="AN230" s="184">
        <f>IF(NOTA[[#This Row],[CONCAT1]]="","",MATCH(NOTA[[#This Row],[CONCAT1]],[1]!db[NB NOTA_C],0)+1)</f>
        <v>1248</v>
      </c>
    </row>
    <row r="231" spans="1:40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Row],[CEK_EXP]]&lt;D230,"err","")</f>
        <v/>
      </c>
      <c r="D231" s="50">
        <f>IF(NOTA[[#This Row],[TANGGAL]]="",D230,NOTA[[#This Row],[TANGGAL]])</f>
        <v>44935</v>
      </c>
      <c r="E231" s="50">
        <f ca="1">IF(NOTA[[#This Row],[NAMA BARANG]]="","",INDEX(NOTA[ID],MATCH(,INDIRECT(ADDRESS(ROW(NOTA[ID]),COLUMN(NOTA[ID]))&amp;":"&amp;ADDRESS(ROW(),COLUMN(NOTA[ID]))),-1)))</f>
        <v>45</v>
      </c>
      <c r="F231" s="23"/>
      <c r="G231" s="26"/>
      <c r="H231" s="26"/>
      <c r="I231" s="31"/>
      <c r="J231" s="26"/>
      <c r="K231" s="51"/>
      <c r="L231" s="26"/>
      <c r="M231" s="26" t="s">
        <v>127</v>
      </c>
      <c r="N231" s="39">
        <v>4</v>
      </c>
      <c r="O231" s="26"/>
      <c r="P231" s="26"/>
      <c r="Q231" s="49"/>
      <c r="R231" s="52">
        <v>1860000</v>
      </c>
      <c r="S231" s="39" t="s">
        <v>119</v>
      </c>
      <c r="T231" s="53">
        <v>0.17</v>
      </c>
      <c r="U231" s="53"/>
      <c r="V231" s="54"/>
      <c r="W231" s="37"/>
      <c r="X231" s="54">
        <f>IF(NOTA[[#This Row],[HARGA/ CTN]]="",NOTA[[#This Row],[JUMLAH_H]],NOTA[[#This Row],[HARGA/ CTN]]*IF(NOTA[[#This Row],[C]]="",0,NOTA[[#This Row],[C]]))</f>
        <v>7440000</v>
      </c>
      <c r="Y231" s="54">
        <f>IF(NOTA[[#This Row],[JUMLAH]]="","",NOTA[[#This Row],[JUMLAH]]*NOTA[[#This Row],[DISC 1]])</f>
        <v>1264800</v>
      </c>
      <c r="Z231" s="54">
        <f>IF(NOTA[[#This Row],[JUMLAH]]="","",(NOTA[[#This Row],[JUMLAH]]-NOTA[[#This Row],[DISC 1-]])*NOTA[[#This Row],[DISC 2]])</f>
        <v>0</v>
      </c>
      <c r="AA231" s="54">
        <f>IF(NOTA[[#This Row],[JUMLAH]]="","",NOTA[[#This Row],[DISC 1-]]+NOTA[[#This Row],[DISC 2-]])</f>
        <v>1264800</v>
      </c>
      <c r="AB231" s="54">
        <f>IF(NOTA[[#This Row],[JUMLAH]]="","",NOTA[[#This Row],[JUMLAH]]-NOTA[[#This Row],[DISC]])</f>
        <v>6175200</v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31" s="54" t="str">
        <f>IF(OR(NOTA[[#This Row],[QTY]]="",NOTA[[#This Row],[HARGA SATUAN]]="",),"",NOTA[[#This Row],[QTY]]*NOTA[[#This Row],[HARGA SATUAN]])</f>
        <v/>
      </c>
      <c r="AG231" s="51">
        <f ca="1">IF(NOTA[ID_H]="","",INDEX(NOTA[TANGGAL],MATCH(,INDIRECT(ADDRESS(ROW(NOTA[TANGGAL]),COLUMN(NOTA[TANGGAL]))&amp;":"&amp;ADDRESS(ROW(),COLUMN(NOTA[TANGGAL]))),-1)))</f>
        <v>44935</v>
      </c>
      <c r="AH231" s="65" t="str">
        <f ca="1">IF(NOTA[[#This Row],[NAMA BARANG]]="","",INDEX(NOTA[SUPPLIER],MATCH(,INDIRECT(ADDRESS(ROW(NOTA[ID]),COLUMN(NOTA[ID]))&amp;":"&amp;ADDRESS(ROW(),COLUMN(NOTA[ID]))),-1)))</f>
        <v>KENKO SINAR INDONESIA</v>
      </c>
      <c r="AI231" s="65" t="str">
        <f ca="1">IF(NOTA[[#This Row],[ID_H]]="","",IF(NOTA[[#This Row],[FAKTUR]]="",INDIRECT(ADDRESS(ROW()-1,COLUMN())),NOTA[[#This Row],[FAKTUR]]))</f>
        <v>ARTO MORO</v>
      </c>
      <c r="AJ231" s="38" t="str">
        <f ca="1">IF(NOTA[[#This Row],[ID]]="","",COUNTIF(NOTA[ID_H],NOTA[[#This Row],[ID_H]]))</f>
        <v/>
      </c>
      <c r="AK231" s="38">
        <f ca="1">IF(NOTA[[#This Row],[TGL.NOTA]]="",IF(NOTA[[#This Row],[SUPPLIER_H]]="","",AK230),MONTH(NOTA[[#This Row],[TGL.NOTA]]))</f>
        <v>1</v>
      </c>
      <c r="AL231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31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N231" s="184">
        <f>IF(NOTA[[#This Row],[CONCAT1]]="","",MATCH(NOTA[[#This Row],[CONCAT1]],[1]!db[NB NOTA_C],0)+1)</f>
        <v>1292</v>
      </c>
    </row>
    <row r="232" spans="1:40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Row],[CEK_EXP]]&lt;D231,"err","")</f>
        <v/>
      </c>
      <c r="D232" s="50">
        <f>IF(NOTA[[#This Row],[TANGGAL]]="",D231,NOTA[[#This Row],[TANGGAL]])</f>
        <v>44935</v>
      </c>
      <c r="E232" s="50">
        <f ca="1">IF(NOTA[[#This Row],[NAMA BARANG]]="","",INDEX(NOTA[ID],MATCH(,INDIRECT(ADDRESS(ROW(NOTA[ID]),COLUMN(NOTA[ID]))&amp;":"&amp;ADDRESS(ROW(),COLUMN(NOTA[ID]))),-1)))</f>
        <v>45</v>
      </c>
      <c r="F232" s="23"/>
      <c r="G232" s="26"/>
      <c r="H232" s="26"/>
      <c r="I232" s="31"/>
      <c r="J232" s="26"/>
      <c r="K232" s="51"/>
      <c r="L232" s="26"/>
      <c r="M232" s="26" t="s">
        <v>357</v>
      </c>
      <c r="N232" s="39">
        <v>1</v>
      </c>
      <c r="O232" s="26"/>
      <c r="P232" s="26"/>
      <c r="Q232" s="49"/>
      <c r="R232" s="52">
        <v>2280000</v>
      </c>
      <c r="S232" s="39" t="s">
        <v>366</v>
      </c>
      <c r="T232" s="53">
        <v>0.17</v>
      </c>
      <c r="U232" s="53"/>
      <c r="V232" s="54"/>
      <c r="W232" s="37"/>
      <c r="X232" s="54">
        <f>IF(NOTA[[#This Row],[HARGA/ CTN]]="",NOTA[[#This Row],[JUMLAH_H]],NOTA[[#This Row],[HARGA/ CTN]]*IF(NOTA[[#This Row],[C]]="",0,NOTA[[#This Row],[C]]))</f>
        <v>2280000</v>
      </c>
      <c r="Y232" s="54">
        <f>IF(NOTA[[#This Row],[JUMLAH]]="","",NOTA[[#This Row],[JUMLAH]]*NOTA[[#This Row],[DISC 1]])</f>
        <v>387600</v>
      </c>
      <c r="Z232" s="54">
        <f>IF(NOTA[[#This Row],[JUMLAH]]="","",(NOTA[[#This Row],[JUMLAH]]-NOTA[[#This Row],[DISC 1-]])*NOTA[[#This Row],[DISC 2]])</f>
        <v>0</v>
      </c>
      <c r="AA232" s="54">
        <f>IF(NOTA[[#This Row],[JUMLAH]]="","",NOTA[[#This Row],[DISC 1-]]+NOTA[[#This Row],[DISC 2-]])</f>
        <v>387600</v>
      </c>
      <c r="AB232" s="54">
        <f>IF(NOTA[[#This Row],[JUMLAH]]="","",NOTA[[#This Row],[JUMLAH]]-NOTA[[#This Row],[DISC]])</f>
        <v>1892400</v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32" s="54" t="str">
        <f>IF(OR(NOTA[[#This Row],[QTY]]="",NOTA[[#This Row],[HARGA SATUAN]]="",),"",NOTA[[#This Row],[QTY]]*NOTA[[#This Row],[HARGA SATUAN]])</f>
        <v/>
      </c>
      <c r="AG232" s="51">
        <f ca="1">IF(NOTA[ID_H]="","",INDEX(NOTA[TANGGAL],MATCH(,INDIRECT(ADDRESS(ROW(NOTA[TANGGAL]),COLUMN(NOTA[TANGGAL]))&amp;":"&amp;ADDRESS(ROW(),COLUMN(NOTA[TANGGAL]))),-1)))</f>
        <v>44935</v>
      </c>
      <c r="AH232" s="65" t="str">
        <f ca="1">IF(NOTA[[#This Row],[NAMA BARANG]]="","",INDEX(NOTA[SUPPLIER],MATCH(,INDIRECT(ADDRESS(ROW(NOTA[ID]),COLUMN(NOTA[ID]))&amp;":"&amp;ADDRESS(ROW(),COLUMN(NOTA[ID]))),-1)))</f>
        <v>KENKO SINAR INDONESIA</v>
      </c>
      <c r="AI232" s="65" t="str">
        <f ca="1">IF(NOTA[[#This Row],[ID_H]]="","",IF(NOTA[[#This Row],[FAKTUR]]="",INDIRECT(ADDRESS(ROW()-1,COLUMN())),NOTA[[#This Row],[FAKTUR]]))</f>
        <v>ARTO MORO</v>
      </c>
      <c r="AJ232" s="38" t="str">
        <f ca="1">IF(NOTA[[#This Row],[ID]]="","",COUNTIF(NOTA[ID_H],NOTA[[#This Row],[ID_H]]))</f>
        <v/>
      </c>
      <c r="AK232" s="38">
        <f ca="1">IF(NOTA[[#This Row],[TGL.NOTA]]="",IF(NOTA[[#This Row],[SUPPLIER_H]]="","",AK231),MONTH(NOTA[[#This Row],[TGL.NOTA]]))</f>
        <v>1</v>
      </c>
      <c r="AL23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232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N232" s="184">
        <f>IF(NOTA[[#This Row],[CONCAT1]]="","",MATCH(NOTA[[#This Row],[CONCAT1]],[1]!db[NB NOTA_C],0)+1)</f>
        <v>1298</v>
      </c>
    </row>
    <row r="233" spans="1:40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Row],[CEK_EXP]]&lt;D232,"err","")</f>
        <v/>
      </c>
      <c r="D233" s="50">
        <f>IF(NOTA[[#This Row],[TANGGAL]]="",D232,NOTA[[#This Row],[TANGGAL]])</f>
        <v>44935</v>
      </c>
      <c r="E233" s="50">
        <f ca="1">IF(NOTA[[#This Row],[NAMA BARANG]]="","",INDEX(NOTA[ID],MATCH(,INDIRECT(ADDRESS(ROW(NOTA[ID]),COLUMN(NOTA[ID]))&amp;":"&amp;ADDRESS(ROW(),COLUMN(NOTA[ID]))),-1)))</f>
        <v>45</v>
      </c>
      <c r="F233" s="23"/>
      <c r="G233" s="26"/>
      <c r="H233" s="26"/>
      <c r="I233" s="31"/>
      <c r="J233" s="26"/>
      <c r="K233" s="51"/>
      <c r="L233" s="26"/>
      <c r="M233" s="26" t="s">
        <v>138</v>
      </c>
      <c r="N233" s="39">
        <v>10</v>
      </c>
      <c r="O233" s="26"/>
      <c r="P233" s="26"/>
      <c r="Q233" s="49"/>
      <c r="R233" s="52">
        <v>1695600</v>
      </c>
      <c r="S233" s="39" t="s">
        <v>118</v>
      </c>
      <c r="T233" s="53">
        <v>0.17</v>
      </c>
      <c r="U233" s="53"/>
      <c r="V233" s="54"/>
      <c r="W233" s="37"/>
      <c r="X233" s="54">
        <f>IF(NOTA[[#This Row],[HARGA/ CTN]]="",NOTA[[#This Row],[JUMLAH_H]],NOTA[[#This Row],[HARGA/ CTN]]*IF(NOTA[[#This Row],[C]]="",0,NOTA[[#This Row],[C]]))</f>
        <v>16956000</v>
      </c>
      <c r="Y233" s="54">
        <f>IF(NOTA[[#This Row],[JUMLAH]]="","",NOTA[[#This Row],[JUMLAH]]*NOTA[[#This Row],[DISC 1]])</f>
        <v>2882520</v>
      </c>
      <c r="Z233" s="54">
        <f>IF(NOTA[[#This Row],[JUMLAH]]="","",(NOTA[[#This Row],[JUMLAH]]-NOTA[[#This Row],[DISC 1-]])*NOTA[[#This Row],[DISC 2]])</f>
        <v>0</v>
      </c>
      <c r="AA233" s="54">
        <f>IF(NOTA[[#This Row],[JUMLAH]]="","",NOTA[[#This Row],[DISC 1-]]+NOTA[[#This Row],[DISC 2-]])</f>
        <v>2882520</v>
      </c>
      <c r="AB233" s="54">
        <f>IF(NOTA[[#This Row],[JUMLAH]]="","",NOTA[[#This Row],[JUMLAH]]-NOTA[[#This Row],[DISC]])</f>
        <v>14073480</v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33" s="54" t="str">
        <f>IF(OR(NOTA[[#This Row],[QTY]]="",NOTA[[#This Row],[HARGA SATUAN]]="",),"",NOTA[[#This Row],[QTY]]*NOTA[[#This Row],[HARGA SATUAN]])</f>
        <v/>
      </c>
      <c r="AG233" s="51">
        <f ca="1">IF(NOTA[ID_H]="","",INDEX(NOTA[TANGGAL],MATCH(,INDIRECT(ADDRESS(ROW(NOTA[TANGGAL]),COLUMN(NOTA[TANGGAL]))&amp;":"&amp;ADDRESS(ROW(),COLUMN(NOTA[TANGGAL]))),-1)))</f>
        <v>44935</v>
      </c>
      <c r="AH233" s="65" t="str">
        <f ca="1">IF(NOTA[[#This Row],[NAMA BARANG]]="","",INDEX(NOTA[SUPPLIER],MATCH(,INDIRECT(ADDRESS(ROW(NOTA[ID]),COLUMN(NOTA[ID]))&amp;":"&amp;ADDRESS(ROW(),COLUMN(NOTA[ID]))),-1)))</f>
        <v>KENKO SINAR INDONESIA</v>
      </c>
      <c r="AI233" s="65" t="str">
        <f ca="1">IF(NOTA[[#This Row],[ID_H]]="","",IF(NOTA[[#This Row],[FAKTUR]]="",INDIRECT(ADDRESS(ROW()-1,COLUMN())),NOTA[[#This Row],[FAKTUR]]))</f>
        <v>ARTO MORO</v>
      </c>
      <c r="AJ233" s="38" t="str">
        <f ca="1">IF(NOTA[[#This Row],[ID]]="","",COUNTIF(NOTA[ID_H],NOTA[[#This Row],[ID_H]]))</f>
        <v/>
      </c>
      <c r="AK233" s="38">
        <f ca="1">IF(NOTA[[#This Row],[TGL.NOTA]]="",IF(NOTA[[#This Row],[SUPPLIER_H]]="","",AK232),MONTH(NOTA[[#This Row],[TGL.NOTA]]))</f>
        <v>1</v>
      </c>
      <c r="AL23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33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N233" s="184">
        <f>IF(NOTA[[#This Row],[CONCAT1]]="","",MATCH(NOTA[[#This Row],[CONCAT1]],[1]!db[NB NOTA_C],0)+1)</f>
        <v>1104</v>
      </c>
    </row>
    <row r="234" spans="1:40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Row],[CEK_EXP]]&lt;D233,"err","")</f>
        <v/>
      </c>
      <c r="D234" s="50">
        <f>IF(NOTA[[#This Row],[TANGGAL]]="",D233,NOTA[[#This Row],[TANGGAL]])</f>
        <v>44935</v>
      </c>
      <c r="E234" s="50">
        <f ca="1">IF(NOTA[[#This Row],[NAMA BARANG]]="","",INDEX(NOTA[ID],MATCH(,INDIRECT(ADDRESS(ROW(NOTA[ID]),COLUMN(NOTA[ID]))&amp;":"&amp;ADDRESS(ROW(),COLUMN(NOTA[ID]))),-1)))</f>
        <v>45</v>
      </c>
      <c r="F234" s="23"/>
      <c r="G234" s="26"/>
      <c r="H234" s="26"/>
      <c r="I234" s="31"/>
      <c r="J234" s="26"/>
      <c r="K234" s="51"/>
      <c r="L234" s="26"/>
      <c r="M234" s="26" t="s">
        <v>405</v>
      </c>
      <c r="N234" s="39">
        <v>5</v>
      </c>
      <c r="O234" s="26"/>
      <c r="P234" s="26"/>
      <c r="Q234" s="49"/>
      <c r="R234" s="52">
        <v>1954800</v>
      </c>
      <c r="S234" s="39" t="s">
        <v>118</v>
      </c>
      <c r="T234" s="53">
        <v>0.17</v>
      </c>
      <c r="U234" s="53"/>
      <c r="V234" s="54"/>
      <c r="W234" s="37"/>
      <c r="X234" s="54">
        <f>IF(NOTA[[#This Row],[HARGA/ CTN]]="",NOTA[[#This Row],[JUMLAH_H]],NOTA[[#This Row],[HARGA/ CTN]]*IF(NOTA[[#This Row],[C]]="",0,NOTA[[#This Row],[C]]))</f>
        <v>9774000</v>
      </c>
      <c r="Y234" s="54">
        <f>IF(NOTA[[#This Row],[JUMLAH]]="","",NOTA[[#This Row],[JUMLAH]]*NOTA[[#This Row],[DISC 1]])</f>
        <v>1661580.0000000002</v>
      </c>
      <c r="Z234" s="54">
        <f>IF(NOTA[[#This Row],[JUMLAH]]="","",(NOTA[[#This Row],[JUMLAH]]-NOTA[[#This Row],[DISC 1-]])*NOTA[[#This Row],[DISC 2]])</f>
        <v>0</v>
      </c>
      <c r="AA234" s="54">
        <f>IF(NOTA[[#This Row],[JUMLAH]]="","",NOTA[[#This Row],[DISC 1-]]+NOTA[[#This Row],[DISC 2-]])</f>
        <v>1661580.0000000002</v>
      </c>
      <c r="AB234" s="54">
        <f>IF(NOTA[[#This Row],[JUMLAH]]="","",NOTA[[#This Row],[JUMLAH]]-NOTA[[#This Row],[DISC]])</f>
        <v>8112420</v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4" s="54" t="str">
        <f>IF(OR(NOTA[[#This Row],[QTY]]="",NOTA[[#This Row],[HARGA SATUAN]]="",),"",NOTA[[#This Row],[QTY]]*NOTA[[#This Row],[HARGA SATUAN]])</f>
        <v/>
      </c>
      <c r="AG234" s="51">
        <f ca="1">IF(NOTA[ID_H]="","",INDEX(NOTA[TANGGAL],MATCH(,INDIRECT(ADDRESS(ROW(NOTA[TANGGAL]),COLUMN(NOTA[TANGGAL]))&amp;":"&amp;ADDRESS(ROW(),COLUMN(NOTA[TANGGAL]))),-1)))</f>
        <v>44935</v>
      </c>
      <c r="AH234" s="65" t="str">
        <f ca="1">IF(NOTA[[#This Row],[NAMA BARANG]]="","",INDEX(NOTA[SUPPLIER],MATCH(,INDIRECT(ADDRESS(ROW(NOTA[ID]),COLUMN(NOTA[ID]))&amp;":"&amp;ADDRESS(ROW(),COLUMN(NOTA[ID]))),-1)))</f>
        <v>KENKO SINAR INDONESIA</v>
      </c>
      <c r="AI234" s="65" t="str">
        <f ca="1">IF(NOTA[[#This Row],[ID_H]]="","",IF(NOTA[[#This Row],[FAKTUR]]="",INDIRECT(ADDRESS(ROW()-1,COLUMN())),NOTA[[#This Row],[FAKTUR]]))</f>
        <v>ARTO MORO</v>
      </c>
      <c r="AJ234" s="38" t="str">
        <f ca="1">IF(NOTA[[#This Row],[ID]]="","",COUNTIF(NOTA[ID_H],NOTA[[#This Row],[ID_H]]))</f>
        <v/>
      </c>
      <c r="AK234" s="38">
        <f ca="1">IF(NOTA[[#This Row],[TGL.NOTA]]="",IF(NOTA[[#This Row],[SUPPLIER_H]]="","",AK233),MONTH(NOTA[[#This Row],[TGL.NOTA]]))</f>
        <v>1</v>
      </c>
      <c r="AL23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4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N234" s="184">
        <f>IF(NOTA[[#This Row],[CONCAT1]]="","",MATCH(NOTA[[#This Row],[CONCAT1]],[1]!db[NB NOTA_C],0)+1)</f>
        <v>1102</v>
      </c>
    </row>
    <row r="235" spans="1:40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Row],[CEK_EXP]]&lt;D234,"err","")</f>
        <v/>
      </c>
      <c r="D235" s="50">
        <f>IF(NOTA[[#This Row],[TANGGAL]]="",D234,NOTA[[#This Row],[TANGGAL]])</f>
        <v>44935</v>
      </c>
      <c r="E235" s="50">
        <f ca="1">IF(NOTA[[#This Row],[NAMA BARANG]]="","",INDEX(NOTA[ID],MATCH(,INDIRECT(ADDRESS(ROW(NOTA[ID]),COLUMN(NOTA[ID]))&amp;":"&amp;ADDRESS(ROW(),COLUMN(NOTA[ID]))),-1)))</f>
        <v>45</v>
      </c>
      <c r="F235" s="23"/>
      <c r="G235" s="26"/>
      <c r="H235" s="26"/>
      <c r="I235" s="31"/>
      <c r="J235" s="26"/>
      <c r="K235" s="51"/>
      <c r="L235" s="26"/>
      <c r="M235" s="26" t="s">
        <v>165</v>
      </c>
      <c r="N235" s="39">
        <v>1</v>
      </c>
      <c r="O235" s="26"/>
      <c r="P235" s="26"/>
      <c r="Q235" s="49"/>
      <c r="R235" s="52">
        <v>3456000</v>
      </c>
      <c r="S235" s="39" t="s">
        <v>117</v>
      </c>
      <c r="T235" s="53">
        <v>0.17</v>
      </c>
      <c r="U235" s="53"/>
      <c r="V235" s="54"/>
      <c r="W235" s="37"/>
      <c r="X235" s="54">
        <f>IF(NOTA[[#This Row],[HARGA/ CTN]]="",NOTA[[#This Row],[JUMLAH_H]],NOTA[[#This Row],[HARGA/ CTN]]*IF(NOTA[[#This Row],[C]]="",0,NOTA[[#This Row],[C]]))</f>
        <v>3456000</v>
      </c>
      <c r="Y235" s="54">
        <f>IF(NOTA[[#This Row],[JUMLAH]]="","",NOTA[[#This Row],[JUMLAH]]*NOTA[[#This Row],[DISC 1]])</f>
        <v>587520</v>
      </c>
      <c r="Z235" s="54">
        <f>IF(NOTA[[#This Row],[JUMLAH]]="","",(NOTA[[#This Row],[JUMLAH]]-NOTA[[#This Row],[DISC 1-]])*NOTA[[#This Row],[DISC 2]])</f>
        <v>0</v>
      </c>
      <c r="AA235" s="54">
        <f>IF(NOTA[[#This Row],[JUMLAH]]="","",NOTA[[#This Row],[DISC 1-]]+NOTA[[#This Row],[DISC 2-]])</f>
        <v>587520</v>
      </c>
      <c r="AB235" s="54">
        <f>IF(NOTA[[#This Row],[JUMLAH]]="","",NOTA[[#This Row],[JUMLAH]]-NOTA[[#This Row],[DISC]])</f>
        <v>2868480</v>
      </c>
      <c r="AC2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8378280</v>
      </c>
      <c r="AD2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40905720</v>
      </c>
      <c r="AE23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35" s="54" t="str">
        <f>IF(OR(NOTA[[#This Row],[QTY]]="",NOTA[[#This Row],[HARGA SATUAN]]="",),"",NOTA[[#This Row],[QTY]]*NOTA[[#This Row],[HARGA SATUAN]])</f>
        <v/>
      </c>
      <c r="AG235" s="51">
        <f ca="1">IF(NOTA[ID_H]="","",INDEX(NOTA[TANGGAL],MATCH(,INDIRECT(ADDRESS(ROW(NOTA[TANGGAL]),COLUMN(NOTA[TANGGAL]))&amp;":"&amp;ADDRESS(ROW(),COLUMN(NOTA[TANGGAL]))),-1)))</f>
        <v>44935</v>
      </c>
      <c r="AH235" s="65" t="str">
        <f ca="1">IF(NOTA[[#This Row],[NAMA BARANG]]="","",INDEX(NOTA[SUPPLIER],MATCH(,INDIRECT(ADDRESS(ROW(NOTA[ID]),COLUMN(NOTA[ID]))&amp;":"&amp;ADDRESS(ROW(),COLUMN(NOTA[ID]))),-1)))</f>
        <v>KENKO SINAR INDONESIA</v>
      </c>
      <c r="AI235" s="65" t="str">
        <f ca="1">IF(NOTA[[#This Row],[ID_H]]="","",IF(NOTA[[#This Row],[FAKTUR]]="",INDIRECT(ADDRESS(ROW()-1,COLUMN())),NOTA[[#This Row],[FAKTUR]]))</f>
        <v>ARTO MORO</v>
      </c>
      <c r="AJ235" s="38" t="str">
        <f ca="1">IF(NOTA[[#This Row],[ID]]="","",COUNTIF(NOTA[ID_H],NOTA[[#This Row],[ID_H]]))</f>
        <v/>
      </c>
      <c r="AK235" s="38">
        <f ca="1">IF(NOTA[[#This Row],[TGL.NOTA]]="",IF(NOTA[[#This Row],[SUPPLIER_H]]="","",AK234),MONTH(NOTA[[#This Row],[TGL.NOTA]]))</f>
        <v>1</v>
      </c>
      <c r="AL235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M235" s="38" t="str">
        <f>IF(NOTA[C]="",NOTA[[#This Row],[CONCAT1]]&amp;NOTA[[#This Row],[HARGA SATUAN]],NOTA[[#This Row],[CONCAT1]]&amp;NOTA[[#This Row],[HARGA/ CTN_H]]&amp;NOTA[[#This Row],[DISC 1]]&amp;NOTA[[#This Row],[DISC 2]])</f>
        <v>kenkogelpentgelerasableke303erblack34560000.17</v>
      </c>
      <c r="AN235" s="184">
        <f>IF(NOTA[[#This Row],[CONCAT1]]="","",MATCH(NOTA[[#This Row],[CONCAT1]],[1]!db[NB NOTA_C],0)+1)</f>
        <v>1184</v>
      </c>
    </row>
    <row r="236" spans="1:40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Row],[CEK_EXP]]&lt;D235,"err","")</f>
        <v/>
      </c>
      <c r="D236" s="50">
        <f>IF(NOTA[[#This Row],[TANGGAL]]="",D235,NOTA[[#This Row],[TANGGAL]])</f>
        <v>44935</v>
      </c>
      <c r="E236" s="50" t="str">
        <f ca="1">IF(NOTA[[#This Row],[NAMA BARANG]]="","",INDEX(NOTA[ID],MATCH(,INDIRECT(ADDRESS(ROW(NOTA[ID]),COLUMN(NOTA[ID]))&amp;":"&amp;ADDRESS(ROW(),COLUMN(NOTA[ID]))),-1)))</f>
        <v/>
      </c>
      <c r="F236" s="23"/>
      <c r="G236" s="26"/>
      <c r="H236" s="26"/>
      <c r="I236" s="31"/>
      <c r="J236" s="26"/>
      <c r="K236" s="51"/>
      <c r="L236" s="26"/>
      <c r="M236" s="26"/>
      <c r="N236" s="39"/>
      <c r="O236" s="26"/>
      <c r="P236" s="26"/>
      <c r="Q236" s="49"/>
      <c r="R236" s="52"/>
      <c r="S236" s="39"/>
      <c r="T236" s="53"/>
      <c r="U236" s="53"/>
      <c r="V236" s="54"/>
      <c r="W236" s="37"/>
      <c r="X236" s="54" t="str">
        <f>IF(NOTA[[#This Row],[HARGA/ CTN]]="",NOTA[[#This Row],[JUMLAH_H]],NOTA[[#This Row],[HARGA/ CTN]]*IF(NOTA[[#This Row],[C]]="",0,NOTA[[#This Row],[C]]))</f>
        <v/>
      </c>
      <c r="Y236" s="54" t="str">
        <f>IF(NOTA[[#This Row],[JUMLAH]]="","",NOTA[[#This Row],[JUMLAH]]*NOTA[[#This Row],[DISC 1]])</f>
        <v/>
      </c>
      <c r="Z236" s="54" t="str">
        <f>IF(NOTA[[#This Row],[JUMLAH]]="","",(NOTA[[#This Row],[JUMLAH]]-NOTA[[#This Row],[DISC 1-]])*NOTA[[#This Row],[DISC 2]])</f>
        <v/>
      </c>
      <c r="AA236" s="54" t="str">
        <f>IF(NOTA[[#This Row],[JUMLAH]]="","",NOTA[[#This Row],[DISC 1-]]+NOTA[[#This Row],[DISC 2-]])</f>
        <v/>
      </c>
      <c r="AB236" s="54" t="str">
        <f>IF(NOTA[[#This Row],[JUMLAH]]="","",NOTA[[#This Row],[JUMLAH]]-NOTA[[#This Row],[DISC]])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6" s="54" t="str">
        <f>IF(OR(NOTA[[#This Row],[QTY]]="",NOTA[[#This Row],[HARGA SATUAN]]="",),"",NOTA[[#This Row],[QTY]]*NOTA[[#This Row],[HARGA SATUAN]])</f>
        <v/>
      </c>
      <c r="AG236" s="51" t="str">
        <f ca="1">IF(NOTA[ID_H]="","",INDEX(NOTA[TANGGAL],MATCH(,INDIRECT(ADDRESS(ROW(NOTA[TANGGAL]),COLUMN(NOTA[TANGGAL]))&amp;":"&amp;ADDRESS(ROW(),COLUMN(NOTA[TANGGAL]))),-1)))</f>
        <v/>
      </c>
      <c r="AH236" s="65" t="str">
        <f ca="1">IF(NOTA[[#This Row],[NAMA BARANG]]="","",INDEX(NOTA[SUPPLIER],MATCH(,INDIRECT(ADDRESS(ROW(NOTA[ID]),COLUMN(NOTA[ID]))&amp;":"&amp;ADDRESS(ROW(),COLUMN(NOTA[ID]))),-1)))</f>
        <v/>
      </c>
      <c r="AI236" s="65" t="str">
        <f ca="1">IF(NOTA[[#This Row],[ID_H]]="","",IF(NOTA[[#This Row],[FAKTUR]]="",INDIRECT(ADDRESS(ROW()-1,COLUMN())),NOTA[[#This Row],[FAKTUR]]))</f>
        <v/>
      </c>
      <c r="AJ236" s="38" t="str">
        <f ca="1">IF(NOTA[[#This Row],[ID]]="","",COUNTIF(NOTA[ID_H],NOTA[[#This Row],[ID_H]]))</f>
        <v/>
      </c>
      <c r="AK236" s="38" t="str">
        <f ca="1">IF(NOTA[[#This Row],[TGL.NOTA]]="",IF(NOTA[[#This Row],[SUPPLIER_H]]="","",AK235),MONTH(NOTA[[#This Row],[TGL.NOTA]]))</f>
        <v/>
      </c>
      <c r="AL236" s="38" t="str">
        <f>LOWER(SUBSTITUTE(SUBSTITUTE(SUBSTITUTE(SUBSTITUTE(SUBSTITUTE(SUBSTITUTE(SUBSTITUTE(SUBSTITUTE(SUBSTITUTE(NOTA[NAMA BARANG]," ",),".",""),"-",""),"(",""),")",""),",",""),"/",""),"""",""),"+",""))</f>
        <v/>
      </c>
      <c r="AM236" s="38" t="str">
        <f>IF(NOTA[C]="",NOTA[[#This Row],[CONCAT1]]&amp;NOTA[[#This Row],[HARGA SATUAN]],NOTA[[#This Row],[CONCAT1]]&amp;NOTA[[#This Row],[HARGA/ CTN_H]]&amp;NOTA[[#This Row],[DISC 1]]&amp;NOTA[[#This Row],[DISC 2]])</f>
        <v/>
      </c>
      <c r="AN236" s="184" t="str">
        <f>IF(NOTA[[#This Row],[CONCAT1]]="","",MATCH(NOTA[[#This Row],[CONCAT1]],[1]!db[NB NOTA_C],0)+1)</f>
        <v/>
      </c>
    </row>
    <row r="237" spans="1:40" ht="20.100000000000001" customHeight="1" x14ac:dyDescent="0.25">
      <c r="A237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PAR_1001_-4</v>
      </c>
      <c r="C237" s="50" t="str">
        <f>IF(NOTA[[#This Row],[CEK_EXP]]&lt;D236,"err","")</f>
        <v/>
      </c>
      <c r="D237" s="50">
        <f>IF(NOTA[[#This Row],[TANGGAL]]="",D236,NOTA[[#This Row],[TANGGAL]])</f>
        <v>44936</v>
      </c>
      <c r="E237" s="50">
        <f ca="1">IF(NOTA[[#This Row],[NAMA BARANG]]="","",INDEX(NOTA[ID],MATCH(,INDIRECT(ADDRESS(ROW(NOTA[ID]),COLUMN(NOTA[ID]))&amp;":"&amp;ADDRESS(ROW(),COLUMN(NOTA[ID]))),-1)))</f>
        <v>46</v>
      </c>
      <c r="F237" s="23">
        <v>44936</v>
      </c>
      <c r="G237" s="26" t="s">
        <v>318</v>
      </c>
      <c r="H237" s="26" t="s">
        <v>87</v>
      </c>
      <c r="I237" s="31"/>
      <c r="J237" s="26"/>
      <c r="K237" s="51">
        <v>44931</v>
      </c>
      <c r="L237" s="26"/>
      <c r="M237" s="26" t="s">
        <v>319</v>
      </c>
      <c r="N237" s="39">
        <v>10</v>
      </c>
      <c r="O237" s="26"/>
      <c r="P237" s="26"/>
      <c r="Q237" s="49"/>
      <c r="R237" s="52">
        <v>1200000</v>
      </c>
      <c r="S237" s="39" t="s">
        <v>320</v>
      </c>
      <c r="T237" s="53">
        <v>0.1</v>
      </c>
      <c r="U237" s="53">
        <v>0.1</v>
      </c>
      <c r="V237" s="54"/>
      <c r="W237" s="37"/>
      <c r="X237" s="54">
        <f>IF(NOTA[[#This Row],[HARGA/ CTN]]="",NOTA[[#This Row],[JUMLAH_H]],NOTA[[#This Row],[HARGA/ CTN]]*IF(NOTA[[#This Row],[C]]="",0,NOTA[[#This Row],[C]]))</f>
        <v>12000000</v>
      </c>
      <c r="Y237" s="54">
        <f>IF(NOTA[[#This Row],[JUMLAH]]="","",NOTA[[#This Row],[JUMLAH]]*NOTA[[#This Row],[DISC 1]])</f>
        <v>1200000</v>
      </c>
      <c r="Z237" s="54">
        <f>IF(NOTA[[#This Row],[JUMLAH]]="","",(NOTA[[#This Row],[JUMLAH]]-NOTA[[#This Row],[DISC 1-]])*NOTA[[#This Row],[DISC 2]])</f>
        <v>1080000</v>
      </c>
      <c r="AA237" s="54">
        <f>IF(NOTA[[#This Row],[JUMLAH]]="","",NOTA[[#This Row],[DISC 1-]]+NOTA[[#This Row],[DISC 2-]])</f>
        <v>2280000</v>
      </c>
      <c r="AB237" s="54">
        <f>IF(NOTA[[#This Row],[JUMLAH]]="","",NOTA[[#This Row],[JUMLAH]]-NOTA[[#This Row],[DISC]])</f>
        <v>9720000</v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237" s="54" t="str">
        <f>IF(OR(NOTA[[#This Row],[QTY]]="",NOTA[[#This Row],[HARGA SATUAN]]="",),"",NOTA[[#This Row],[QTY]]*NOTA[[#This Row],[HARGA SATUAN]])</f>
        <v/>
      </c>
      <c r="AG237" s="51">
        <f ca="1">IF(NOTA[ID_H]="","",INDEX(NOTA[TANGGAL],MATCH(,INDIRECT(ADDRESS(ROW(NOTA[TANGGAL]),COLUMN(NOTA[TANGGAL]))&amp;":"&amp;ADDRESS(ROW(),COLUMN(NOTA[TANGGAL]))),-1)))</f>
        <v>44936</v>
      </c>
      <c r="AH237" s="65" t="str">
        <f ca="1">IF(NOTA[[#This Row],[NAMA BARANG]]="","",INDEX(NOTA[SUPPLIER],MATCH(,INDIRECT(ADDRESS(ROW(NOTA[ID]),COLUMN(NOTA[ID]))&amp;":"&amp;ADDRESS(ROW(),COLUMN(NOTA[ID]))),-1)))</f>
        <v>PARAMA</v>
      </c>
      <c r="AI237" s="65" t="str">
        <f ca="1">IF(NOTA[[#This Row],[ID_H]]="","",IF(NOTA[[#This Row],[FAKTUR]]="",INDIRECT(ADDRESS(ROW()-1,COLUMN())),NOTA[[#This Row],[FAKTUR]]))</f>
        <v>UNTANA</v>
      </c>
      <c r="AJ237" s="38">
        <f ca="1">IF(NOTA[[#This Row],[ID]]="","",COUNTIF(NOTA[ID_H],NOTA[[#This Row],[ID_H]]))</f>
        <v>4</v>
      </c>
      <c r="AK237" s="38">
        <f>IF(NOTA[[#This Row],[TGL.NOTA]]="",IF(NOTA[[#This Row],[SUPPLIER_H]]="","",AK157),MONTH(NOTA[[#This Row],[TGL.NOTA]]))</f>
        <v>1</v>
      </c>
      <c r="AL237" s="38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237" s="38" t="str">
        <f>IF(NOTA[C]="",NOTA[[#This Row],[CONCAT1]]&amp;NOTA[[#This Row],[HARGA SATUAN]],NOTA[[#This Row],[CONCAT1]]&amp;NOTA[[#This Row],[HARGA/ CTN_H]]&amp;NOTA[[#This Row],[DISC 1]]&amp;NOTA[[#This Row],[DISC 2]])</f>
        <v>sampulsamsonkwartobatik12000000.10.1</v>
      </c>
      <c r="AN237" s="184">
        <f>IF(NOTA[[#This Row],[CONCAT1]]="","",MATCH(NOTA[[#This Row],[CONCAT1]],[1]!db[NB NOTA_C],0)+1)</f>
        <v>1914</v>
      </c>
    </row>
    <row r="238" spans="1:40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Row],[CEK_EXP]]&lt;D237,"err","")</f>
        <v/>
      </c>
      <c r="D238" s="50">
        <f>IF(NOTA[[#This Row],[TANGGAL]]="",D237,NOTA[[#This Row],[TANGGAL]])</f>
        <v>44936</v>
      </c>
      <c r="E238" s="50">
        <f ca="1">IF(NOTA[[#This Row],[NAMA BARANG]]="","",INDEX(NOTA[ID],MATCH(,INDIRECT(ADDRESS(ROW(NOTA[ID]),COLUMN(NOTA[ID]))&amp;":"&amp;ADDRESS(ROW(),COLUMN(NOTA[ID]))),-1)))</f>
        <v>46</v>
      </c>
      <c r="F238" s="23"/>
      <c r="G238" s="26"/>
      <c r="H238" s="26"/>
      <c r="I238" s="31"/>
      <c r="J238" s="26"/>
      <c r="K238" s="51"/>
      <c r="L238" s="26"/>
      <c r="M238" s="26" t="s">
        <v>321</v>
      </c>
      <c r="N238" s="39">
        <v>4</v>
      </c>
      <c r="O238" s="26"/>
      <c r="P238" s="26"/>
      <c r="Q238" s="49"/>
      <c r="R238" s="52">
        <v>1200000</v>
      </c>
      <c r="S238" s="39" t="s">
        <v>322</v>
      </c>
      <c r="T238" s="53">
        <v>0.1</v>
      </c>
      <c r="U238" s="53">
        <v>0.1</v>
      </c>
      <c r="V238" s="54"/>
      <c r="W238" s="37"/>
      <c r="X238" s="54">
        <f>IF(NOTA[[#This Row],[HARGA/ CTN]]="",NOTA[[#This Row],[JUMLAH_H]],NOTA[[#This Row],[HARGA/ CTN]]*IF(NOTA[[#This Row],[C]]="",0,NOTA[[#This Row],[C]]))</f>
        <v>4800000</v>
      </c>
      <c r="Y238" s="54">
        <f>IF(NOTA[[#This Row],[JUMLAH]]="","",NOTA[[#This Row],[JUMLAH]]*NOTA[[#This Row],[DISC 1]])</f>
        <v>480000</v>
      </c>
      <c r="Z238" s="54">
        <f>IF(NOTA[[#This Row],[JUMLAH]]="","",(NOTA[[#This Row],[JUMLAH]]-NOTA[[#This Row],[DISC 1-]])*NOTA[[#This Row],[DISC 2]])</f>
        <v>432000</v>
      </c>
      <c r="AA238" s="54">
        <f>IF(NOTA[[#This Row],[JUMLAH]]="","",NOTA[[#This Row],[DISC 1-]]+NOTA[[#This Row],[DISC 2-]])</f>
        <v>912000</v>
      </c>
      <c r="AB238" s="54">
        <f>IF(NOTA[[#This Row],[JUMLAH]]="","",NOTA[[#This Row],[JUMLAH]]-NOTA[[#This Row],[DISC]])</f>
        <v>3888000</v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238" s="54" t="str">
        <f>IF(OR(NOTA[[#This Row],[QTY]]="",NOTA[[#This Row],[HARGA SATUAN]]="",),"",NOTA[[#This Row],[QTY]]*NOTA[[#This Row],[HARGA SATUAN]])</f>
        <v/>
      </c>
      <c r="AG238" s="51">
        <f ca="1">IF(NOTA[ID_H]="","",INDEX(NOTA[TANGGAL],MATCH(,INDIRECT(ADDRESS(ROW(NOTA[TANGGAL]),COLUMN(NOTA[TANGGAL]))&amp;":"&amp;ADDRESS(ROW(),COLUMN(NOTA[TANGGAL]))),-1)))</f>
        <v>44936</v>
      </c>
      <c r="AH238" s="65" t="str">
        <f ca="1">IF(NOTA[[#This Row],[NAMA BARANG]]="","",INDEX(NOTA[SUPPLIER],MATCH(,INDIRECT(ADDRESS(ROW(NOTA[ID]),COLUMN(NOTA[ID]))&amp;":"&amp;ADDRESS(ROW(),COLUMN(NOTA[ID]))),-1)))</f>
        <v>PARAMA</v>
      </c>
      <c r="AI238" s="65" t="str">
        <f ca="1">IF(NOTA[[#This Row],[ID_H]]="","",IF(NOTA[[#This Row],[FAKTUR]]="",INDIRECT(ADDRESS(ROW()-1,COLUMN())),NOTA[[#This Row],[FAKTUR]]))</f>
        <v>UNTANA</v>
      </c>
      <c r="AJ238" s="38" t="str">
        <f ca="1">IF(NOTA[[#This Row],[ID]]="","",COUNTIF(NOTA[ID_H],NOTA[[#This Row],[ID_H]]))</f>
        <v/>
      </c>
      <c r="AK238" s="38">
        <f ca="1">IF(NOTA[[#This Row],[TGL.NOTA]]="",IF(NOTA[[#This Row],[SUPPLIER_H]]="","",AK237),MONTH(NOTA[[#This Row],[TGL.NOTA]]))</f>
        <v>1</v>
      </c>
      <c r="AL238" s="38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238" s="38" t="str">
        <f>IF(NOTA[C]="",NOTA[[#This Row],[CONCAT1]]&amp;NOTA[[#This Row],[HARGA SATUAN]],NOTA[[#This Row],[CONCAT1]]&amp;NOTA[[#This Row],[HARGA/ CTN_H]]&amp;NOTA[[#This Row],[DISC 1]]&amp;NOTA[[#This Row],[DISC 2]])</f>
        <v>sampulsamsonkwartofancy12000000.10.1</v>
      </c>
      <c r="AN238" s="184">
        <f>IF(NOTA[[#This Row],[CONCAT1]]="","",MATCH(NOTA[[#This Row],[CONCAT1]],[1]!db[NB NOTA_C],0)+1)</f>
        <v>1915</v>
      </c>
    </row>
    <row r="239" spans="1:40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Row],[CEK_EXP]]&lt;D238,"err","")</f>
        <v/>
      </c>
      <c r="D239" s="50">
        <f>IF(NOTA[[#This Row],[TANGGAL]]="",D238,NOTA[[#This Row],[TANGGAL]])</f>
        <v>44936</v>
      </c>
      <c r="E239" s="50">
        <f ca="1">IF(NOTA[[#This Row],[NAMA BARANG]]="","",INDEX(NOTA[ID],MATCH(,INDIRECT(ADDRESS(ROW(NOTA[ID]),COLUMN(NOTA[ID]))&amp;":"&amp;ADDRESS(ROW(),COLUMN(NOTA[ID]))),-1)))</f>
        <v>46</v>
      </c>
      <c r="F239" s="23"/>
      <c r="G239" s="26"/>
      <c r="H239" s="26"/>
      <c r="I239" s="31"/>
      <c r="J239" s="26"/>
      <c r="K239" s="51"/>
      <c r="L239" s="26"/>
      <c r="M239" s="26" t="s">
        <v>323</v>
      </c>
      <c r="N239" s="39">
        <v>10</v>
      </c>
      <c r="O239" s="26"/>
      <c r="P239" s="26"/>
      <c r="Q239" s="49"/>
      <c r="R239" s="52">
        <v>1215000</v>
      </c>
      <c r="S239" s="39" t="s">
        <v>324</v>
      </c>
      <c r="T239" s="53">
        <v>0.1</v>
      </c>
      <c r="U239" s="53">
        <v>0.1</v>
      </c>
      <c r="V239" s="54"/>
      <c r="W239" s="37"/>
      <c r="X239" s="54">
        <f>IF(NOTA[[#This Row],[HARGA/ CTN]]="",NOTA[[#This Row],[JUMLAH_H]],NOTA[[#This Row],[HARGA/ CTN]]*IF(NOTA[[#This Row],[C]]="",0,NOTA[[#This Row],[C]]))</f>
        <v>12150000</v>
      </c>
      <c r="Y239" s="54">
        <f>IF(NOTA[[#This Row],[JUMLAH]]="","",NOTA[[#This Row],[JUMLAH]]*NOTA[[#This Row],[DISC 1]])</f>
        <v>1215000</v>
      </c>
      <c r="Z239" s="54">
        <f>IF(NOTA[[#This Row],[JUMLAH]]="","",(NOTA[[#This Row],[JUMLAH]]-NOTA[[#This Row],[DISC 1-]])*NOTA[[#This Row],[DISC 2]])</f>
        <v>1093500</v>
      </c>
      <c r="AA239" s="54">
        <f>IF(NOTA[[#This Row],[JUMLAH]]="","",NOTA[[#This Row],[DISC 1-]]+NOTA[[#This Row],[DISC 2-]])</f>
        <v>2308500</v>
      </c>
      <c r="AB239" s="54">
        <f>IF(NOTA[[#This Row],[JUMLAH]]="","",NOTA[[#This Row],[JUMLAH]]-NOTA[[#This Row],[DISC]])</f>
        <v>9841500</v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F239" s="54" t="str">
        <f>IF(OR(NOTA[[#This Row],[QTY]]="",NOTA[[#This Row],[HARGA SATUAN]]="",),"",NOTA[[#This Row],[QTY]]*NOTA[[#This Row],[HARGA SATUAN]])</f>
        <v/>
      </c>
      <c r="AG239" s="51">
        <f ca="1">IF(NOTA[ID_H]="","",INDEX(NOTA[TANGGAL],MATCH(,INDIRECT(ADDRESS(ROW(NOTA[TANGGAL]),COLUMN(NOTA[TANGGAL]))&amp;":"&amp;ADDRESS(ROW(),COLUMN(NOTA[TANGGAL]))),-1)))</f>
        <v>44936</v>
      </c>
      <c r="AH239" s="65" t="str">
        <f ca="1">IF(NOTA[[#This Row],[NAMA BARANG]]="","",INDEX(NOTA[SUPPLIER],MATCH(,INDIRECT(ADDRESS(ROW(NOTA[ID]),COLUMN(NOTA[ID]))&amp;":"&amp;ADDRESS(ROW(),COLUMN(NOTA[ID]))),-1)))</f>
        <v>PARAMA</v>
      </c>
      <c r="AI239" s="65" t="str">
        <f ca="1">IF(NOTA[[#This Row],[ID_H]]="","",IF(NOTA[[#This Row],[FAKTUR]]="",INDIRECT(ADDRESS(ROW()-1,COLUMN())),NOTA[[#This Row],[FAKTUR]]))</f>
        <v>UNTANA</v>
      </c>
      <c r="AJ239" s="38" t="str">
        <f ca="1">IF(NOTA[[#This Row],[ID]]="","",COUNTIF(NOTA[ID_H],NOTA[[#This Row],[ID_H]]))</f>
        <v/>
      </c>
      <c r="AK239" s="38">
        <f ca="1">IF(NOTA[[#This Row],[TGL.NOTA]]="",IF(NOTA[[#This Row],[SUPPLIER_H]]="","",AK238),MONTH(NOTA[[#This Row],[TGL.NOTA]]))</f>
        <v>1</v>
      </c>
      <c r="AL23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239" s="38" t="str">
        <f>IF(NOTA[C]="",NOTA[[#This Row],[CONCAT1]]&amp;NOTA[[#This Row],[HARGA SATUAN]],NOTA[[#This Row],[CONCAT1]]&amp;NOTA[[#This Row],[HARGA/ CTN_H]]&amp;NOTA[[#This Row],[DISC 1]]&amp;NOTA[[#This Row],[DISC 2]])</f>
        <v>sampulsamsonboxybatik12150000.10.1</v>
      </c>
      <c r="AN239" s="184">
        <f>IF(NOTA[[#This Row],[CONCAT1]]="","",MATCH(NOTA[[#This Row],[CONCAT1]],[1]!db[NB NOTA_C],0)+1)</f>
        <v>1912</v>
      </c>
    </row>
    <row r="240" spans="1:40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Row],[CEK_EXP]]&lt;D239,"err","")</f>
        <v/>
      </c>
      <c r="D240" s="50">
        <f>IF(NOTA[[#This Row],[TANGGAL]]="",D239,NOTA[[#This Row],[TANGGAL]])</f>
        <v>44936</v>
      </c>
      <c r="E240" s="50">
        <f ca="1">IF(NOTA[[#This Row],[NAMA BARANG]]="","",INDEX(NOTA[ID],MATCH(,INDIRECT(ADDRESS(ROW(NOTA[ID]),COLUMN(NOTA[ID]))&amp;":"&amp;ADDRESS(ROW(),COLUMN(NOTA[ID]))),-1)))</f>
        <v>46</v>
      </c>
      <c r="F240" s="23"/>
      <c r="G240" s="26"/>
      <c r="H240" s="26"/>
      <c r="I240" s="31"/>
      <c r="J240" s="26"/>
      <c r="K240" s="51"/>
      <c r="L240" s="26"/>
      <c r="M240" s="26" t="s">
        <v>325</v>
      </c>
      <c r="N240" s="39">
        <v>10</v>
      </c>
      <c r="O240" s="26"/>
      <c r="P240" s="26"/>
      <c r="Q240" s="49"/>
      <c r="R240" s="52">
        <v>1215000</v>
      </c>
      <c r="S240" s="39" t="s">
        <v>324</v>
      </c>
      <c r="T240" s="53">
        <v>0.1</v>
      </c>
      <c r="U240" s="53">
        <v>0.1</v>
      </c>
      <c r="V240" s="54"/>
      <c r="W240" s="37"/>
      <c r="X240" s="54">
        <f>IF(NOTA[[#This Row],[HARGA/ CTN]]="",NOTA[[#This Row],[JUMLAH_H]],NOTA[[#This Row],[HARGA/ CTN]]*IF(NOTA[[#This Row],[C]]="",0,NOTA[[#This Row],[C]]))</f>
        <v>12150000</v>
      </c>
      <c r="Y240" s="54">
        <f>IF(NOTA[[#This Row],[JUMLAH]]="","",NOTA[[#This Row],[JUMLAH]]*NOTA[[#This Row],[DISC 1]])</f>
        <v>1215000</v>
      </c>
      <c r="Z240" s="54">
        <f>IF(NOTA[[#This Row],[JUMLAH]]="","",(NOTA[[#This Row],[JUMLAH]]-NOTA[[#This Row],[DISC 1-]])*NOTA[[#This Row],[DISC 2]])</f>
        <v>1093500</v>
      </c>
      <c r="AA240" s="54">
        <f>IF(NOTA[[#This Row],[JUMLAH]]="","",NOTA[[#This Row],[DISC 1-]]+NOTA[[#This Row],[DISC 2-]])</f>
        <v>2308500</v>
      </c>
      <c r="AB240" s="54">
        <f>IF(NOTA[[#This Row],[JUMLAH]]="","",NOTA[[#This Row],[JUMLAH]]-NOTA[[#This Row],[DISC]])</f>
        <v>9841500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7809000</v>
      </c>
      <c r="AD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33291000</v>
      </c>
      <c r="AE240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F240" s="54" t="str">
        <f>IF(OR(NOTA[[#This Row],[QTY]]="",NOTA[[#This Row],[HARGA SATUAN]]="",),"",NOTA[[#This Row],[QTY]]*NOTA[[#This Row],[HARGA SATUAN]])</f>
        <v/>
      </c>
      <c r="AG240" s="51">
        <f ca="1">IF(NOTA[ID_H]="","",INDEX(NOTA[TANGGAL],MATCH(,INDIRECT(ADDRESS(ROW(NOTA[TANGGAL]),COLUMN(NOTA[TANGGAL]))&amp;":"&amp;ADDRESS(ROW(),COLUMN(NOTA[TANGGAL]))),-1)))</f>
        <v>44936</v>
      </c>
      <c r="AH240" s="65" t="str">
        <f ca="1">IF(NOTA[[#This Row],[NAMA BARANG]]="","",INDEX(NOTA[SUPPLIER],MATCH(,INDIRECT(ADDRESS(ROW(NOTA[ID]),COLUMN(NOTA[ID]))&amp;":"&amp;ADDRESS(ROW(),COLUMN(NOTA[ID]))),-1)))</f>
        <v>PARAMA</v>
      </c>
      <c r="AI240" s="65" t="str">
        <f ca="1">IF(NOTA[[#This Row],[ID_H]]="","",IF(NOTA[[#This Row],[FAKTUR]]="",INDIRECT(ADDRESS(ROW()-1,COLUMN())),NOTA[[#This Row],[FAKTUR]]))</f>
        <v>UNTANA</v>
      </c>
      <c r="AJ240" s="38" t="str">
        <f ca="1">IF(NOTA[[#This Row],[ID]]="","",COUNTIF(NOTA[ID_H],NOTA[[#This Row],[ID_H]]))</f>
        <v/>
      </c>
      <c r="AK240" s="38">
        <f ca="1">IF(NOTA[[#This Row],[TGL.NOTA]]="",IF(NOTA[[#This Row],[SUPPLIER_H]]="","",AK239),MONTH(NOTA[[#This Row],[TGL.NOTA]]))</f>
        <v>1</v>
      </c>
      <c r="AL240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M240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N240" s="184">
        <f>IF(NOTA[[#This Row],[CONCAT1]]="","",MATCH(NOTA[[#This Row],[CONCAT1]],[1]!db[NB NOTA_C],0)+1)</f>
        <v>1913</v>
      </c>
    </row>
    <row r="241" spans="1:40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Row],[CEK_EXP]]&lt;D240,"err","")</f>
        <v/>
      </c>
      <c r="D241" s="50">
        <f>IF(NOTA[[#This Row],[TANGGAL]]="",D240,NOTA[[#This Row],[TANGGAL]])</f>
        <v>44936</v>
      </c>
      <c r="E241" s="50" t="str">
        <f ca="1">IF(NOTA[[#This Row],[NAMA BARANG]]="","",INDEX(NOTA[ID],MATCH(,INDIRECT(ADDRESS(ROW(NOTA[ID]),COLUMN(NOTA[ID]))&amp;":"&amp;ADDRESS(ROW(),COLUMN(NOTA[ID]))),-1)))</f>
        <v/>
      </c>
      <c r="F241" s="23"/>
      <c r="G241" s="26"/>
      <c r="H241" s="26"/>
      <c r="I241" s="31"/>
      <c r="J241" s="26"/>
      <c r="K241" s="51"/>
      <c r="L241" s="26"/>
      <c r="M241" s="26"/>
      <c r="N241" s="39"/>
      <c r="O241" s="26"/>
      <c r="P241" s="26"/>
      <c r="Q241" s="49"/>
      <c r="R241" s="52"/>
      <c r="S241" s="39"/>
      <c r="T241" s="53"/>
      <c r="U241" s="53"/>
      <c r="V241" s="54"/>
      <c r="W241" s="37"/>
      <c r="X241" s="54" t="str">
        <f>IF(NOTA[[#This Row],[HARGA/ CTN]]="",NOTA[[#This Row],[JUMLAH_H]],NOTA[[#This Row],[HARGA/ CTN]]*IF(NOTA[[#This Row],[C]]="",0,NOTA[[#This Row],[C]]))</f>
        <v/>
      </c>
      <c r="Y241" s="54" t="str">
        <f>IF(NOTA[[#This Row],[JUMLAH]]="","",NOTA[[#This Row],[JUMLAH]]*NOTA[[#This Row],[DISC 1]])</f>
        <v/>
      </c>
      <c r="Z241" s="54" t="str">
        <f>IF(NOTA[[#This Row],[JUMLAH]]="","",(NOTA[[#This Row],[JUMLAH]]-NOTA[[#This Row],[DISC 1-]])*NOTA[[#This Row],[DISC 2]])</f>
        <v/>
      </c>
      <c r="AA241" s="54" t="str">
        <f>IF(NOTA[[#This Row],[JUMLAH]]="","",NOTA[[#This Row],[DISC 1-]]+NOTA[[#This Row],[DISC 2-]])</f>
        <v/>
      </c>
      <c r="AB241" s="54" t="str">
        <f>IF(NOTA[[#This Row],[JUMLAH]]="","",NOTA[[#This Row],[JUMLAH]]-NOTA[[#This Row],[DISC]])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54" t="str">
        <f>IF(OR(NOTA[[#This Row],[QTY]]="",NOTA[[#This Row],[HARGA SATUAN]]="",),"",NOTA[[#This Row],[QTY]]*NOTA[[#This Row],[HARGA SATUAN]])</f>
        <v/>
      </c>
      <c r="AG241" s="51" t="str">
        <f ca="1">IF(NOTA[ID_H]="","",INDEX(NOTA[TANGGAL],MATCH(,INDIRECT(ADDRESS(ROW(NOTA[TANGGAL]),COLUMN(NOTA[TANGGAL]))&amp;":"&amp;ADDRESS(ROW(),COLUMN(NOTA[TANGGAL]))),-1)))</f>
        <v/>
      </c>
      <c r="AH241" s="65" t="str">
        <f ca="1">IF(NOTA[[#This Row],[NAMA BARANG]]="","",INDEX(NOTA[SUPPLIER],MATCH(,INDIRECT(ADDRESS(ROW(NOTA[ID]),COLUMN(NOTA[ID]))&amp;":"&amp;ADDRESS(ROW(),COLUMN(NOTA[ID]))),-1)))</f>
        <v/>
      </c>
      <c r="AI241" s="65" t="str">
        <f ca="1">IF(NOTA[[#This Row],[ID_H]]="","",IF(NOTA[[#This Row],[FAKTUR]]="",INDIRECT(ADDRESS(ROW()-1,COLUMN())),NOTA[[#This Row],[FAKTUR]]))</f>
        <v/>
      </c>
      <c r="AJ241" s="38" t="str">
        <f ca="1">IF(NOTA[[#This Row],[ID]]="","",COUNTIF(NOTA[ID_H],NOTA[[#This Row],[ID_H]]))</f>
        <v/>
      </c>
      <c r="AK241" s="38" t="str">
        <f ca="1">IF(NOTA[[#This Row],[TGL.NOTA]]="",IF(NOTA[[#This Row],[SUPPLIER_H]]="","",AK240),MONTH(NOTA[[#This Row],[TGL.NOTA]]))</f>
        <v/>
      </c>
      <c r="AL241" s="38" t="str">
        <f>LOWER(SUBSTITUTE(SUBSTITUTE(SUBSTITUTE(SUBSTITUTE(SUBSTITUTE(SUBSTITUTE(SUBSTITUTE(SUBSTITUTE(SUBSTITUTE(NOTA[NAMA BARANG]," ",),".",""),"-",""),"(",""),")",""),",",""),"/",""),"""",""),"+",""))</f>
        <v/>
      </c>
      <c r="AM241" s="38" t="str">
        <f>IF(NOTA[C]="",NOTA[[#This Row],[CONCAT1]]&amp;NOTA[[#This Row],[HARGA SATUAN]],NOTA[[#This Row],[CONCAT1]]&amp;NOTA[[#This Row],[HARGA/ CTN_H]]&amp;NOTA[[#This Row],[DISC 1]]&amp;NOTA[[#This Row],[DISC 2]])</f>
        <v/>
      </c>
      <c r="AN241" s="184" t="str">
        <f>IF(NOTA[[#This Row],[CONCAT1]]="","",MATCH(NOTA[[#This Row],[CONCAT1]],[1]!db[NB NOTA_C],0)+1)</f>
        <v/>
      </c>
    </row>
    <row r="242" spans="1:40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SAP_1001_S03-1</v>
      </c>
      <c r="C242" s="50" t="str">
        <f>IF(NOTA[[#This Row],[CEK_EXP]]&lt;D241,"err","")</f>
        <v/>
      </c>
      <c r="D242" s="50">
        <f>IF(NOTA[[#This Row],[TANGGAL]]="",D241,NOTA[[#This Row],[TANGGAL]])</f>
        <v>44936</v>
      </c>
      <c r="E242" s="50">
        <f ca="1">IF(NOTA[[#This Row],[NAMA BARANG]]="","",INDEX(NOTA[ID],MATCH(,INDIRECT(ADDRESS(ROW(NOTA[ID]),COLUMN(NOTA[ID]))&amp;":"&amp;ADDRESS(ROW(),COLUMN(NOTA[ID]))),-1)))</f>
        <v>47</v>
      </c>
      <c r="F242" s="23"/>
      <c r="G242" s="26" t="s">
        <v>234</v>
      </c>
      <c r="H242" s="26" t="s">
        <v>87</v>
      </c>
      <c r="I242" s="31" t="s">
        <v>326</v>
      </c>
      <c r="J242" s="26"/>
      <c r="K242" s="51">
        <v>44917</v>
      </c>
      <c r="L242" s="26"/>
      <c r="M242" s="26" t="s">
        <v>236</v>
      </c>
      <c r="N242" s="39">
        <v>50</v>
      </c>
      <c r="O242" s="26">
        <v>500</v>
      </c>
      <c r="P242" s="26" t="s">
        <v>104</v>
      </c>
      <c r="Q242" s="49">
        <v>48000</v>
      </c>
      <c r="R242" s="52"/>
      <c r="S242" s="39" t="s">
        <v>327</v>
      </c>
      <c r="T242" s="53"/>
      <c r="U242" s="53"/>
      <c r="V242" s="54"/>
      <c r="W242" s="37"/>
      <c r="X242" s="54">
        <f>IF(NOTA[[#This Row],[HARGA/ CTN]]="",NOTA[[#This Row],[JUMLAH_H]],NOTA[[#This Row],[HARGA/ CTN]]*IF(NOTA[[#This Row],[C]]="",0,NOTA[[#This Row],[C]]))</f>
        <v>24000000</v>
      </c>
      <c r="Y242" s="54">
        <f>IF(NOTA[[#This Row],[JUMLAH]]="","",NOTA[[#This Row],[JUMLAH]]*NOTA[[#This Row],[DISC 1]])</f>
        <v>0</v>
      </c>
      <c r="Z242" s="54">
        <f>IF(NOTA[[#This Row],[JUMLAH]]="","",(NOTA[[#This Row],[JUMLAH]]-NOTA[[#This Row],[DISC 1-]])*NOTA[[#This Row],[DISC 2]])</f>
        <v>0</v>
      </c>
      <c r="AA242" s="54">
        <f>IF(NOTA[[#This Row],[JUMLAH]]="","",NOTA[[#This Row],[DISC 1-]]+NOTA[[#This Row],[DISC 2-]])</f>
        <v>0</v>
      </c>
      <c r="AB242" s="54">
        <f>IF(NOTA[[#This Row],[JUMLAH]]="","",NOTA[[#This Row],[JUMLAH]]-NOTA[[#This Row],[DISC]])</f>
        <v>24000000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242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242" s="54">
        <f>IF(OR(NOTA[[#This Row],[QTY]]="",NOTA[[#This Row],[HARGA SATUAN]]="",),"",NOTA[[#This Row],[QTY]]*NOTA[[#This Row],[HARGA SATUAN]])</f>
        <v>24000000</v>
      </c>
      <c r="AG242" s="51">
        <f ca="1">IF(NOTA[ID_H]="","",INDEX(NOTA[TANGGAL],MATCH(,INDIRECT(ADDRESS(ROW(NOTA[TANGGAL]),COLUMN(NOTA[TANGGAL]))&amp;":"&amp;ADDRESS(ROW(),COLUMN(NOTA[TANGGAL]))),-1)))</f>
        <v>44936</v>
      </c>
      <c r="AH242" s="65" t="str">
        <f ca="1">IF(NOTA[[#This Row],[NAMA BARANG]]="","",INDEX(NOTA[SUPPLIER],MATCH(,INDIRECT(ADDRESS(ROW(NOTA[ID]),COLUMN(NOTA[ID]))&amp;":"&amp;ADDRESS(ROW(),COLUMN(NOTA[ID]))),-1)))</f>
        <v>SAPUTRO OFFICE</v>
      </c>
      <c r="AI242" s="65" t="str">
        <f ca="1">IF(NOTA[[#This Row],[ID_H]]="","",IF(NOTA[[#This Row],[FAKTUR]]="",INDIRECT(ADDRESS(ROW()-1,COLUMN())),NOTA[[#This Row],[FAKTUR]]))</f>
        <v>UNTANA</v>
      </c>
      <c r="AJ242" s="38">
        <f ca="1">IF(NOTA[[#This Row],[ID]]="","",COUNTIF(NOTA[ID_H],NOTA[[#This Row],[ID_H]]))</f>
        <v>1</v>
      </c>
      <c r="AK242" s="38">
        <f>IF(NOTA[[#This Row],[TGL.NOTA]]="",IF(NOTA[[#This Row],[SUPPLIER_H]]="","",AK241),MONTH(NOTA[[#This Row],[TGL.NOTA]]))</f>
        <v>12</v>
      </c>
      <c r="AL24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242" s="38" t="str">
        <f>IF(NOTA[C]="",NOTA[[#This Row],[CONCAT1]]&amp;NOTA[[#This Row],[HARGA SATUAN]],NOTA[[#This Row],[CONCAT1]]&amp;NOTA[[#This Row],[HARGA/ CTN_H]]&amp;NOTA[[#This Row],[DISC 1]]&amp;NOTA[[#This Row],[DISC 2]])</f>
        <v>mejaipadimportjumbokarakter480000</v>
      </c>
      <c r="AN242" s="184">
        <f>IF(NOTA[[#This Row],[CONCAT1]]="","",MATCH(NOTA[[#This Row],[CONCAT1]],[1]!db[NB NOTA_C],0)+1)</f>
        <v>1497</v>
      </c>
    </row>
    <row r="243" spans="1:40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Row],[CEK_EXP]]&lt;D242,"err","")</f>
        <v/>
      </c>
      <c r="D243" s="50">
        <f>IF(NOTA[[#This Row],[TANGGAL]]="",D242,NOTA[[#This Row],[TANGGAL]])</f>
        <v>44936</v>
      </c>
      <c r="E243" s="50" t="str">
        <f ca="1">IF(NOTA[[#This Row],[NAMA BARANG]]="","",INDEX(NOTA[ID],MATCH(,INDIRECT(ADDRESS(ROW(NOTA[ID]),COLUMN(NOTA[ID]))&amp;":"&amp;ADDRESS(ROW(),COLUMN(NOTA[ID]))),-1)))</f>
        <v/>
      </c>
      <c r="F243" s="23"/>
      <c r="G243" s="26"/>
      <c r="H243" s="26"/>
      <c r="I243" s="31"/>
      <c r="J243" s="26"/>
      <c r="K243" s="51"/>
      <c r="L243" s="26"/>
      <c r="M243" s="26"/>
      <c r="N243" s="39"/>
      <c r="O243" s="26"/>
      <c r="P243" s="26"/>
      <c r="Q243" s="49"/>
      <c r="R243" s="52"/>
      <c r="S243" s="39"/>
      <c r="T243" s="53"/>
      <c r="U243" s="53"/>
      <c r="V243" s="54"/>
      <c r="W243" s="37"/>
      <c r="X243" s="54" t="str">
        <f>IF(NOTA[[#This Row],[HARGA/ CTN]]="",NOTA[[#This Row],[JUMLAH_H]],NOTA[[#This Row],[HARGA/ CTN]]*IF(NOTA[[#This Row],[C]]="",0,NOTA[[#This Row],[C]]))</f>
        <v/>
      </c>
      <c r="Y243" s="54" t="str">
        <f>IF(NOTA[[#This Row],[JUMLAH]]="","",NOTA[[#This Row],[JUMLAH]]*NOTA[[#This Row],[DISC 1]])</f>
        <v/>
      </c>
      <c r="Z243" s="54" t="str">
        <f>IF(NOTA[[#This Row],[JUMLAH]]="","",(NOTA[[#This Row],[JUMLAH]]-NOTA[[#This Row],[DISC 1-]])*NOTA[[#This Row],[DISC 2]])</f>
        <v/>
      </c>
      <c r="AA243" s="54" t="str">
        <f>IF(NOTA[[#This Row],[JUMLAH]]="","",NOTA[[#This Row],[DISC 1-]]+NOTA[[#This Row],[DISC 2-]])</f>
        <v/>
      </c>
      <c r="AB243" s="54" t="str">
        <f>IF(NOTA[[#This Row],[JUMLAH]]="","",NOTA[[#This Row],[JUMLAH]]-NOTA[[#This Row],[DISC]])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4" t="str">
        <f>IF(OR(NOTA[[#This Row],[QTY]]="",NOTA[[#This Row],[HARGA SATUAN]]="",),"",NOTA[[#This Row],[QTY]]*NOTA[[#This Row],[HARGA SATUAN]])</f>
        <v/>
      </c>
      <c r="AG243" s="51" t="str">
        <f ca="1">IF(NOTA[ID_H]="","",INDEX(NOTA[TANGGAL],MATCH(,INDIRECT(ADDRESS(ROW(NOTA[TANGGAL]),COLUMN(NOTA[TANGGAL]))&amp;":"&amp;ADDRESS(ROW(),COLUMN(NOTA[TANGGAL]))),-1)))</f>
        <v/>
      </c>
      <c r="AH243" s="65" t="str">
        <f ca="1">IF(NOTA[[#This Row],[NAMA BARANG]]="","",INDEX(NOTA[SUPPLIER],MATCH(,INDIRECT(ADDRESS(ROW(NOTA[ID]),COLUMN(NOTA[ID]))&amp;":"&amp;ADDRESS(ROW(),COLUMN(NOTA[ID]))),-1)))</f>
        <v/>
      </c>
      <c r="AI243" s="65" t="str">
        <f ca="1">IF(NOTA[[#This Row],[ID_H]]="","",IF(NOTA[[#This Row],[FAKTUR]]="",INDIRECT(ADDRESS(ROW()-1,COLUMN())),NOTA[[#This Row],[FAKTUR]]))</f>
        <v/>
      </c>
      <c r="AJ243" s="38" t="str">
        <f ca="1">IF(NOTA[[#This Row],[ID]]="","",COUNTIF(NOTA[ID_H],NOTA[[#This Row],[ID_H]]))</f>
        <v/>
      </c>
      <c r="AK243" s="38" t="str">
        <f ca="1">IF(NOTA[[#This Row],[TGL.NOTA]]="",IF(NOTA[[#This Row],[SUPPLIER_H]]="","",AK242),MONTH(NOTA[[#This Row],[TGL.NOTA]]))</f>
        <v/>
      </c>
      <c r="AL243" s="38" t="str">
        <f>LOWER(SUBSTITUTE(SUBSTITUTE(SUBSTITUTE(SUBSTITUTE(SUBSTITUTE(SUBSTITUTE(SUBSTITUTE(SUBSTITUTE(SUBSTITUTE(NOTA[NAMA BARANG]," ",),".",""),"-",""),"(",""),")",""),",",""),"/",""),"""",""),"+",""))</f>
        <v/>
      </c>
      <c r="AM243" s="38" t="str">
        <f>IF(NOTA[C]="",NOTA[[#This Row],[CONCAT1]]&amp;NOTA[[#This Row],[HARGA SATUAN]],NOTA[[#This Row],[CONCAT1]]&amp;NOTA[[#This Row],[HARGA/ CTN_H]]&amp;NOTA[[#This Row],[DISC 1]]&amp;NOTA[[#This Row],[DISC 2]])</f>
        <v/>
      </c>
      <c r="AN243" s="184" t="str">
        <f>IF(NOTA[[#This Row],[CONCAT1]]="","",MATCH(NOTA[[#This Row],[CONCAT1]],[1]!db[NB NOTA_C],0)+1)</f>
        <v/>
      </c>
    </row>
    <row r="244" spans="1:40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MAN_1001_073-1</v>
      </c>
      <c r="C244" s="50" t="str">
        <f>IF(NOTA[[#This Row],[CEK_EXP]]&lt;D243,"err","")</f>
        <v/>
      </c>
      <c r="D244" s="50">
        <f>IF(NOTA[[#This Row],[TANGGAL]]="",D243,NOTA[[#This Row],[TANGGAL]])</f>
        <v>44936</v>
      </c>
      <c r="E244" s="50">
        <f ca="1">IF(NOTA[[#This Row],[NAMA BARANG]]="","",INDEX(NOTA[ID],MATCH(,INDIRECT(ADDRESS(ROW(NOTA[ID]),COLUMN(NOTA[ID]))&amp;":"&amp;ADDRESS(ROW(),COLUMN(NOTA[ID]))),-1)))</f>
        <v>48</v>
      </c>
      <c r="F244" s="23"/>
      <c r="G244" s="26" t="s">
        <v>328</v>
      </c>
      <c r="H244" s="26" t="s">
        <v>87</v>
      </c>
      <c r="I244" s="31" t="s">
        <v>329</v>
      </c>
      <c r="J244" s="26"/>
      <c r="K244" s="51">
        <v>44933</v>
      </c>
      <c r="L244" s="26"/>
      <c r="M244" s="26" t="s">
        <v>330</v>
      </c>
      <c r="N244" s="39">
        <v>50</v>
      </c>
      <c r="O244" s="26">
        <v>50000</v>
      </c>
      <c r="P244" s="26" t="s">
        <v>131</v>
      </c>
      <c r="Q244" s="49">
        <v>900</v>
      </c>
      <c r="R244" s="52"/>
      <c r="S244" s="39"/>
      <c r="T244" s="53"/>
      <c r="U244" s="53"/>
      <c r="V244" s="54"/>
      <c r="W244" s="37"/>
      <c r="X244" s="54">
        <f>IF(NOTA[[#This Row],[HARGA/ CTN]]="",NOTA[[#This Row],[JUMLAH_H]],NOTA[[#This Row],[HARGA/ CTN]]*IF(NOTA[[#This Row],[C]]="",0,NOTA[[#This Row],[C]]))</f>
        <v>45000000</v>
      </c>
      <c r="Y244" s="54">
        <f>IF(NOTA[[#This Row],[JUMLAH]]="","",NOTA[[#This Row],[JUMLAH]]*NOTA[[#This Row],[DISC 1]])</f>
        <v>0</v>
      </c>
      <c r="Z244" s="54">
        <f>IF(NOTA[[#This Row],[JUMLAH]]="","",(NOTA[[#This Row],[JUMLAH]]-NOTA[[#This Row],[DISC 1-]])*NOTA[[#This Row],[DISC 2]])</f>
        <v>0</v>
      </c>
      <c r="AA244" s="54">
        <f>IF(NOTA[[#This Row],[JUMLAH]]="","",NOTA[[#This Row],[DISC 1-]]+NOTA[[#This Row],[DISC 2-]])</f>
        <v>0</v>
      </c>
      <c r="AB244" s="54">
        <f>IF(NOTA[[#This Row],[JUMLAH]]="","",NOTA[[#This Row],[JUMLAH]]-NOTA[[#This Row],[DISC]])</f>
        <v>45000000</v>
      </c>
      <c r="AC2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45000000</v>
      </c>
      <c r="AE24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244" s="54">
        <f>IF(OR(NOTA[[#This Row],[QTY]]="",NOTA[[#This Row],[HARGA SATUAN]]="",),"",NOTA[[#This Row],[QTY]]*NOTA[[#This Row],[HARGA SATUAN]])</f>
        <v>45000000</v>
      </c>
      <c r="AG244" s="51">
        <f ca="1">IF(NOTA[ID_H]="","",INDEX(NOTA[TANGGAL],MATCH(,INDIRECT(ADDRESS(ROW(NOTA[TANGGAL]),COLUMN(NOTA[TANGGAL]))&amp;":"&amp;ADDRESS(ROW(),COLUMN(NOTA[TANGGAL]))),-1)))</f>
        <v>44936</v>
      </c>
      <c r="AH244" s="65" t="str">
        <f ca="1">IF(NOTA[[#This Row],[NAMA BARANG]]="","",INDEX(NOTA[SUPPLIER],MATCH(,INDIRECT(ADDRESS(ROW(NOTA[ID]),COLUMN(NOTA[ID]))&amp;":"&amp;ADDRESS(ROW(),COLUMN(NOTA[ID]))),-1)))</f>
        <v>MANDIRI BAHAGIA SEJATI</v>
      </c>
      <c r="AI244" s="65" t="str">
        <f ca="1">IF(NOTA[[#This Row],[ID_H]]="","",IF(NOTA[[#This Row],[FAKTUR]]="",INDIRECT(ADDRESS(ROW()-1,COLUMN())),NOTA[[#This Row],[FAKTUR]]))</f>
        <v>UNTANA</v>
      </c>
      <c r="AJ244" s="38">
        <f ca="1">IF(NOTA[[#This Row],[ID]]="","",COUNTIF(NOTA[ID_H],NOTA[[#This Row],[ID_H]]))</f>
        <v>1</v>
      </c>
      <c r="AK244" s="38">
        <f>IF(NOTA[[#This Row],[TGL.NOTA]]="",IF(NOTA[[#This Row],[SUPPLIER_H]]="","",AK243),MONTH(NOTA[[#This Row],[TGL.NOTA]]))</f>
        <v>1</v>
      </c>
      <c r="AL244" s="38" t="str">
        <f>LOWER(SUBSTITUTE(SUBSTITUTE(SUBSTITUTE(SUBSTITUTE(SUBSTITUTE(SUBSTITUTE(SUBSTITUTE(SUBSTITUTE(SUBSTITUTE(NOTA[NAMA BARANG]," ",),".",""),"-",""),"(",""),")",""),",",""),"/",""),"""",""),"+",""))</f>
        <v>jarumpentolmika38mmisi40</v>
      </c>
      <c r="AM244" s="38" t="str">
        <f>IF(NOTA[C]="",NOTA[[#This Row],[CONCAT1]]&amp;NOTA[[#This Row],[HARGA SATUAN]],NOTA[[#This Row],[CONCAT1]]&amp;NOTA[[#This Row],[HARGA/ CTN_H]]&amp;NOTA[[#This Row],[DISC 1]]&amp;NOTA[[#This Row],[DISC 2]])</f>
        <v>jarumpentolmika38mmisi40900000</v>
      </c>
      <c r="AN244" s="184">
        <f>IF(NOTA[[#This Row],[CONCAT1]]="","",MATCH(NOTA[[#This Row],[CONCAT1]],[1]!db[NB NOTA_C],0)+1)</f>
        <v>2242</v>
      </c>
    </row>
    <row r="245" spans="1:40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Row],[CEK_EXP]]&lt;D244,"err","")</f>
        <v/>
      </c>
      <c r="D245" s="50">
        <f>IF(NOTA[[#This Row],[TANGGAL]]="",D244,NOTA[[#This Row],[TANGGAL]])</f>
        <v>44936</v>
      </c>
      <c r="E245" s="50" t="str">
        <f ca="1">IF(NOTA[[#This Row],[NAMA BARANG]]="","",INDEX(NOTA[ID],MATCH(,INDIRECT(ADDRESS(ROW(NOTA[ID]),COLUMN(NOTA[ID]))&amp;":"&amp;ADDRESS(ROW(),COLUMN(NOTA[ID]))),-1)))</f>
        <v/>
      </c>
      <c r="F245" s="23"/>
      <c r="G245" s="26"/>
      <c r="H245" s="26"/>
      <c r="I245" s="31"/>
      <c r="J245" s="26"/>
      <c r="K245" s="51"/>
      <c r="L245" s="26"/>
      <c r="M245" s="26"/>
      <c r="N245" s="39"/>
      <c r="O245" s="26"/>
      <c r="P245" s="26"/>
      <c r="Q245" s="49"/>
      <c r="R245" s="52"/>
      <c r="S245" s="39"/>
      <c r="T245" s="53"/>
      <c r="U245" s="53"/>
      <c r="V245" s="54"/>
      <c r="W245" s="37"/>
      <c r="X245" s="54" t="str">
        <f>IF(NOTA[[#This Row],[HARGA/ CTN]]="",NOTA[[#This Row],[JUMLAH_H]],NOTA[[#This Row],[HARGA/ CTN]]*IF(NOTA[[#This Row],[C]]="",0,NOTA[[#This Row],[C]]))</f>
        <v/>
      </c>
      <c r="Y245" s="54" t="str">
        <f>IF(NOTA[[#This Row],[JUMLAH]]="","",NOTA[[#This Row],[JUMLAH]]*NOTA[[#This Row],[DISC 1]])</f>
        <v/>
      </c>
      <c r="Z245" s="54" t="str">
        <f>IF(NOTA[[#This Row],[JUMLAH]]="","",(NOTA[[#This Row],[JUMLAH]]-NOTA[[#This Row],[DISC 1-]])*NOTA[[#This Row],[DISC 2]])</f>
        <v/>
      </c>
      <c r="AA245" s="54" t="str">
        <f>IF(NOTA[[#This Row],[JUMLAH]]="","",NOTA[[#This Row],[DISC 1-]]+NOTA[[#This Row],[DISC 2-]])</f>
        <v/>
      </c>
      <c r="AB245" s="54" t="str">
        <f>IF(NOTA[[#This Row],[JUMLAH]]="","",NOTA[[#This Row],[JUMLAH]]-NOTA[[#This Row],[DISC]])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54" t="str">
        <f>IF(OR(NOTA[[#This Row],[QTY]]="",NOTA[[#This Row],[HARGA SATUAN]]="",),"",NOTA[[#This Row],[QTY]]*NOTA[[#This Row],[HARGA SATUAN]])</f>
        <v/>
      </c>
      <c r="AG245" s="51" t="str">
        <f ca="1">IF(NOTA[ID_H]="","",INDEX(NOTA[TANGGAL],MATCH(,INDIRECT(ADDRESS(ROW(NOTA[TANGGAL]),COLUMN(NOTA[TANGGAL]))&amp;":"&amp;ADDRESS(ROW(),COLUMN(NOTA[TANGGAL]))),-1)))</f>
        <v/>
      </c>
      <c r="AH245" s="65" t="str">
        <f ca="1">IF(NOTA[[#This Row],[NAMA BARANG]]="","",INDEX(NOTA[SUPPLIER],MATCH(,INDIRECT(ADDRESS(ROW(NOTA[ID]),COLUMN(NOTA[ID]))&amp;":"&amp;ADDRESS(ROW(),COLUMN(NOTA[ID]))),-1)))</f>
        <v/>
      </c>
      <c r="AI245" s="65" t="str">
        <f ca="1">IF(NOTA[[#This Row],[ID_H]]="","",IF(NOTA[[#This Row],[FAKTUR]]="",INDIRECT(ADDRESS(ROW()-1,COLUMN())),NOTA[[#This Row],[FAKTUR]]))</f>
        <v/>
      </c>
      <c r="AJ245" s="38" t="str">
        <f ca="1">IF(NOTA[[#This Row],[ID]]="","",COUNTIF(NOTA[ID_H],NOTA[[#This Row],[ID_H]]))</f>
        <v/>
      </c>
      <c r="AK245" s="38" t="str">
        <f ca="1">IF(NOTA[[#This Row],[TGL.NOTA]]="",IF(NOTA[[#This Row],[SUPPLIER_H]]="","",AK244),MONTH(NOTA[[#This Row],[TGL.NOTA]]))</f>
        <v/>
      </c>
      <c r="AL245" s="38" t="str">
        <f>LOWER(SUBSTITUTE(SUBSTITUTE(SUBSTITUTE(SUBSTITUTE(SUBSTITUTE(SUBSTITUTE(SUBSTITUTE(SUBSTITUTE(SUBSTITUTE(NOTA[NAMA BARANG]," ",),".",""),"-",""),"(",""),")",""),",",""),"/",""),"""",""),"+",""))</f>
        <v/>
      </c>
      <c r="AM245" s="38" t="str">
        <f>IF(NOTA[C]="",NOTA[[#This Row],[CONCAT1]]&amp;NOTA[[#This Row],[HARGA SATUAN]],NOTA[[#This Row],[CONCAT1]]&amp;NOTA[[#This Row],[HARGA/ CTN_H]]&amp;NOTA[[#This Row],[DISC 1]]&amp;NOTA[[#This Row],[DISC 2]])</f>
        <v/>
      </c>
      <c r="AN245" s="184" t="str">
        <f>IF(NOTA[[#This Row],[CONCAT1]]="","",MATCH(NOTA[[#This Row],[CONCAT1]],[1]!db[NB NOTA_C],0)+1)</f>
        <v/>
      </c>
    </row>
    <row r="246" spans="1:40" ht="20.100000000000001" customHeight="1" x14ac:dyDescent="0.25">
      <c r="A246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SUR_1001_137-1</v>
      </c>
      <c r="C246" s="50" t="str">
        <f>IF(NOTA[[#This Row],[CEK_EXP]]&lt;D245,"err","")</f>
        <v/>
      </c>
      <c r="D246" s="50">
        <f>IF(NOTA[[#This Row],[TANGGAL]]="",D245,NOTA[[#This Row],[TANGGAL]])</f>
        <v>44936</v>
      </c>
      <c r="E246" s="50">
        <f ca="1">IF(NOTA[[#This Row],[NAMA BARANG]]="","",INDEX(NOTA[ID],MATCH(,INDIRECT(ADDRESS(ROW(NOTA[ID]),COLUMN(NOTA[ID]))&amp;":"&amp;ADDRESS(ROW(),COLUMN(NOTA[ID]))),-1)))</f>
        <v>49</v>
      </c>
      <c r="F246" s="23"/>
      <c r="G246" s="26" t="s">
        <v>243</v>
      </c>
      <c r="H246" s="26" t="s">
        <v>87</v>
      </c>
      <c r="I246" s="31" t="s">
        <v>331</v>
      </c>
      <c r="J246" s="26"/>
      <c r="K246" s="51">
        <v>44931</v>
      </c>
      <c r="L246" s="26"/>
      <c r="M246" s="26" t="s">
        <v>332</v>
      </c>
      <c r="N246" s="39">
        <v>30</v>
      </c>
      <c r="O246" s="26"/>
      <c r="P246" s="26"/>
      <c r="Q246" s="49">
        <v>10100</v>
      </c>
      <c r="R246" s="52">
        <v>1212000</v>
      </c>
      <c r="S246" s="39"/>
      <c r="T246" s="53"/>
      <c r="U246" s="53"/>
      <c r="V246" s="54"/>
      <c r="W246" s="37"/>
      <c r="X246" s="54">
        <f>IF(NOTA[[#This Row],[HARGA/ CTN]]="",NOTA[[#This Row],[JUMLAH_H]],NOTA[[#This Row],[HARGA/ CTN]]*IF(NOTA[[#This Row],[C]]="",0,NOTA[[#This Row],[C]]))</f>
        <v>36360000</v>
      </c>
      <c r="Y246" s="54">
        <f>IF(NOTA[[#This Row],[JUMLAH]]="","",NOTA[[#This Row],[JUMLAH]]*NOTA[[#This Row],[DISC 1]])</f>
        <v>0</v>
      </c>
      <c r="Z246" s="54">
        <f>IF(NOTA[[#This Row],[JUMLAH]]="","",(NOTA[[#This Row],[JUMLAH]]-NOTA[[#This Row],[DISC 1-]])*NOTA[[#This Row],[DISC 2]])</f>
        <v>0</v>
      </c>
      <c r="AA246" s="54">
        <f>IF(NOTA[[#This Row],[JUMLAH]]="","",NOTA[[#This Row],[DISC 1-]]+NOTA[[#This Row],[DISC 2-]])</f>
        <v>0</v>
      </c>
      <c r="AB246" s="54">
        <f>IF(NOTA[[#This Row],[JUMLAH]]="","",NOTA[[#This Row],[JUMLAH]]-NOTA[[#This Row],[DISC]])</f>
        <v>36360000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36360000</v>
      </c>
      <c r="AE246" s="49">
        <f>IF(NOTA[[#This Row],[NAMA BARANG]]="","",IF(NOTA[[#This Row],[JUMLAH_H]]="",NOTA[[#This Row],[HARGA/ CTN]],NOTA[[#This Row],[QTY]]*NOTA[[#This Row],[HARGA SATUAN]]/IF(ISNUMBER(NOTA[[#This Row],[C]]),NOTA[[#This Row],[C]],1)))</f>
        <v>1212000</v>
      </c>
      <c r="AF246" s="54" t="str">
        <f>IF(OR(NOTA[[#This Row],[QTY]]="",NOTA[[#This Row],[HARGA SATUAN]]="",),"",NOTA[[#This Row],[QTY]]*NOTA[[#This Row],[HARGA SATUAN]])</f>
        <v/>
      </c>
      <c r="AG246" s="51">
        <f ca="1">IF(NOTA[ID_H]="","",INDEX(NOTA[TANGGAL],MATCH(,INDIRECT(ADDRESS(ROW(NOTA[TANGGAL]),COLUMN(NOTA[TANGGAL]))&amp;":"&amp;ADDRESS(ROW(),COLUMN(NOTA[TANGGAL]))),-1)))</f>
        <v>44936</v>
      </c>
      <c r="AH246" s="65" t="str">
        <f ca="1">IF(NOTA[[#This Row],[NAMA BARANG]]="","",INDEX(NOTA[SUPPLIER],MATCH(,INDIRECT(ADDRESS(ROW(NOTA[ID]),COLUMN(NOTA[ID]))&amp;":"&amp;ADDRESS(ROW(),COLUMN(NOTA[ID]))),-1)))</f>
        <v>SURYA PRATAMA</v>
      </c>
      <c r="AI246" s="65" t="str">
        <f ca="1">IF(NOTA[[#This Row],[ID_H]]="","",IF(NOTA[[#This Row],[FAKTUR]]="",INDIRECT(ADDRESS(ROW()-1,COLUMN())),NOTA[[#This Row],[FAKTUR]]))</f>
        <v>UNTANA</v>
      </c>
      <c r="AJ246" s="38">
        <f ca="1">IF(NOTA[[#This Row],[ID]]="","",COUNTIF(NOTA[ID_H],NOTA[[#This Row],[ID_H]]))</f>
        <v>1</v>
      </c>
      <c r="AK246" s="38">
        <f>IF(NOTA[[#This Row],[TGL.NOTA]]="",IF(NOTA[[#This Row],[SUPPLIER_H]]="","",AK245),MONTH(NOTA[[#This Row],[TGL.NOTA]]))</f>
        <v>1</v>
      </c>
      <c r="AL246" s="38" t="str">
        <f>LOWER(SUBSTITUTE(SUBSTITUTE(SUBSTITUTE(SUBSTITUTE(SUBSTITUTE(SUBSTITUTE(SUBSTITUTE(SUBSTITUTE(SUBSTITUTE(NOTA[NAMA BARANG]," ",),".",""),"-",""),"(",""),")",""),",",""),"/",""),"""",""),"+",""))</f>
        <v>serutantabung231mixisi24pcs@120</v>
      </c>
      <c r="AM246" s="38" t="str">
        <f>IF(NOTA[C]="",NOTA[[#This Row],[CONCAT1]]&amp;NOTA[[#This Row],[HARGA SATUAN]],NOTA[[#This Row],[CONCAT1]]&amp;NOTA[[#This Row],[HARGA/ CTN_H]]&amp;NOTA[[#This Row],[DISC 1]]&amp;NOTA[[#This Row],[DISC 2]])</f>
        <v>serutantabung231mixisi24pcs@1201212000</v>
      </c>
      <c r="AN246" s="184">
        <f>IF(NOTA[[#This Row],[CONCAT1]]="","",MATCH(NOTA[[#This Row],[CONCAT1]],[1]!db[NB NOTA_C],0)+1)</f>
        <v>2241</v>
      </c>
    </row>
    <row r="247" spans="1:40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Row],[CEK_EXP]]&lt;D246,"err","")</f>
        <v/>
      </c>
      <c r="D247" s="50">
        <f>IF(NOTA[[#This Row],[TANGGAL]]="",D246,NOTA[[#This Row],[TANGGAL]])</f>
        <v>44936</v>
      </c>
      <c r="E247" s="50" t="str">
        <f ca="1">IF(NOTA[[#This Row],[NAMA BARANG]]="","",INDEX(NOTA[ID],MATCH(,INDIRECT(ADDRESS(ROW(NOTA[ID]),COLUMN(NOTA[ID]))&amp;":"&amp;ADDRESS(ROW(),COLUMN(NOTA[ID]))),-1)))</f>
        <v/>
      </c>
      <c r="F247" s="23"/>
      <c r="G247" s="26"/>
      <c r="H247" s="26"/>
      <c r="I247" s="31"/>
      <c r="J247" s="26"/>
      <c r="K247" s="51"/>
      <c r="L247" s="26"/>
      <c r="M247" s="26"/>
      <c r="N247" s="39"/>
      <c r="O247" s="26"/>
      <c r="P247" s="26"/>
      <c r="Q247" s="49"/>
      <c r="R247" s="52"/>
      <c r="S247" s="39"/>
      <c r="T247" s="53"/>
      <c r="U247" s="53"/>
      <c r="V247" s="54"/>
      <c r="W247" s="37"/>
      <c r="X247" s="54" t="str">
        <f>IF(NOTA[[#This Row],[HARGA/ CTN]]="",NOTA[[#This Row],[JUMLAH_H]],NOTA[[#This Row],[HARGA/ CTN]]*IF(NOTA[[#This Row],[C]]="",0,NOTA[[#This Row],[C]]))</f>
        <v/>
      </c>
      <c r="Y247" s="54" t="str">
        <f>IF(NOTA[[#This Row],[JUMLAH]]="","",NOTA[[#This Row],[JUMLAH]]*NOTA[[#This Row],[DISC 1]])</f>
        <v/>
      </c>
      <c r="Z247" s="54" t="str">
        <f>IF(NOTA[[#This Row],[JUMLAH]]="","",(NOTA[[#This Row],[JUMLAH]]-NOTA[[#This Row],[DISC 1-]])*NOTA[[#This Row],[DISC 2]])</f>
        <v/>
      </c>
      <c r="AA247" s="54" t="str">
        <f>IF(NOTA[[#This Row],[JUMLAH]]="","",NOTA[[#This Row],[DISC 1-]]+NOTA[[#This Row],[DISC 2-]])</f>
        <v/>
      </c>
      <c r="AB247" s="54" t="str">
        <f>IF(NOTA[[#This Row],[JUMLAH]]="","",NOTA[[#This Row],[JUMLAH]]-NOTA[[#This Row],[DISC]])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54" t="str">
        <f>IF(OR(NOTA[[#This Row],[QTY]]="",NOTA[[#This Row],[HARGA SATUAN]]="",),"",NOTA[[#This Row],[QTY]]*NOTA[[#This Row],[HARGA SATUAN]])</f>
        <v/>
      </c>
      <c r="AG247" s="51" t="str">
        <f ca="1">IF(NOTA[ID_H]="","",INDEX(NOTA[TANGGAL],MATCH(,INDIRECT(ADDRESS(ROW(NOTA[TANGGAL]),COLUMN(NOTA[TANGGAL]))&amp;":"&amp;ADDRESS(ROW(),COLUMN(NOTA[TANGGAL]))),-1)))</f>
        <v/>
      </c>
      <c r="AH247" s="65" t="str">
        <f ca="1">IF(NOTA[[#This Row],[NAMA BARANG]]="","",INDEX(NOTA[SUPPLIER],MATCH(,INDIRECT(ADDRESS(ROW(NOTA[ID]),COLUMN(NOTA[ID]))&amp;":"&amp;ADDRESS(ROW(),COLUMN(NOTA[ID]))),-1)))</f>
        <v/>
      </c>
      <c r="AI247" s="65" t="str">
        <f ca="1">IF(NOTA[[#This Row],[ID_H]]="","",IF(NOTA[[#This Row],[FAKTUR]]="",INDIRECT(ADDRESS(ROW()-1,COLUMN())),NOTA[[#This Row],[FAKTUR]]))</f>
        <v/>
      </c>
      <c r="AJ247" s="38" t="str">
        <f ca="1">IF(NOTA[[#This Row],[ID]]="","",COUNTIF(NOTA[ID_H],NOTA[[#This Row],[ID_H]]))</f>
        <v/>
      </c>
      <c r="AK247" s="38" t="str">
        <f ca="1">IF(NOTA[[#This Row],[TGL.NOTA]]="",IF(NOTA[[#This Row],[SUPPLIER_H]]="","",AK246),MONTH(NOTA[[#This Row],[TGL.NOTA]]))</f>
        <v/>
      </c>
      <c r="AL247" s="38" t="str">
        <f>LOWER(SUBSTITUTE(SUBSTITUTE(SUBSTITUTE(SUBSTITUTE(SUBSTITUTE(SUBSTITUTE(SUBSTITUTE(SUBSTITUTE(SUBSTITUTE(NOTA[NAMA BARANG]," ",),".",""),"-",""),"(",""),")",""),",",""),"/",""),"""",""),"+",""))</f>
        <v/>
      </c>
      <c r="AM247" s="38" t="str">
        <f>IF(NOTA[C]="",NOTA[[#This Row],[CONCAT1]]&amp;NOTA[[#This Row],[HARGA SATUAN]],NOTA[[#This Row],[CONCAT1]]&amp;NOTA[[#This Row],[HARGA/ CTN_H]]&amp;NOTA[[#This Row],[DISC 1]]&amp;NOTA[[#This Row],[DISC 2]])</f>
        <v/>
      </c>
      <c r="AN247" s="184" t="str">
        <f>IF(NOTA[[#This Row],[CONCAT1]]="","",MATCH(NOTA[[#This Row],[CONCAT1]],[1]!db[NB NOTA_C],0)+1)</f>
        <v/>
      </c>
    </row>
    <row r="248" spans="1:40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SUR_1001_232-1</v>
      </c>
      <c r="C248" s="50" t="str">
        <f>IF(NOTA[[#This Row],[CEK_EXP]]&lt;D247,"err","")</f>
        <v/>
      </c>
      <c r="D248" s="50">
        <f>IF(NOTA[[#This Row],[TANGGAL]]="",D247,NOTA[[#This Row],[TANGGAL]])</f>
        <v>44936</v>
      </c>
      <c r="E248" s="50">
        <f ca="1">IF(NOTA[[#This Row],[NAMA BARANG]]="","",INDEX(NOTA[ID],MATCH(,INDIRECT(ADDRESS(ROW(NOTA[ID]),COLUMN(NOTA[ID]))&amp;":"&amp;ADDRESS(ROW(),COLUMN(NOTA[ID]))),-1)))</f>
        <v>50</v>
      </c>
      <c r="F248" s="23"/>
      <c r="G248" s="26" t="s">
        <v>243</v>
      </c>
      <c r="H248" s="26" t="s">
        <v>87</v>
      </c>
      <c r="I248" s="31" t="s">
        <v>333</v>
      </c>
      <c r="J248" s="26"/>
      <c r="K248" s="51">
        <v>44933</v>
      </c>
      <c r="L248" s="26"/>
      <c r="M248" s="26" t="s">
        <v>332</v>
      </c>
      <c r="N248" s="39">
        <v>30</v>
      </c>
      <c r="O248" s="26"/>
      <c r="P248" s="26"/>
      <c r="Q248" s="49">
        <v>10100</v>
      </c>
      <c r="R248" s="52">
        <v>1212000</v>
      </c>
      <c r="S248" s="39"/>
      <c r="T248" s="53"/>
      <c r="U248" s="53"/>
      <c r="V248" s="54"/>
      <c r="W248" s="37"/>
      <c r="X248" s="54">
        <f>IF(NOTA[[#This Row],[HARGA/ CTN]]="",NOTA[[#This Row],[JUMLAH_H]],NOTA[[#This Row],[HARGA/ CTN]]*IF(NOTA[[#This Row],[C]]="",0,NOTA[[#This Row],[C]]))</f>
        <v>36360000</v>
      </c>
      <c r="Y248" s="54">
        <f>IF(NOTA[[#This Row],[JUMLAH]]="","",NOTA[[#This Row],[JUMLAH]]*NOTA[[#This Row],[DISC 1]])</f>
        <v>0</v>
      </c>
      <c r="Z248" s="54">
        <f>IF(NOTA[[#This Row],[JUMLAH]]="","",(NOTA[[#This Row],[JUMLAH]]-NOTA[[#This Row],[DISC 1-]])*NOTA[[#This Row],[DISC 2]])</f>
        <v>0</v>
      </c>
      <c r="AA248" s="54">
        <f>IF(NOTA[[#This Row],[JUMLAH]]="","",NOTA[[#This Row],[DISC 1-]]+NOTA[[#This Row],[DISC 2-]])</f>
        <v>0</v>
      </c>
      <c r="AB248" s="54">
        <f>IF(NOTA[[#This Row],[JUMLAH]]="","",NOTA[[#This Row],[JUMLAH]]-NOTA[[#This Row],[DISC]])</f>
        <v>36360000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36360000</v>
      </c>
      <c r="AE248" s="49">
        <f>IF(NOTA[[#This Row],[NAMA BARANG]]="","",IF(NOTA[[#This Row],[JUMLAH_H]]="",NOTA[[#This Row],[HARGA/ CTN]],NOTA[[#This Row],[QTY]]*NOTA[[#This Row],[HARGA SATUAN]]/IF(ISNUMBER(NOTA[[#This Row],[C]]),NOTA[[#This Row],[C]],1)))</f>
        <v>1212000</v>
      </c>
      <c r="AF248" s="54" t="str">
        <f>IF(OR(NOTA[[#This Row],[QTY]]="",NOTA[[#This Row],[HARGA SATUAN]]="",),"",NOTA[[#This Row],[QTY]]*NOTA[[#This Row],[HARGA SATUAN]])</f>
        <v/>
      </c>
      <c r="AG248" s="51">
        <f ca="1">IF(NOTA[ID_H]="","",INDEX(NOTA[TANGGAL],MATCH(,INDIRECT(ADDRESS(ROW(NOTA[TANGGAL]),COLUMN(NOTA[TANGGAL]))&amp;":"&amp;ADDRESS(ROW(),COLUMN(NOTA[TANGGAL]))),-1)))</f>
        <v>44936</v>
      </c>
      <c r="AH248" s="65" t="str">
        <f ca="1">IF(NOTA[[#This Row],[NAMA BARANG]]="","",INDEX(NOTA[SUPPLIER],MATCH(,INDIRECT(ADDRESS(ROW(NOTA[ID]),COLUMN(NOTA[ID]))&amp;":"&amp;ADDRESS(ROW(),COLUMN(NOTA[ID]))),-1)))</f>
        <v>SURYA PRATAMA</v>
      </c>
      <c r="AI248" s="65" t="str">
        <f ca="1">IF(NOTA[[#This Row],[ID_H]]="","",IF(NOTA[[#This Row],[FAKTUR]]="",INDIRECT(ADDRESS(ROW()-1,COLUMN())),NOTA[[#This Row],[FAKTUR]]))</f>
        <v>UNTANA</v>
      </c>
      <c r="AJ248" s="38">
        <f ca="1">IF(NOTA[[#This Row],[ID]]="","",COUNTIF(NOTA[ID_H],NOTA[[#This Row],[ID_H]]))</f>
        <v>1</v>
      </c>
      <c r="AK248" s="38">
        <f>IF(NOTA[[#This Row],[TGL.NOTA]]="",IF(NOTA[[#This Row],[SUPPLIER_H]]="","",AK247),MONTH(NOTA[[#This Row],[TGL.NOTA]]))</f>
        <v>1</v>
      </c>
      <c r="AL248" s="38" t="str">
        <f>LOWER(SUBSTITUTE(SUBSTITUTE(SUBSTITUTE(SUBSTITUTE(SUBSTITUTE(SUBSTITUTE(SUBSTITUTE(SUBSTITUTE(SUBSTITUTE(NOTA[NAMA BARANG]," ",),".",""),"-",""),"(",""),")",""),",",""),"/",""),"""",""),"+",""))</f>
        <v>serutantabung231mixisi24pcs@120</v>
      </c>
      <c r="AM248" s="38" t="str">
        <f>IF(NOTA[C]="",NOTA[[#This Row],[CONCAT1]]&amp;NOTA[[#This Row],[HARGA SATUAN]],NOTA[[#This Row],[CONCAT1]]&amp;NOTA[[#This Row],[HARGA/ CTN_H]]&amp;NOTA[[#This Row],[DISC 1]]&amp;NOTA[[#This Row],[DISC 2]])</f>
        <v>serutantabung231mixisi24pcs@1201212000</v>
      </c>
      <c r="AN248" s="184">
        <f>IF(NOTA[[#This Row],[CONCAT1]]="","",MATCH(NOTA[[#This Row],[CONCAT1]],[1]!db[NB NOTA_C],0)+1)</f>
        <v>2241</v>
      </c>
    </row>
    <row r="249" spans="1:40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Row],[CEK_EXP]]&lt;D248,"err","")</f>
        <v/>
      </c>
      <c r="D249" s="50">
        <f>IF(NOTA[[#This Row],[TANGGAL]]="",D248,NOTA[[#This Row],[TANGGAL]])</f>
        <v>44936</v>
      </c>
      <c r="E249" s="50" t="str">
        <f ca="1">IF(NOTA[[#This Row],[NAMA BARANG]]="","",INDEX(NOTA[ID],MATCH(,INDIRECT(ADDRESS(ROW(NOTA[ID]),COLUMN(NOTA[ID]))&amp;":"&amp;ADDRESS(ROW(),COLUMN(NOTA[ID]))),-1)))</f>
        <v/>
      </c>
      <c r="F249" s="23"/>
      <c r="G249" s="26"/>
      <c r="H249" s="26"/>
      <c r="I249" s="31"/>
      <c r="J249" s="26"/>
      <c r="K249" s="51"/>
      <c r="L249" s="26"/>
      <c r="M249" s="26"/>
      <c r="N249" s="39"/>
      <c r="O249" s="26"/>
      <c r="P249" s="26"/>
      <c r="Q249" s="49"/>
      <c r="R249" s="52"/>
      <c r="S249" s="39"/>
      <c r="T249" s="53"/>
      <c r="U249" s="53"/>
      <c r="V249" s="54"/>
      <c r="W249" s="37"/>
      <c r="X249" s="54" t="str">
        <f>IF(NOTA[[#This Row],[HARGA/ CTN]]="",NOTA[[#This Row],[JUMLAH_H]],NOTA[[#This Row],[HARGA/ CTN]]*IF(NOTA[[#This Row],[C]]="",0,NOTA[[#This Row],[C]]))</f>
        <v/>
      </c>
      <c r="Y249" s="54" t="str">
        <f>IF(NOTA[[#This Row],[JUMLAH]]="","",NOTA[[#This Row],[JUMLAH]]*NOTA[[#This Row],[DISC 1]])</f>
        <v/>
      </c>
      <c r="Z249" s="54" t="str">
        <f>IF(NOTA[[#This Row],[JUMLAH]]="","",(NOTA[[#This Row],[JUMLAH]]-NOTA[[#This Row],[DISC 1-]])*NOTA[[#This Row],[DISC 2]])</f>
        <v/>
      </c>
      <c r="AA249" s="54" t="str">
        <f>IF(NOTA[[#This Row],[JUMLAH]]="","",NOTA[[#This Row],[DISC 1-]]+NOTA[[#This Row],[DISC 2-]])</f>
        <v/>
      </c>
      <c r="AB249" s="54" t="str">
        <f>IF(NOTA[[#This Row],[JUMLAH]]="","",NOTA[[#This Row],[JUMLAH]]-NOTA[[#This Row],[DISC]])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54" t="str">
        <f>IF(OR(NOTA[[#This Row],[QTY]]="",NOTA[[#This Row],[HARGA SATUAN]]="",),"",NOTA[[#This Row],[QTY]]*NOTA[[#This Row],[HARGA SATUAN]])</f>
        <v/>
      </c>
      <c r="AG249" s="51" t="str">
        <f ca="1">IF(NOTA[ID_H]="","",INDEX(NOTA[TANGGAL],MATCH(,INDIRECT(ADDRESS(ROW(NOTA[TANGGAL]),COLUMN(NOTA[TANGGAL]))&amp;":"&amp;ADDRESS(ROW(),COLUMN(NOTA[TANGGAL]))),-1)))</f>
        <v/>
      </c>
      <c r="AH249" s="65" t="str">
        <f ca="1">IF(NOTA[[#This Row],[NAMA BARANG]]="","",INDEX(NOTA[SUPPLIER],MATCH(,INDIRECT(ADDRESS(ROW(NOTA[ID]),COLUMN(NOTA[ID]))&amp;":"&amp;ADDRESS(ROW(),COLUMN(NOTA[ID]))),-1)))</f>
        <v/>
      </c>
      <c r="AI249" s="65" t="str">
        <f ca="1">IF(NOTA[[#This Row],[ID_H]]="","",IF(NOTA[[#This Row],[FAKTUR]]="",INDIRECT(ADDRESS(ROW()-1,COLUMN())),NOTA[[#This Row],[FAKTUR]]))</f>
        <v/>
      </c>
      <c r="AJ249" s="38" t="str">
        <f ca="1">IF(NOTA[[#This Row],[ID]]="","",COUNTIF(NOTA[ID_H],NOTA[[#This Row],[ID_H]]))</f>
        <v/>
      </c>
      <c r="AK249" s="38" t="str">
        <f ca="1">IF(NOTA[[#This Row],[TGL.NOTA]]="",IF(NOTA[[#This Row],[SUPPLIER_H]]="","",AK248),MONTH(NOTA[[#This Row],[TGL.NOTA]]))</f>
        <v/>
      </c>
      <c r="AL249" s="38" t="str">
        <f>LOWER(SUBSTITUTE(SUBSTITUTE(SUBSTITUTE(SUBSTITUTE(SUBSTITUTE(SUBSTITUTE(SUBSTITUTE(SUBSTITUTE(SUBSTITUTE(NOTA[NAMA BARANG]," ",),".",""),"-",""),"(",""),")",""),",",""),"/",""),"""",""),"+",""))</f>
        <v/>
      </c>
      <c r="AM249" s="38" t="str">
        <f>IF(NOTA[C]="",NOTA[[#This Row],[CONCAT1]]&amp;NOTA[[#This Row],[HARGA SATUAN]],NOTA[[#This Row],[CONCAT1]]&amp;NOTA[[#This Row],[HARGA/ CTN_H]]&amp;NOTA[[#This Row],[DISC 1]]&amp;NOTA[[#This Row],[DISC 2]])</f>
        <v/>
      </c>
      <c r="AN249" s="184" t="str">
        <f>IF(NOTA[[#This Row],[CONCAT1]]="","",MATCH(NOTA[[#This Row],[CONCAT1]],[1]!db[NB NOTA_C],0)+1)</f>
        <v/>
      </c>
    </row>
    <row r="250" spans="1:40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ETJ_1101_EXP-2</v>
      </c>
      <c r="C250" s="50" t="str">
        <f>IF(NOTA[[#This Row],[CEK_EXP]]&lt;D249,"err","")</f>
        <v/>
      </c>
      <c r="D250" s="50">
        <f>IF(NOTA[[#This Row],[TANGGAL]]="",D249,NOTA[[#This Row],[TANGGAL]])</f>
        <v>44937</v>
      </c>
      <c r="E250" s="50">
        <f ca="1">IF(NOTA[[#This Row],[NAMA BARANG]]="","",INDEX(NOTA[ID],MATCH(,INDIRECT(ADDRESS(ROW(NOTA[ID]),COLUMN(NOTA[ID]))&amp;":"&amp;ADDRESS(ROW(),COLUMN(NOTA[ID]))),-1)))</f>
        <v>51</v>
      </c>
      <c r="F250" s="23">
        <v>44937</v>
      </c>
      <c r="G250" s="26" t="s">
        <v>144</v>
      </c>
      <c r="H250" s="26" t="s">
        <v>87</v>
      </c>
      <c r="I250" s="31" t="s">
        <v>599</v>
      </c>
      <c r="J250" s="26"/>
      <c r="K250" s="51"/>
      <c r="L250" s="26"/>
      <c r="M250" s="26" t="s">
        <v>977</v>
      </c>
      <c r="N250" s="39">
        <v>2</v>
      </c>
      <c r="O250" s="26">
        <v>3000</v>
      </c>
      <c r="P250" s="26" t="s">
        <v>90</v>
      </c>
      <c r="Q250" s="49">
        <v>11500</v>
      </c>
      <c r="R250" s="52"/>
      <c r="S250" s="39" t="s">
        <v>600</v>
      </c>
      <c r="T250" s="53"/>
      <c r="U250" s="53"/>
      <c r="V250" s="54"/>
      <c r="W250" s="37"/>
      <c r="X250" s="54">
        <f>IF(NOTA[[#This Row],[HARGA/ CTN]]="",NOTA[[#This Row],[JUMLAH_H]],NOTA[[#This Row],[HARGA/ CTN]]*IF(NOTA[[#This Row],[C]]="",0,NOTA[[#This Row],[C]]))</f>
        <v>34500000</v>
      </c>
      <c r="Y250" s="54">
        <f>IF(NOTA[[#This Row],[JUMLAH]]="","",NOTA[[#This Row],[JUMLAH]]*NOTA[[#This Row],[DISC 1]])</f>
        <v>0</v>
      </c>
      <c r="Z250" s="54">
        <f>IF(NOTA[[#This Row],[JUMLAH]]="","",(NOTA[[#This Row],[JUMLAH]]-NOTA[[#This Row],[DISC 1-]])*NOTA[[#This Row],[DISC 2]])</f>
        <v>0</v>
      </c>
      <c r="AA250" s="54">
        <f>IF(NOTA[[#This Row],[JUMLAH]]="","",NOTA[[#This Row],[DISC 1-]]+NOTA[[#This Row],[DISC 2-]])</f>
        <v>0</v>
      </c>
      <c r="AB250" s="54">
        <f>IF(NOTA[[#This Row],[JUMLAH]]="","",NOTA[[#This Row],[JUMLAH]]-NOTA[[#This Row],[DISC]])</f>
        <v>34500000</v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9">
        <f>IF(NOTA[[#This Row],[NAMA BARANG]]="","",IF(NOTA[[#This Row],[JUMLAH_H]]="",NOTA[[#This Row],[HARGA/ CTN]],NOTA[[#This Row],[QTY]]*NOTA[[#This Row],[HARGA SATUAN]]/IF(ISNUMBER(NOTA[[#This Row],[C]]),NOTA[[#This Row],[C]],1)))</f>
        <v>17250000</v>
      </c>
      <c r="AF250" s="54">
        <f>IF(OR(NOTA[[#This Row],[QTY]]="",NOTA[[#This Row],[HARGA SATUAN]]="",),"",NOTA[[#This Row],[QTY]]*NOTA[[#This Row],[HARGA SATUAN]])</f>
        <v>34500000</v>
      </c>
      <c r="AG250" s="51">
        <f ca="1">IF(NOTA[ID_H]="","",INDEX(NOTA[TANGGAL],MATCH(,INDIRECT(ADDRESS(ROW(NOTA[TANGGAL]),COLUMN(NOTA[TANGGAL]))&amp;":"&amp;ADDRESS(ROW(),COLUMN(NOTA[TANGGAL]))),-1)))</f>
        <v>44937</v>
      </c>
      <c r="AH250" s="65" t="str">
        <f ca="1">IF(NOTA[[#This Row],[NAMA BARANG]]="","",INDEX(NOTA[SUPPLIER],MATCH(,INDIRECT(ADDRESS(ROW(NOTA[ID]),COLUMN(NOTA[ID]))&amp;":"&amp;ADDRESS(ROW(),COLUMN(NOTA[ID]))),-1)))</f>
        <v>ETJ</v>
      </c>
      <c r="AI250" s="65" t="str">
        <f ca="1">IF(NOTA[[#This Row],[ID_H]]="","",IF(NOTA[[#This Row],[FAKTUR]]="",INDIRECT(ADDRESS(ROW()-1,COLUMN())),NOTA[[#This Row],[FAKTUR]]))</f>
        <v>UNTANA</v>
      </c>
      <c r="AJ250" s="38">
        <f ca="1">IF(NOTA[[#This Row],[ID]]="","",COUNTIF(NOTA[ID_H],NOTA[[#This Row],[ID_H]]))</f>
        <v>2</v>
      </c>
      <c r="AK250" s="38" t="e">
        <f ca="1">IF(NOTA[[#This Row],[TGL.NOTA]]="",IF(NOTA[[#This Row],[SUPPLIER_H]]="","",#REF!),MONTH(NOTA[[#This Row],[TGL.NOTA]]))</f>
        <v>#REF!</v>
      </c>
      <c r="AL250" s="38" t="str">
        <f>LOWER(SUBSTITUTE(SUBSTITUTE(SUBSTITUTE(SUBSTITUTE(SUBSTITUTE(SUBSTITUTE(SUBSTITUTE(SUBSTITUTE(SUBSTITUTE(NOTA[NAMA BARANG]," ",),".",""),"-",""),"(",""),")",""),",",""),"/",""),"""",""),"+",""))</f>
        <v>busur312mika</v>
      </c>
      <c r="AM250" s="38" t="str">
        <f>IF(NOTA[C]="",NOTA[[#This Row],[CONCAT1]]&amp;NOTA[[#This Row],[HARGA SATUAN]],NOTA[[#This Row],[CONCAT1]]&amp;NOTA[[#This Row],[HARGA/ CTN_H]]&amp;NOTA[[#This Row],[DISC 1]]&amp;NOTA[[#This Row],[DISC 2]])</f>
        <v>busur312mika17250000</v>
      </c>
      <c r="AN250" s="184">
        <f>IF(NOTA[[#This Row],[CONCAT1]]="","",MATCH(NOTA[[#This Row],[CONCAT1]],[1]!db[NB NOTA_C],0)+1)</f>
        <v>381</v>
      </c>
    </row>
    <row r="251" spans="1:40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Row],[CEK_EXP]]&lt;D250,"err","")</f>
        <v/>
      </c>
      <c r="D251" s="50">
        <f>IF(NOTA[[#This Row],[TANGGAL]]="",D250,NOTA[[#This Row],[TANGGAL]])</f>
        <v>44937</v>
      </c>
      <c r="E251" s="50">
        <f ca="1">IF(NOTA[[#This Row],[NAMA BARANG]]="","",INDEX(NOTA[ID],MATCH(,INDIRECT(ADDRESS(ROW(NOTA[ID]),COLUMN(NOTA[ID]))&amp;":"&amp;ADDRESS(ROW(),COLUMN(NOTA[ID]))),-1)))</f>
        <v>51</v>
      </c>
      <c r="F251" s="23"/>
      <c r="G251" s="26"/>
      <c r="H251" s="26"/>
      <c r="I251" s="31"/>
      <c r="J251" s="26"/>
      <c r="K251" s="51"/>
      <c r="L251" s="26"/>
      <c r="M251" s="26" t="s">
        <v>978</v>
      </c>
      <c r="N251" s="39">
        <v>2</v>
      </c>
      <c r="O251" s="26">
        <v>2000</v>
      </c>
      <c r="P251" s="26" t="s">
        <v>90</v>
      </c>
      <c r="Q251" s="49">
        <v>11000</v>
      </c>
      <c r="R251" s="52"/>
      <c r="S251" s="39" t="s">
        <v>601</v>
      </c>
      <c r="T251" s="53"/>
      <c r="U251" s="53"/>
      <c r="V251" s="54"/>
      <c r="W251" s="37"/>
      <c r="X251" s="54">
        <f>IF(NOTA[[#This Row],[HARGA/ CTN]]="",NOTA[[#This Row],[JUMLAH_H]],NOTA[[#This Row],[HARGA/ CTN]]*IF(NOTA[[#This Row],[C]]="",0,NOTA[[#This Row],[C]]))</f>
        <v>22000000</v>
      </c>
      <c r="Y251" s="54">
        <f>IF(NOTA[[#This Row],[JUMLAH]]="","",NOTA[[#This Row],[JUMLAH]]*NOTA[[#This Row],[DISC 1]])</f>
        <v>0</v>
      </c>
      <c r="Z251" s="54">
        <f>IF(NOTA[[#This Row],[JUMLAH]]="","",(NOTA[[#This Row],[JUMLAH]]-NOTA[[#This Row],[DISC 1-]])*NOTA[[#This Row],[DISC 2]])</f>
        <v>0</v>
      </c>
      <c r="AA251" s="54">
        <f>IF(NOTA[[#This Row],[JUMLAH]]="","",NOTA[[#This Row],[DISC 1-]]+NOTA[[#This Row],[DISC 2-]])</f>
        <v>0</v>
      </c>
      <c r="AB251" s="54">
        <f>IF(NOTA[[#This Row],[JUMLAH]]="","",NOTA[[#This Row],[JUMLAH]]-NOTA[[#This Row],[DISC]])</f>
        <v>22000000</v>
      </c>
      <c r="AC2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56500000</v>
      </c>
      <c r="AE251" s="49">
        <f>IF(NOTA[[#This Row],[NAMA BARANG]]="","",IF(NOTA[[#This Row],[JUMLAH_H]]="",NOTA[[#This Row],[HARGA/ CTN]],NOTA[[#This Row],[QTY]]*NOTA[[#This Row],[HARGA SATUAN]]/IF(ISNUMBER(NOTA[[#This Row],[C]]),NOTA[[#This Row],[C]],1)))</f>
        <v>11000000</v>
      </c>
      <c r="AF251" s="54">
        <f>IF(OR(NOTA[[#This Row],[QTY]]="",NOTA[[#This Row],[HARGA SATUAN]]="",),"",NOTA[[#This Row],[QTY]]*NOTA[[#This Row],[HARGA SATUAN]])</f>
        <v>22000000</v>
      </c>
      <c r="AG251" s="51">
        <f ca="1">IF(NOTA[ID_H]="","",INDEX(NOTA[TANGGAL],MATCH(,INDIRECT(ADDRESS(ROW(NOTA[TANGGAL]),COLUMN(NOTA[TANGGAL]))&amp;":"&amp;ADDRESS(ROW(),COLUMN(NOTA[TANGGAL]))),-1)))</f>
        <v>44937</v>
      </c>
      <c r="AH251" s="65" t="str">
        <f ca="1">IF(NOTA[[#This Row],[NAMA BARANG]]="","",INDEX(NOTA[SUPPLIER],MATCH(,INDIRECT(ADDRESS(ROW(NOTA[ID]),COLUMN(NOTA[ID]))&amp;":"&amp;ADDRESS(ROW(),COLUMN(NOTA[ID]))),-1)))</f>
        <v>ETJ</v>
      </c>
      <c r="AI251" s="65" t="str">
        <f ca="1">IF(NOTA[[#This Row],[ID_H]]="","",IF(NOTA[[#This Row],[FAKTUR]]="",INDIRECT(ADDRESS(ROW()-1,COLUMN())),NOTA[[#This Row],[FAKTUR]]))</f>
        <v>UNTANA</v>
      </c>
      <c r="AJ251" s="38" t="str">
        <f ca="1">IF(NOTA[[#This Row],[ID]]="","",COUNTIF(NOTA[ID_H],NOTA[[#This Row],[ID_H]]))</f>
        <v/>
      </c>
      <c r="AK251" s="38" t="e">
        <f ca="1">IF(NOTA[[#This Row],[TGL.NOTA]]="",IF(NOTA[[#This Row],[SUPPLIER_H]]="","",AK250),MONTH(NOTA[[#This Row],[TGL.NOTA]]))</f>
        <v>#REF!</v>
      </c>
      <c r="AL251" s="38" t="str">
        <f>LOWER(SUBSTITUTE(SUBSTITUTE(SUBSTITUTE(SUBSTITUTE(SUBSTITUTE(SUBSTITUTE(SUBSTITUTE(SUBSTITUTE(SUBSTITUTE(NOTA[NAMA BARANG]," ",),".",""),"-",""),"(",""),")",""),",",""),"/",""),"""",""),"+",""))</f>
        <v>busurno4mika</v>
      </c>
      <c r="AM251" s="38" t="str">
        <f>IF(NOTA[C]="",NOTA[[#This Row],[CONCAT1]]&amp;NOTA[[#This Row],[HARGA SATUAN]],NOTA[[#This Row],[CONCAT1]]&amp;NOTA[[#This Row],[HARGA/ CTN_H]]&amp;NOTA[[#This Row],[DISC 1]]&amp;NOTA[[#This Row],[DISC 2]])</f>
        <v>busurno4mika11000000</v>
      </c>
      <c r="AN251" s="184">
        <f>IF(NOTA[[#This Row],[CONCAT1]]="","",MATCH(NOTA[[#This Row],[CONCAT1]],[1]!db[NB NOTA_C],0)+1)</f>
        <v>382</v>
      </c>
    </row>
    <row r="252" spans="1:40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Row],[CEK_EXP]]&lt;D251,"err","")</f>
        <v/>
      </c>
      <c r="D252" s="50">
        <f>IF(NOTA[[#This Row],[TANGGAL]]="",D251,NOTA[[#This Row],[TANGGAL]])</f>
        <v>44937</v>
      </c>
      <c r="E252" s="50" t="str">
        <f ca="1">IF(NOTA[[#This Row],[NAMA BARANG]]="","",INDEX(NOTA[ID],MATCH(,INDIRECT(ADDRESS(ROW(NOTA[ID]),COLUMN(NOTA[ID]))&amp;":"&amp;ADDRESS(ROW(),COLUMN(NOTA[ID]))),-1)))</f>
        <v/>
      </c>
      <c r="F252" s="23"/>
      <c r="G252" s="26"/>
      <c r="H252" s="26"/>
      <c r="I252" s="31"/>
      <c r="J252" s="26"/>
      <c r="K252" s="51"/>
      <c r="L252" s="26"/>
      <c r="M252" s="26"/>
      <c r="N252" s="39"/>
      <c r="O252" s="26"/>
      <c r="P252" s="26"/>
      <c r="Q252" s="49"/>
      <c r="R252" s="52"/>
      <c r="S252" s="39"/>
      <c r="T252" s="53"/>
      <c r="U252" s="53"/>
      <c r="V252" s="54"/>
      <c r="W252" s="37"/>
      <c r="X252" s="54" t="str">
        <f>IF(NOTA[[#This Row],[HARGA/ CTN]]="",NOTA[[#This Row],[JUMLAH_H]],NOTA[[#This Row],[HARGA/ CTN]]*IF(NOTA[[#This Row],[C]]="",0,NOTA[[#This Row],[C]]))</f>
        <v/>
      </c>
      <c r="Y252" s="54" t="str">
        <f>IF(NOTA[[#This Row],[JUMLAH]]="","",NOTA[[#This Row],[JUMLAH]]*NOTA[[#This Row],[DISC 1]])</f>
        <v/>
      </c>
      <c r="Z252" s="54" t="str">
        <f>IF(NOTA[[#This Row],[JUMLAH]]="","",(NOTA[[#This Row],[JUMLAH]]-NOTA[[#This Row],[DISC 1-]])*NOTA[[#This Row],[DISC 2]])</f>
        <v/>
      </c>
      <c r="AA252" s="54" t="str">
        <f>IF(NOTA[[#This Row],[JUMLAH]]="","",NOTA[[#This Row],[DISC 1-]]+NOTA[[#This Row],[DISC 2-]])</f>
        <v/>
      </c>
      <c r="AB252" s="54" t="str">
        <f>IF(NOTA[[#This Row],[JUMLAH]]="","",NOTA[[#This Row],[JUMLAH]]-NOTA[[#This Row],[DISC]])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54" t="str">
        <f>IF(OR(NOTA[[#This Row],[QTY]]="",NOTA[[#This Row],[HARGA SATUAN]]="",),"",NOTA[[#This Row],[QTY]]*NOTA[[#This Row],[HARGA SATUAN]])</f>
        <v/>
      </c>
      <c r="AG252" s="51" t="str">
        <f ca="1">IF(NOTA[ID_H]="","",INDEX(NOTA[TANGGAL],MATCH(,INDIRECT(ADDRESS(ROW(NOTA[TANGGAL]),COLUMN(NOTA[TANGGAL]))&amp;":"&amp;ADDRESS(ROW(),COLUMN(NOTA[TANGGAL]))),-1)))</f>
        <v/>
      </c>
      <c r="AH252" s="65" t="str">
        <f ca="1">IF(NOTA[[#This Row],[NAMA BARANG]]="","",INDEX(NOTA[SUPPLIER],MATCH(,INDIRECT(ADDRESS(ROW(NOTA[ID]),COLUMN(NOTA[ID]))&amp;":"&amp;ADDRESS(ROW(),COLUMN(NOTA[ID]))),-1)))</f>
        <v/>
      </c>
      <c r="AI252" s="65" t="str">
        <f ca="1">IF(NOTA[[#This Row],[ID_H]]="","",IF(NOTA[[#This Row],[FAKTUR]]="",INDIRECT(ADDRESS(ROW()-1,COLUMN())),NOTA[[#This Row],[FAKTUR]]))</f>
        <v/>
      </c>
      <c r="AJ252" s="38" t="str">
        <f ca="1">IF(NOTA[[#This Row],[ID]]="","",COUNTIF(NOTA[ID_H],NOTA[[#This Row],[ID_H]]))</f>
        <v/>
      </c>
      <c r="AK252" s="38" t="str">
        <f ca="1">IF(NOTA[[#This Row],[TGL.NOTA]]="",IF(NOTA[[#This Row],[SUPPLIER_H]]="","",AK251),MONTH(NOTA[[#This Row],[TGL.NOTA]]))</f>
        <v/>
      </c>
      <c r="AL252" s="38" t="str">
        <f>LOWER(SUBSTITUTE(SUBSTITUTE(SUBSTITUTE(SUBSTITUTE(SUBSTITUTE(SUBSTITUTE(SUBSTITUTE(SUBSTITUTE(SUBSTITUTE(NOTA[NAMA BARANG]," ",),".",""),"-",""),"(",""),")",""),",",""),"/",""),"""",""),"+",""))</f>
        <v/>
      </c>
      <c r="AM252" s="38" t="str">
        <f>IF(NOTA[C]="",NOTA[[#This Row],[CONCAT1]]&amp;NOTA[[#This Row],[HARGA SATUAN]],NOTA[[#This Row],[CONCAT1]]&amp;NOTA[[#This Row],[HARGA/ CTN_H]]&amp;NOTA[[#This Row],[DISC 1]]&amp;NOTA[[#This Row],[DISC 2]])</f>
        <v/>
      </c>
      <c r="AN252" s="184" t="str">
        <f>IF(NOTA[[#This Row],[CONCAT1]]="","",MATCH(NOTA[[#This Row],[CONCAT1]],[1]!db[NB NOTA_C],0)+1)</f>
        <v/>
      </c>
    </row>
    <row r="253" spans="1:40" ht="20.100000000000001" customHeight="1" x14ac:dyDescent="0.25">
      <c r="A253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ATA_1101_292-8</v>
      </c>
      <c r="C253" s="50" t="str">
        <f>IF(NOTA[[#This Row],[CEK_EXP]]&lt;D252,"err","")</f>
        <v/>
      </c>
      <c r="D253" s="50">
        <f>IF(NOTA[[#This Row],[TANGGAL]]="",D252,NOTA[[#This Row],[TANGGAL]])</f>
        <v>44937</v>
      </c>
      <c r="E253" s="50">
        <f ca="1">IF(NOTA[[#This Row],[NAMA BARANG]]="","",INDEX(NOTA[ID],MATCH(,INDIRECT(ADDRESS(ROW(NOTA[ID]),COLUMN(NOTA[ID]))&amp;":"&amp;ADDRESS(ROW(),COLUMN(NOTA[ID]))),-1)))</f>
        <v>52</v>
      </c>
      <c r="F253" s="23"/>
      <c r="G253" s="26" t="s">
        <v>25</v>
      </c>
      <c r="H253" s="26" t="s">
        <v>24</v>
      </c>
      <c r="I253" s="31" t="s">
        <v>418</v>
      </c>
      <c r="J253" s="26"/>
      <c r="K253" s="51">
        <v>44932</v>
      </c>
      <c r="L253" s="26"/>
      <c r="M253" s="26" t="s">
        <v>280</v>
      </c>
      <c r="N253" s="39">
        <v>1</v>
      </c>
      <c r="O253" s="26">
        <v>50</v>
      </c>
      <c r="P253" s="26" t="s">
        <v>131</v>
      </c>
      <c r="Q253" s="49">
        <v>34100</v>
      </c>
      <c r="R253" s="52"/>
      <c r="S253" s="39" t="s">
        <v>281</v>
      </c>
      <c r="T253" s="53">
        <v>0.125</v>
      </c>
      <c r="U253" s="53">
        <v>0.05</v>
      </c>
      <c r="V253" s="54"/>
      <c r="W253" s="37"/>
      <c r="X253" s="54">
        <f>IF(NOTA[[#This Row],[HARGA/ CTN]]="",NOTA[[#This Row],[JUMLAH_H]],NOTA[[#This Row],[HARGA/ CTN]]*IF(NOTA[[#This Row],[C]]="",0,NOTA[[#This Row],[C]]))</f>
        <v>1705000</v>
      </c>
      <c r="Y253" s="54">
        <f>IF(NOTA[[#This Row],[JUMLAH]]="","",NOTA[[#This Row],[JUMLAH]]*NOTA[[#This Row],[DISC 1]])</f>
        <v>213125</v>
      </c>
      <c r="Z253" s="54">
        <f>IF(NOTA[[#This Row],[JUMLAH]]="","",(NOTA[[#This Row],[JUMLAH]]-NOTA[[#This Row],[DISC 1-]])*NOTA[[#This Row],[DISC 2]])</f>
        <v>74593.75</v>
      </c>
      <c r="AA253" s="54">
        <f>IF(NOTA[[#This Row],[JUMLAH]]="","",NOTA[[#This Row],[DISC 1-]]+NOTA[[#This Row],[DISC 2-]])</f>
        <v>287718.75</v>
      </c>
      <c r="AB253" s="54">
        <f>IF(NOTA[[#This Row],[JUMLAH]]="","",NOTA[[#This Row],[JUMLAH]]-NOTA[[#This Row],[DISC]])</f>
        <v>1417281.25</v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3" s="54">
        <f>IF(OR(NOTA[[#This Row],[QTY]]="",NOTA[[#This Row],[HARGA SATUAN]]="",),"",NOTA[[#This Row],[QTY]]*NOTA[[#This Row],[HARGA SATUAN]])</f>
        <v>1705000</v>
      </c>
      <c r="AG253" s="51">
        <f ca="1">IF(NOTA[ID_H]="","",INDEX(NOTA[TANGGAL],MATCH(,INDIRECT(ADDRESS(ROW(NOTA[TANGGAL]),COLUMN(NOTA[TANGGAL]))&amp;":"&amp;ADDRESS(ROW(),COLUMN(NOTA[TANGGAL]))),-1)))</f>
        <v>44937</v>
      </c>
      <c r="AH253" s="65" t="str">
        <f ca="1">IF(NOTA[[#This Row],[NAMA BARANG]]="","",INDEX(NOTA[SUPPLIER],MATCH(,INDIRECT(ADDRESS(ROW(NOTA[ID]),COLUMN(NOTA[ID]))&amp;":"&amp;ADDRESS(ROW(),COLUMN(NOTA[ID]))),-1)))</f>
        <v>ATALI MAKMUR</v>
      </c>
      <c r="AI253" s="65" t="str">
        <f ca="1">IF(NOTA[[#This Row],[ID_H]]="","",IF(NOTA[[#This Row],[FAKTUR]]="",INDIRECT(ADDRESS(ROW()-1,COLUMN())),NOTA[[#This Row],[FAKTUR]]))</f>
        <v>ARTO MORO</v>
      </c>
      <c r="AJ253" s="38">
        <f ca="1">IF(NOTA[[#This Row],[ID]]="","",COUNTIF(NOTA[ID_H],NOTA[[#This Row],[ID_H]]))</f>
        <v>8</v>
      </c>
      <c r="AK253" s="38">
        <f>IF(NOTA[[#This Row],[TGL.NOTA]]="",IF(NOTA[[#This Row],[SUPPLIER_H]]="","",AK236),MONTH(NOTA[[#This Row],[TGL.NOTA]]))</f>
        <v>1</v>
      </c>
      <c r="AL25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253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253" s="184">
        <f>IF(NOTA[[#This Row],[CONCAT1]]="","",MATCH(NOTA[[#This Row],[CONCAT1]],[1]!db[NB NOTA_C],0)+1)</f>
        <v>678</v>
      </c>
    </row>
    <row r="254" spans="1:40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Row],[CEK_EXP]]&lt;D253,"err","")</f>
        <v/>
      </c>
      <c r="D254" s="50">
        <f>IF(NOTA[[#This Row],[TANGGAL]]="",D253,NOTA[[#This Row],[TANGGAL]])</f>
        <v>44937</v>
      </c>
      <c r="E254" s="50">
        <f ca="1">IF(NOTA[[#This Row],[NAMA BARANG]]="","",INDEX(NOTA[ID],MATCH(,INDIRECT(ADDRESS(ROW(NOTA[ID]),COLUMN(NOTA[ID]))&amp;":"&amp;ADDRESS(ROW(),COLUMN(NOTA[ID]))),-1)))</f>
        <v>52</v>
      </c>
      <c r="F254" s="23"/>
      <c r="G254" s="26"/>
      <c r="H254" s="26"/>
      <c r="I254" s="31"/>
      <c r="J254" s="26"/>
      <c r="K254" s="51"/>
      <c r="L254" s="26"/>
      <c r="M254" s="26" t="s">
        <v>419</v>
      </c>
      <c r="N254" s="39">
        <v>1</v>
      </c>
      <c r="O254" s="26">
        <v>360</v>
      </c>
      <c r="P254" s="26" t="s">
        <v>104</v>
      </c>
      <c r="Q254" s="49">
        <v>10000</v>
      </c>
      <c r="R254" s="52"/>
      <c r="S254" s="39" t="s">
        <v>266</v>
      </c>
      <c r="T254" s="53">
        <v>0.125</v>
      </c>
      <c r="U254" s="53">
        <v>0.05</v>
      </c>
      <c r="V254" s="54"/>
      <c r="W254" s="37"/>
      <c r="X254" s="54">
        <f>IF(NOTA[[#This Row],[HARGA/ CTN]]="",NOTA[[#This Row],[JUMLAH_H]],NOTA[[#This Row],[HARGA/ CTN]]*IF(NOTA[[#This Row],[C]]="",0,NOTA[[#This Row],[C]]))</f>
        <v>3600000</v>
      </c>
      <c r="Y254" s="54">
        <f>IF(NOTA[[#This Row],[JUMLAH]]="","",NOTA[[#This Row],[JUMLAH]]*NOTA[[#This Row],[DISC 1]])</f>
        <v>450000</v>
      </c>
      <c r="Z254" s="54">
        <f>IF(NOTA[[#This Row],[JUMLAH]]="","",(NOTA[[#This Row],[JUMLAH]]-NOTA[[#This Row],[DISC 1-]])*NOTA[[#This Row],[DISC 2]])</f>
        <v>157500</v>
      </c>
      <c r="AA254" s="54">
        <f>IF(NOTA[[#This Row],[JUMLAH]]="","",NOTA[[#This Row],[DISC 1-]]+NOTA[[#This Row],[DISC 2-]])</f>
        <v>607500</v>
      </c>
      <c r="AB254" s="54">
        <f>IF(NOTA[[#This Row],[JUMLAH]]="","",NOTA[[#This Row],[JUMLAH]]-NOTA[[#This Row],[DISC]])</f>
        <v>2992500</v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54" s="54">
        <f>IF(OR(NOTA[[#This Row],[QTY]]="",NOTA[[#This Row],[HARGA SATUAN]]="",),"",NOTA[[#This Row],[QTY]]*NOTA[[#This Row],[HARGA SATUAN]])</f>
        <v>3600000</v>
      </c>
      <c r="AG254" s="51">
        <f ca="1">IF(NOTA[ID_H]="","",INDEX(NOTA[TANGGAL],MATCH(,INDIRECT(ADDRESS(ROW(NOTA[TANGGAL]),COLUMN(NOTA[TANGGAL]))&amp;":"&amp;ADDRESS(ROW(),COLUMN(NOTA[TANGGAL]))),-1)))</f>
        <v>44937</v>
      </c>
      <c r="AH254" s="65" t="str">
        <f ca="1">IF(NOTA[[#This Row],[NAMA BARANG]]="","",INDEX(NOTA[SUPPLIER],MATCH(,INDIRECT(ADDRESS(ROW(NOTA[ID]),COLUMN(NOTA[ID]))&amp;":"&amp;ADDRESS(ROW(),COLUMN(NOTA[ID]))),-1)))</f>
        <v>ATALI MAKMUR</v>
      </c>
      <c r="AI254" s="65" t="str">
        <f ca="1">IF(NOTA[[#This Row],[ID_H]]="","",IF(NOTA[[#This Row],[FAKTUR]]="",INDIRECT(ADDRESS(ROW()-1,COLUMN())),NOTA[[#This Row],[FAKTUR]]))</f>
        <v>ARTO MORO</v>
      </c>
      <c r="AJ254" s="38" t="str">
        <f ca="1">IF(NOTA[[#This Row],[ID]]="","",COUNTIF(NOTA[ID_H],NOTA[[#This Row],[ID_H]]))</f>
        <v/>
      </c>
      <c r="AK254" s="38">
        <f ca="1">IF(NOTA[[#This Row],[TGL.NOTA]]="",IF(NOTA[[#This Row],[SUPPLIER_H]]="","",AK253),MONTH(NOTA[[#This Row],[TGL.NOTA]]))</f>
        <v>1</v>
      </c>
      <c r="AL254" s="38" t="str">
        <f>LOWER(SUBSTITUTE(SUBSTITUTE(SUBSTITUTE(SUBSTITUTE(SUBSTITUTE(SUBSTITUTE(SUBSTITUTE(SUBSTITUTE(SUBSTITUTE(NOTA[NAMA BARANG]," ",),".",""),"-",""),"(",""),")",""),",",""),"/",""),"""",""),"+",""))</f>
        <v>correctiontapect549jk</v>
      </c>
      <c r="AM254" s="38" t="str">
        <f>IF(NOTA[C]="",NOTA[[#This Row],[CONCAT1]]&amp;NOTA[[#This Row],[HARGA SATUAN]],NOTA[[#This Row],[CONCAT1]]&amp;NOTA[[#This Row],[HARGA/ CTN_H]]&amp;NOTA[[#This Row],[DISC 1]]&amp;NOTA[[#This Row],[DISC 2]])</f>
        <v>correctiontapect549jk36000000.1250.05</v>
      </c>
      <c r="AN254" s="184">
        <f>IF(NOTA[[#This Row],[CONCAT1]]="","",MATCH(NOTA[[#This Row],[CONCAT1]],[1]!db[NB NOTA_C],0)+1)</f>
        <v>530</v>
      </c>
    </row>
    <row r="255" spans="1:40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Row],[CEK_EXP]]&lt;D254,"err","")</f>
        <v/>
      </c>
      <c r="D255" s="50">
        <f>IF(NOTA[[#This Row],[TANGGAL]]="",D254,NOTA[[#This Row],[TANGGAL]])</f>
        <v>44937</v>
      </c>
      <c r="E255" s="50">
        <f ca="1">IF(NOTA[[#This Row],[NAMA BARANG]]="","",INDEX(NOTA[ID],MATCH(,INDIRECT(ADDRESS(ROW(NOTA[ID]),COLUMN(NOTA[ID]))&amp;":"&amp;ADDRESS(ROW(),COLUMN(NOTA[ID]))),-1)))</f>
        <v>52</v>
      </c>
      <c r="F255" s="23"/>
      <c r="G255" s="26"/>
      <c r="H255" s="26"/>
      <c r="I255" s="31"/>
      <c r="J255" s="26"/>
      <c r="K255" s="51"/>
      <c r="L255" s="26"/>
      <c r="M255" s="26" t="s">
        <v>420</v>
      </c>
      <c r="N255" s="39">
        <v>1</v>
      </c>
      <c r="O255" s="26">
        <v>360</v>
      </c>
      <c r="P255" s="26" t="s">
        <v>104</v>
      </c>
      <c r="Q255" s="49">
        <v>5800</v>
      </c>
      <c r="R255" s="52"/>
      <c r="S255" s="39" t="s">
        <v>266</v>
      </c>
      <c r="T255" s="53">
        <v>0.125</v>
      </c>
      <c r="U255" s="53">
        <v>0.05</v>
      </c>
      <c r="V255" s="54"/>
      <c r="W255" s="37"/>
      <c r="X255" s="54">
        <f>IF(NOTA[[#This Row],[HARGA/ CTN]]="",NOTA[[#This Row],[JUMLAH_H]],NOTA[[#This Row],[HARGA/ CTN]]*IF(NOTA[[#This Row],[C]]="",0,NOTA[[#This Row],[C]]))</f>
        <v>2088000</v>
      </c>
      <c r="Y255" s="54">
        <f>IF(NOTA[[#This Row],[JUMLAH]]="","",NOTA[[#This Row],[JUMLAH]]*NOTA[[#This Row],[DISC 1]])</f>
        <v>261000</v>
      </c>
      <c r="Z255" s="54">
        <f>IF(NOTA[[#This Row],[JUMLAH]]="","",(NOTA[[#This Row],[JUMLAH]]-NOTA[[#This Row],[DISC 1-]])*NOTA[[#This Row],[DISC 2]])</f>
        <v>91350</v>
      </c>
      <c r="AA255" s="54">
        <f>IF(NOTA[[#This Row],[JUMLAH]]="","",NOTA[[#This Row],[DISC 1-]]+NOTA[[#This Row],[DISC 2-]])</f>
        <v>352350</v>
      </c>
      <c r="AB255" s="54">
        <f>IF(NOTA[[#This Row],[JUMLAH]]="","",NOTA[[#This Row],[JUMLAH]]-NOTA[[#This Row],[DISC]])</f>
        <v>1735650</v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55" s="54">
        <f>IF(OR(NOTA[[#This Row],[QTY]]="",NOTA[[#This Row],[HARGA SATUAN]]="",),"",NOTA[[#This Row],[QTY]]*NOTA[[#This Row],[HARGA SATUAN]])</f>
        <v>2088000</v>
      </c>
      <c r="AG255" s="51">
        <f ca="1">IF(NOTA[ID_H]="","",INDEX(NOTA[TANGGAL],MATCH(,INDIRECT(ADDRESS(ROW(NOTA[TANGGAL]),COLUMN(NOTA[TANGGAL]))&amp;":"&amp;ADDRESS(ROW(),COLUMN(NOTA[TANGGAL]))),-1)))</f>
        <v>44937</v>
      </c>
      <c r="AH255" s="65" t="str">
        <f ca="1">IF(NOTA[[#This Row],[NAMA BARANG]]="","",INDEX(NOTA[SUPPLIER],MATCH(,INDIRECT(ADDRESS(ROW(NOTA[ID]),COLUMN(NOTA[ID]))&amp;":"&amp;ADDRESS(ROW(),COLUMN(NOTA[ID]))),-1)))</f>
        <v>ATALI MAKMUR</v>
      </c>
      <c r="AI255" s="65" t="str">
        <f ca="1">IF(NOTA[[#This Row],[ID_H]]="","",IF(NOTA[[#This Row],[FAKTUR]]="",INDIRECT(ADDRESS(ROW()-1,COLUMN())),NOTA[[#This Row],[FAKTUR]]))</f>
        <v>ARTO MORO</v>
      </c>
      <c r="AJ255" s="38" t="str">
        <f ca="1">IF(NOTA[[#This Row],[ID]]="","",COUNTIF(NOTA[ID_H],NOTA[[#This Row],[ID_H]]))</f>
        <v/>
      </c>
      <c r="AK255" s="38">
        <f ca="1">IF(NOTA[[#This Row],[TGL.NOTA]]="",IF(NOTA[[#This Row],[SUPPLIER_H]]="","",AK254),MONTH(NOTA[[#This Row],[TGL.NOTA]]))</f>
        <v>1</v>
      </c>
      <c r="AL255" s="38" t="str">
        <f>LOWER(SUBSTITUTE(SUBSTITUTE(SUBSTITUTE(SUBSTITUTE(SUBSTITUTE(SUBSTITUTE(SUBSTITUTE(SUBSTITUTE(SUBSTITUTE(NOTA[NAMA BARANG]," ",),".",""),"-",""),"(",""),")",""),",",""),"/",""),"""",""),"+",""))</f>
        <v>correctiontapect510ajk</v>
      </c>
      <c r="AM255" s="38" t="str">
        <f>IF(NOTA[C]="",NOTA[[#This Row],[CONCAT1]]&amp;NOTA[[#This Row],[HARGA SATUAN]],NOTA[[#This Row],[CONCAT1]]&amp;NOTA[[#This Row],[HARGA/ CTN_H]]&amp;NOTA[[#This Row],[DISC 1]]&amp;NOTA[[#This Row],[DISC 2]])</f>
        <v>correctiontapect510ajk20880000.1250.05</v>
      </c>
      <c r="AN255" s="184">
        <f>IF(NOTA[[#This Row],[CONCAT1]]="","",MATCH(NOTA[[#This Row],[CONCAT1]],[1]!db[NB NOTA_C],0)+1)</f>
        <v>520</v>
      </c>
    </row>
    <row r="256" spans="1:40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Row],[CEK_EXP]]&lt;D255,"err","")</f>
        <v/>
      </c>
      <c r="D256" s="50">
        <f>IF(NOTA[[#This Row],[TANGGAL]]="",D255,NOTA[[#This Row],[TANGGAL]])</f>
        <v>44937</v>
      </c>
      <c r="E256" s="50">
        <f ca="1">IF(NOTA[[#This Row],[NAMA BARANG]]="","",INDEX(NOTA[ID],MATCH(,INDIRECT(ADDRESS(ROW(NOTA[ID]),COLUMN(NOTA[ID]))&amp;":"&amp;ADDRESS(ROW(),COLUMN(NOTA[ID]))),-1)))</f>
        <v>52</v>
      </c>
      <c r="F256" s="23"/>
      <c r="G256" s="26"/>
      <c r="H256" s="26"/>
      <c r="I256" s="31"/>
      <c r="J256" s="26"/>
      <c r="K256" s="51"/>
      <c r="L256" s="26"/>
      <c r="M256" s="26" t="s">
        <v>459</v>
      </c>
      <c r="N256" s="39">
        <v>1</v>
      </c>
      <c r="O256" s="26">
        <v>192</v>
      </c>
      <c r="P256" s="26" t="s">
        <v>95</v>
      </c>
      <c r="Q256" s="49">
        <v>3600</v>
      </c>
      <c r="R256" s="52"/>
      <c r="S256" s="39" t="s">
        <v>421</v>
      </c>
      <c r="T256" s="53">
        <v>0.125</v>
      </c>
      <c r="U256" s="53">
        <v>0.05</v>
      </c>
      <c r="V256" s="54"/>
      <c r="W256" s="37"/>
      <c r="X256" s="54">
        <f>IF(NOTA[[#This Row],[HARGA/ CTN]]="",NOTA[[#This Row],[JUMLAH_H]],NOTA[[#This Row],[HARGA/ CTN]]*IF(NOTA[[#This Row],[C]]="",0,NOTA[[#This Row],[C]]))</f>
        <v>691200</v>
      </c>
      <c r="Y256" s="54">
        <f>IF(NOTA[[#This Row],[JUMLAH]]="","",NOTA[[#This Row],[JUMLAH]]*NOTA[[#This Row],[DISC 1]])</f>
        <v>86400</v>
      </c>
      <c r="Z256" s="54">
        <f>IF(NOTA[[#This Row],[JUMLAH]]="","",(NOTA[[#This Row],[JUMLAH]]-NOTA[[#This Row],[DISC 1-]])*NOTA[[#This Row],[DISC 2]])</f>
        <v>30240</v>
      </c>
      <c r="AA256" s="54">
        <f>IF(NOTA[[#This Row],[JUMLAH]]="","",NOTA[[#This Row],[DISC 1-]]+NOTA[[#This Row],[DISC 2-]])</f>
        <v>116640</v>
      </c>
      <c r="AB256" s="54">
        <f>IF(NOTA[[#This Row],[JUMLAH]]="","",NOTA[[#This Row],[JUMLAH]]-NOTA[[#This Row],[DISC]])</f>
        <v>574560</v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256" s="54">
        <f>IF(OR(NOTA[[#This Row],[QTY]]="",NOTA[[#This Row],[HARGA SATUAN]]="",),"",NOTA[[#This Row],[QTY]]*NOTA[[#This Row],[HARGA SATUAN]])</f>
        <v>691200</v>
      </c>
      <c r="AG256" s="51">
        <f ca="1">IF(NOTA[ID_H]="","",INDEX(NOTA[TANGGAL],MATCH(,INDIRECT(ADDRESS(ROW(NOTA[TANGGAL]),COLUMN(NOTA[TANGGAL]))&amp;":"&amp;ADDRESS(ROW(),COLUMN(NOTA[TANGGAL]))),-1)))</f>
        <v>44937</v>
      </c>
      <c r="AH256" s="65" t="str">
        <f ca="1">IF(NOTA[[#This Row],[NAMA BARANG]]="","",INDEX(NOTA[SUPPLIER],MATCH(,INDIRECT(ADDRESS(ROW(NOTA[ID]),COLUMN(NOTA[ID]))&amp;":"&amp;ADDRESS(ROW(),COLUMN(NOTA[ID]))),-1)))</f>
        <v>ATALI MAKMUR</v>
      </c>
      <c r="AI256" s="65" t="str">
        <f ca="1">IF(NOTA[[#This Row],[ID_H]]="","",IF(NOTA[[#This Row],[FAKTUR]]="",INDIRECT(ADDRESS(ROW()-1,COLUMN())),NOTA[[#This Row],[FAKTUR]]))</f>
        <v>ARTO MORO</v>
      </c>
      <c r="AJ256" s="38" t="str">
        <f ca="1">IF(NOTA[[#This Row],[ID]]="","",COUNTIF(NOTA[ID_H],NOTA[[#This Row],[ID_H]]))</f>
        <v/>
      </c>
      <c r="AK256" s="38">
        <f ca="1">IF(NOTA[[#This Row],[TGL.NOTA]]="",IF(NOTA[[#This Row],[SUPPLIER_H]]="","",AK255),MONTH(NOTA[[#This Row],[TGL.NOTA]]))</f>
        <v>1</v>
      </c>
      <c r="AL256" s="38" t="str">
        <f>LOWER(SUBSTITUTE(SUBSTITUTE(SUBSTITUTE(SUBSTITUTE(SUBSTITUTE(SUBSTITUTE(SUBSTITUTE(SUBSTITUTE(SUBSTITUTE(NOTA[NAMA BARANG]," ",),".",""),"-",""),"(",""),")",""),",",""),"/",""),"""",""),"+",""))</f>
        <v>lleafa5702050sjk</v>
      </c>
      <c r="AM256" s="38" t="str">
        <f>IF(NOTA[C]="",NOTA[[#This Row],[CONCAT1]]&amp;NOTA[[#This Row],[HARGA SATUAN]],NOTA[[#This Row],[CONCAT1]]&amp;NOTA[[#This Row],[HARGA/ CTN_H]]&amp;NOTA[[#This Row],[DISC 1]]&amp;NOTA[[#This Row],[DISC 2]])</f>
        <v>lleafa5702050sjk6912000.1250.05</v>
      </c>
      <c r="AN256" s="184">
        <f>IF(NOTA[[#This Row],[CONCAT1]]="","",MATCH(NOTA[[#This Row],[CONCAT1]],[1]!db[NB NOTA_C],0)+1)</f>
        <v>1345</v>
      </c>
    </row>
    <row r="257" spans="1:40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Row],[CEK_EXP]]&lt;D256,"err","")</f>
        <v/>
      </c>
      <c r="D257" s="50">
        <f>IF(NOTA[[#This Row],[TANGGAL]]="",D256,NOTA[[#This Row],[TANGGAL]])</f>
        <v>44937</v>
      </c>
      <c r="E257" s="50">
        <f ca="1">IF(NOTA[[#This Row],[NAMA BARANG]]="","",INDEX(NOTA[ID],MATCH(,INDIRECT(ADDRESS(ROW(NOTA[ID]),COLUMN(NOTA[ID]))&amp;":"&amp;ADDRESS(ROW(),COLUMN(NOTA[ID]))),-1)))</f>
        <v>52</v>
      </c>
      <c r="F257" s="23"/>
      <c r="G257" s="26"/>
      <c r="H257" s="26"/>
      <c r="I257" s="31"/>
      <c r="J257" s="26"/>
      <c r="K257" s="51"/>
      <c r="L257" s="26"/>
      <c r="M257" s="26" t="s">
        <v>273</v>
      </c>
      <c r="N257" s="39">
        <v>1</v>
      </c>
      <c r="O257" s="26">
        <v>20</v>
      </c>
      <c r="P257" s="26" t="s">
        <v>274</v>
      </c>
      <c r="Q257" s="49">
        <v>67800</v>
      </c>
      <c r="R257" s="52"/>
      <c r="S257" s="39" t="s">
        <v>136</v>
      </c>
      <c r="T257" s="53">
        <v>0.125</v>
      </c>
      <c r="U257" s="53">
        <v>0.05</v>
      </c>
      <c r="V257" s="54"/>
      <c r="W257" s="37"/>
      <c r="X257" s="54">
        <f>IF(NOTA[[#This Row],[HARGA/ CTN]]="",NOTA[[#This Row],[JUMLAH_H]],NOTA[[#This Row],[HARGA/ CTN]]*IF(NOTA[[#This Row],[C]]="",0,NOTA[[#This Row],[C]]))</f>
        <v>1356000</v>
      </c>
      <c r="Y257" s="54">
        <f>IF(NOTA[[#This Row],[JUMLAH]]="","",NOTA[[#This Row],[JUMLAH]]*NOTA[[#This Row],[DISC 1]])</f>
        <v>169500</v>
      </c>
      <c r="Z257" s="54">
        <f>IF(NOTA[[#This Row],[JUMLAH]]="","",(NOTA[[#This Row],[JUMLAH]]-NOTA[[#This Row],[DISC 1-]])*NOTA[[#This Row],[DISC 2]])</f>
        <v>59325</v>
      </c>
      <c r="AA257" s="54">
        <f>IF(NOTA[[#This Row],[JUMLAH]]="","",NOTA[[#This Row],[DISC 1-]]+NOTA[[#This Row],[DISC 2-]])</f>
        <v>228825</v>
      </c>
      <c r="AB257" s="54">
        <f>IF(NOTA[[#This Row],[JUMLAH]]="","",NOTA[[#This Row],[JUMLAH]]-NOTA[[#This Row],[DISC]])</f>
        <v>1127175</v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257" s="54">
        <f>IF(OR(NOTA[[#This Row],[QTY]]="",NOTA[[#This Row],[HARGA SATUAN]]="",),"",NOTA[[#This Row],[QTY]]*NOTA[[#This Row],[HARGA SATUAN]])</f>
        <v>1356000</v>
      </c>
      <c r="AG257" s="51">
        <f ca="1">IF(NOTA[ID_H]="","",INDEX(NOTA[TANGGAL],MATCH(,INDIRECT(ADDRESS(ROW(NOTA[TANGGAL]),COLUMN(NOTA[TANGGAL]))&amp;":"&amp;ADDRESS(ROW(),COLUMN(NOTA[TANGGAL]))),-1)))</f>
        <v>44937</v>
      </c>
      <c r="AH257" s="65" t="str">
        <f ca="1">IF(NOTA[[#This Row],[NAMA BARANG]]="","",INDEX(NOTA[SUPPLIER],MATCH(,INDIRECT(ADDRESS(ROW(NOTA[ID]),COLUMN(NOTA[ID]))&amp;":"&amp;ADDRESS(ROW(),COLUMN(NOTA[ID]))),-1)))</f>
        <v>ATALI MAKMUR</v>
      </c>
      <c r="AI257" s="65" t="str">
        <f ca="1">IF(NOTA[[#This Row],[ID_H]]="","",IF(NOTA[[#This Row],[FAKTUR]]="",INDIRECT(ADDRESS(ROW()-1,COLUMN())),NOTA[[#This Row],[FAKTUR]]))</f>
        <v>ARTO MORO</v>
      </c>
      <c r="AJ257" s="38" t="str">
        <f ca="1">IF(NOTA[[#This Row],[ID]]="","",COUNTIF(NOTA[ID_H],NOTA[[#This Row],[ID_H]]))</f>
        <v/>
      </c>
      <c r="AK257" s="38">
        <f ca="1">IF(NOTA[[#This Row],[TGL.NOTA]]="",IF(NOTA[[#This Row],[SUPPLIER_H]]="","",AK256),MONTH(NOTA[[#This Row],[TGL.NOTA]]))</f>
        <v>1</v>
      </c>
      <c r="AL257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M257" s="38" t="str">
        <f>IF(NOTA[C]="",NOTA[[#This Row],[CONCAT1]]&amp;NOTA[[#This Row],[HARGA SATUAN]],NOTA[[#This Row],[CONCAT1]]&amp;NOTA[[#This Row],[HARGA/ CTN_H]]&amp;NOTA[[#This Row],[DISC 1]]&amp;NOTA[[#This Row],[DISC 2]])</f>
        <v>binderclip155jk13560000.1250.05</v>
      </c>
      <c r="AN257" s="184">
        <f>IF(NOTA[[#This Row],[CONCAT1]]="","",MATCH(NOTA[[#This Row],[CONCAT1]],[1]!db[NB NOTA_C],0)+1)</f>
        <v>199</v>
      </c>
    </row>
    <row r="258" spans="1:40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Row],[CEK_EXP]]&lt;D257,"err","")</f>
        <v/>
      </c>
      <c r="D258" s="50">
        <f>IF(NOTA[[#This Row],[TANGGAL]]="",D257,NOTA[[#This Row],[TANGGAL]])</f>
        <v>44937</v>
      </c>
      <c r="E258" s="50">
        <f ca="1">IF(NOTA[[#This Row],[NAMA BARANG]]="","",INDEX(NOTA[ID],MATCH(,INDIRECT(ADDRESS(ROW(NOTA[ID]),COLUMN(NOTA[ID]))&amp;":"&amp;ADDRESS(ROW(),COLUMN(NOTA[ID]))),-1)))</f>
        <v>52</v>
      </c>
      <c r="F258" s="23"/>
      <c r="G258" s="26"/>
      <c r="H258" s="26"/>
      <c r="I258" s="31"/>
      <c r="J258" s="26"/>
      <c r="K258" s="51"/>
      <c r="L258" s="26"/>
      <c r="M258" s="26" t="s">
        <v>275</v>
      </c>
      <c r="N258" s="39"/>
      <c r="O258" s="26">
        <v>24</v>
      </c>
      <c r="P258" s="26" t="s">
        <v>104</v>
      </c>
      <c r="Q258" s="49">
        <v>2350</v>
      </c>
      <c r="R258" s="52"/>
      <c r="S258" s="39" t="s">
        <v>276</v>
      </c>
      <c r="T258" s="53">
        <v>0.1</v>
      </c>
      <c r="U258" s="53">
        <v>0.05</v>
      </c>
      <c r="V258" s="54"/>
      <c r="W258" s="37" t="s">
        <v>422</v>
      </c>
      <c r="X258" s="54">
        <f>IF(NOTA[[#This Row],[HARGA/ CTN]]="",NOTA[[#This Row],[JUMLAH_H]],NOTA[[#This Row],[HARGA/ CTN]]*IF(NOTA[[#This Row],[C]]="",0,NOTA[[#This Row],[C]]))</f>
        <v>56400</v>
      </c>
      <c r="Y258" s="54">
        <f>IF(NOTA[[#This Row],[JUMLAH]]="","",NOTA[[#This Row],[JUMLAH]]*NOTA[[#This Row],[DISC 1]])</f>
        <v>5640</v>
      </c>
      <c r="Z258" s="54">
        <f>IF(NOTA[[#This Row],[JUMLAH]]="","",(NOTA[[#This Row],[JUMLAH]]-NOTA[[#This Row],[DISC 1-]])*NOTA[[#This Row],[DISC 2]])</f>
        <v>2538</v>
      </c>
      <c r="AA258" s="54">
        <f>IF(NOTA[[#This Row],[JUMLAH]]="","",NOTA[[#This Row],[DISC 1-]]+NOTA[[#This Row],[DISC 2-]])</f>
        <v>8178</v>
      </c>
      <c r="AB258" s="54">
        <f>IF(NOTA[[#This Row],[JUMLAH]]="","",NOTA[[#This Row],[JUMLAH]]-NOTA[[#This Row],[DISC]])</f>
        <v>48222</v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F258" s="54">
        <f>IF(OR(NOTA[[#This Row],[QTY]]="",NOTA[[#This Row],[HARGA SATUAN]]="",),"",NOTA[[#This Row],[QTY]]*NOTA[[#This Row],[HARGA SATUAN]])</f>
        <v>56400</v>
      </c>
      <c r="AG258" s="51">
        <f ca="1">IF(NOTA[ID_H]="","",INDEX(NOTA[TANGGAL],MATCH(,INDIRECT(ADDRESS(ROW(NOTA[TANGGAL]),COLUMN(NOTA[TANGGAL]))&amp;":"&amp;ADDRESS(ROW(),COLUMN(NOTA[TANGGAL]))),-1)))</f>
        <v>44937</v>
      </c>
      <c r="AH258" s="65" t="str">
        <f ca="1">IF(NOTA[[#This Row],[NAMA BARANG]]="","",INDEX(NOTA[SUPPLIER],MATCH(,INDIRECT(ADDRESS(ROW(NOTA[ID]),COLUMN(NOTA[ID]))&amp;":"&amp;ADDRESS(ROW(),COLUMN(NOTA[ID]))),-1)))</f>
        <v>ATALI MAKMUR</v>
      </c>
      <c r="AI258" s="65" t="str">
        <f ca="1">IF(NOTA[[#This Row],[ID_H]]="","",IF(NOTA[[#This Row],[FAKTUR]]="",INDIRECT(ADDRESS(ROW()-1,COLUMN())),NOTA[[#This Row],[FAKTUR]]))</f>
        <v>ARTO MORO</v>
      </c>
      <c r="AJ258" s="38" t="str">
        <f ca="1">IF(NOTA[[#This Row],[ID]]="","",COUNTIF(NOTA[ID_H],NOTA[[#This Row],[ID_H]]))</f>
        <v/>
      </c>
      <c r="AK258" s="38">
        <f ca="1">IF(NOTA[[#This Row],[TGL.NOTA]]="",IF(NOTA[[#This Row],[SUPPLIER_H]]="","",AK257),MONTH(NOTA[[#This Row],[TGL.NOTA]]))</f>
        <v>1</v>
      </c>
      <c r="AL258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M258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N258" s="184">
        <f>IF(NOTA[[#This Row],[CONCAT1]]="","",MATCH(NOTA[[#This Row],[CONCAT1]],[1]!db[NB NOTA_C],0)+1)</f>
        <v>1834</v>
      </c>
    </row>
    <row r="259" spans="1:40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Row],[CEK_EXP]]&lt;D258,"err","")</f>
        <v/>
      </c>
      <c r="D259" s="50">
        <f>IF(NOTA[[#This Row],[TANGGAL]]="",D258,NOTA[[#This Row],[TANGGAL]])</f>
        <v>44937</v>
      </c>
      <c r="E259" s="50">
        <f ca="1">IF(NOTA[[#This Row],[NAMA BARANG]]="","",INDEX(NOTA[ID],MATCH(,INDIRECT(ADDRESS(ROW(NOTA[ID]),COLUMN(NOTA[ID]))&amp;":"&amp;ADDRESS(ROW(),COLUMN(NOTA[ID]))),-1)))</f>
        <v>52</v>
      </c>
      <c r="F259" s="23"/>
      <c r="G259" s="26"/>
      <c r="H259" s="26"/>
      <c r="I259" s="31"/>
      <c r="J259" s="26"/>
      <c r="K259" s="51"/>
      <c r="L259" s="26"/>
      <c r="M259" s="26" t="s">
        <v>423</v>
      </c>
      <c r="N259" s="39">
        <v>1</v>
      </c>
      <c r="O259" s="26">
        <v>72</v>
      </c>
      <c r="P259" s="26" t="s">
        <v>128</v>
      </c>
      <c r="Q259" s="49">
        <v>23000</v>
      </c>
      <c r="R259" s="52"/>
      <c r="S259" s="39" t="s">
        <v>424</v>
      </c>
      <c r="T259" s="53">
        <v>0.125</v>
      </c>
      <c r="U259" s="53">
        <v>0.05</v>
      </c>
      <c r="V259" s="54"/>
      <c r="W259" s="37"/>
      <c r="X259" s="54">
        <f>IF(NOTA[[#This Row],[HARGA/ CTN]]="",NOTA[[#This Row],[JUMLAH_H]],NOTA[[#This Row],[HARGA/ CTN]]*IF(NOTA[[#This Row],[C]]="",0,NOTA[[#This Row],[C]]))</f>
        <v>1656000</v>
      </c>
      <c r="Y259" s="54">
        <f>IF(NOTA[[#This Row],[JUMLAH]]="","",NOTA[[#This Row],[JUMLAH]]*NOTA[[#This Row],[DISC 1]])</f>
        <v>207000</v>
      </c>
      <c r="Z259" s="54">
        <f>IF(NOTA[[#This Row],[JUMLAH]]="","",(NOTA[[#This Row],[JUMLAH]]-NOTA[[#This Row],[DISC 1-]])*NOTA[[#This Row],[DISC 2]])</f>
        <v>72450</v>
      </c>
      <c r="AA259" s="54">
        <f>IF(NOTA[[#This Row],[JUMLAH]]="","",NOTA[[#This Row],[DISC 1-]]+NOTA[[#This Row],[DISC 2-]])</f>
        <v>279450</v>
      </c>
      <c r="AB259" s="54">
        <f>IF(NOTA[[#This Row],[JUMLAH]]="","",NOTA[[#This Row],[JUMLAH]]-NOTA[[#This Row],[DISC]])</f>
        <v>1376550</v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59" s="54">
        <f>IF(OR(NOTA[[#This Row],[QTY]]="",NOTA[[#This Row],[HARGA SATUAN]]="",),"",NOTA[[#This Row],[QTY]]*NOTA[[#This Row],[HARGA SATUAN]])</f>
        <v>1656000</v>
      </c>
      <c r="AG259" s="51">
        <f ca="1">IF(NOTA[ID_H]="","",INDEX(NOTA[TANGGAL],MATCH(,INDIRECT(ADDRESS(ROW(NOTA[TANGGAL]),COLUMN(NOTA[TANGGAL]))&amp;":"&amp;ADDRESS(ROW(),COLUMN(NOTA[TANGGAL]))),-1)))</f>
        <v>44937</v>
      </c>
      <c r="AH259" s="65" t="str">
        <f ca="1">IF(NOTA[[#This Row],[NAMA BARANG]]="","",INDEX(NOTA[SUPPLIER],MATCH(,INDIRECT(ADDRESS(ROW(NOTA[ID]),COLUMN(NOTA[ID]))&amp;":"&amp;ADDRESS(ROW(),COLUMN(NOTA[ID]))),-1)))</f>
        <v>ATALI MAKMUR</v>
      </c>
      <c r="AI259" s="65" t="str">
        <f ca="1">IF(NOTA[[#This Row],[ID_H]]="","",IF(NOTA[[#This Row],[FAKTUR]]="",INDIRECT(ADDRESS(ROW()-1,COLUMN())),NOTA[[#This Row],[FAKTUR]]))</f>
        <v>ARTO MORO</v>
      </c>
      <c r="AJ259" s="38" t="str">
        <f ca="1">IF(NOTA[[#This Row],[ID]]="","",COUNTIF(NOTA[ID_H],NOTA[[#This Row],[ID_H]]))</f>
        <v/>
      </c>
      <c r="AK259" s="38">
        <f ca="1">IF(NOTA[[#This Row],[TGL.NOTA]]="",IF(NOTA[[#This Row],[SUPPLIER_H]]="","",AK258),MONTH(NOTA[[#This Row],[TGL.NOTA]]))</f>
        <v>1</v>
      </c>
      <c r="AL259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59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N259" s="184">
        <f>IF(NOTA[[#This Row],[CONCAT1]]="","",MATCH(NOTA[[#This Row],[CONCAT1]],[1]!db[NB NOTA_C],0)+1)</f>
        <v>1560</v>
      </c>
    </row>
    <row r="260" spans="1:40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Row],[CEK_EXP]]&lt;D259,"err","")</f>
        <v/>
      </c>
      <c r="D260" s="50">
        <f>IF(NOTA[[#This Row],[TANGGAL]]="",D259,NOTA[[#This Row],[TANGGAL]])</f>
        <v>44937</v>
      </c>
      <c r="E260" s="50">
        <f ca="1">IF(NOTA[[#This Row],[NAMA BARANG]]="","",INDEX(NOTA[ID],MATCH(,INDIRECT(ADDRESS(ROW(NOTA[ID]),COLUMN(NOTA[ID]))&amp;":"&amp;ADDRESS(ROW(),COLUMN(NOTA[ID]))),-1)))</f>
        <v>52</v>
      </c>
      <c r="F260" s="23"/>
      <c r="G260" s="26"/>
      <c r="H260" s="26"/>
      <c r="I260" s="31"/>
      <c r="J260" s="26"/>
      <c r="K260" s="51"/>
      <c r="L260" s="26"/>
      <c r="M260" s="26" t="s">
        <v>137</v>
      </c>
      <c r="N260" s="39"/>
      <c r="O260" s="26">
        <v>2</v>
      </c>
      <c r="P260" s="26" t="s">
        <v>116</v>
      </c>
      <c r="Q260" s="49">
        <v>12600</v>
      </c>
      <c r="R260" s="52"/>
      <c r="S260" s="39" t="s">
        <v>129</v>
      </c>
      <c r="T260" s="53">
        <v>0.1</v>
      </c>
      <c r="U260" s="53">
        <v>0.05</v>
      </c>
      <c r="V260" s="54">
        <v>69768</v>
      </c>
      <c r="W260" s="37" t="s">
        <v>155</v>
      </c>
      <c r="X260" s="54">
        <f>IF(NOTA[[#This Row],[HARGA/ CTN]]="",NOTA[[#This Row],[JUMLAH_H]],NOTA[[#This Row],[HARGA/ CTN]]*IF(NOTA[[#This Row],[C]]="",0,NOTA[[#This Row],[C]]))</f>
        <v>25200</v>
      </c>
      <c r="Y260" s="54">
        <f>IF(NOTA[[#This Row],[JUMLAH]]="","",NOTA[[#This Row],[JUMLAH]]*NOTA[[#This Row],[DISC 1]])</f>
        <v>2520</v>
      </c>
      <c r="Z260" s="54">
        <f>IF(NOTA[[#This Row],[JUMLAH]]="","",(NOTA[[#This Row],[JUMLAH]]-NOTA[[#This Row],[DISC 1-]])*NOTA[[#This Row],[DISC 2]])</f>
        <v>1134</v>
      </c>
      <c r="AA260" s="54">
        <f>IF(NOTA[[#This Row],[JUMLAH]]="","",NOTA[[#This Row],[DISC 1-]]+NOTA[[#This Row],[DISC 2-]])</f>
        <v>3654</v>
      </c>
      <c r="AB260" s="54">
        <f>IF(NOTA[[#This Row],[JUMLAH]]="","",NOTA[[#This Row],[JUMLAH]]-NOTA[[#This Row],[DISC]])</f>
        <v>21546</v>
      </c>
      <c r="AC2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1954083.75</v>
      </c>
      <c r="AD2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9223716.25</v>
      </c>
      <c r="AE260" s="49">
        <f>IF(NOTA[[#This Row],[NAMA BARANG]]="","",IF(NOTA[[#This Row],[JUMLAH_H]]="",NOTA[[#This Row],[HARGA/ CTN]],NOTA[[#This Row],[QTY]]*NOTA[[#This Row],[HARGA SATUAN]]/IF(ISNUMBER(NOTA[[#This Row],[C]]),NOTA[[#This Row],[C]],1)))</f>
        <v>25200</v>
      </c>
      <c r="AF260" s="54">
        <f>IF(OR(NOTA[[#This Row],[QTY]]="",NOTA[[#This Row],[HARGA SATUAN]]="",),"",NOTA[[#This Row],[QTY]]*NOTA[[#This Row],[HARGA SATUAN]])</f>
        <v>25200</v>
      </c>
      <c r="AG260" s="51">
        <f ca="1">IF(NOTA[ID_H]="","",INDEX(NOTA[TANGGAL],MATCH(,INDIRECT(ADDRESS(ROW(NOTA[TANGGAL]),COLUMN(NOTA[TANGGAL]))&amp;":"&amp;ADDRESS(ROW(),COLUMN(NOTA[TANGGAL]))),-1)))</f>
        <v>44937</v>
      </c>
      <c r="AH260" s="65" t="str">
        <f ca="1">IF(NOTA[[#This Row],[NAMA BARANG]]="","",INDEX(NOTA[SUPPLIER],MATCH(,INDIRECT(ADDRESS(ROW(NOTA[ID]),COLUMN(NOTA[ID]))&amp;":"&amp;ADDRESS(ROW(),COLUMN(NOTA[ID]))),-1)))</f>
        <v>ATALI MAKMUR</v>
      </c>
      <c r="AI260" s="65" t="str">
        <f ca="1">IF(NOTA[[#This Row],[ID_H]]="","",IF(NOTA[[#This Row],[FAKTUR]]="",INDIRECT(ADDRESS(ROW()-1,COLUMN())),NOTA[[#This Row],[FAKTUR]]))</f>
        <v>ARTO MORO</v>
      </c>
      <c r="AJ260" s="38" t="str">
        <f ca="1">IF(NOTA[[#This Row],[ID]]="","",COUNTIF(NOTA[ID_H],NOTA[[#This Row],[ID_H]]))</f>
        <v/>
      </c>
      <c r="AK260" s="38">
        <f ca="1">IF(NOTA[[#This Row],[TGL.NOTA]]="",IF(NOTA[[#This Row],[SUPPLIER_H]]="","",AK259),MONTH(NOTA[[#This Row],[TGL.NOTA]]))</f>
        <v>1</v>
      </c>
      <c r="AL260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260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N260" s="184">
        <f>IF(NOTA[[#This Row],[CONCAT1]]="","",MATCH(NOTA[[#This Row],[CONCAT1]],[1]!db[NB NOTA_C],0)+1)</f>
        <v>76</v>
      </c>
    </row>
    <row r="261" spans="1:40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Row],[CEK_EXP]]&lt;D260,"err","")</f>
        <v/>
      </c>
      <c r="D261" s="50">
        <f>IF(NOTA[[#This Row],[TANGGAL]]="",D260,NOTA[[#This Row],[TANGGAL]])</f>
        <v>44937</v>
      </c>
      <c r="E261" s="50" t="str">
        <f ca="1">IF(NOTA[[#This Row],[NAMA BARANG]]="","",INDEX(NOTA[ID],MATCH(,INDIRECT(ADDRESS(ROW(NOTA[ID]),COLUMN(NOTA[ID]))&amp;":"&amp;ADDRESS(ROW(),COLUMN(NOTA[ID]))),-1)))</f>
        <v/>
      </c>
      <c r="F261" s="23"/>
      <c r="G261" s="26"/>
      <c r="H261" s="26"/>
      <c r="I261" s="31"/>
      <c r="J261" s="26"/>
      <c r="K261" s="51"/>
      <c r="L261" s="26"/>
      <c r="M261" s="26"/>
      <c r="N261" s="39"/>
      <c r="O261" s="26"/>
      <c r="P261" s="26"/>
      <c r="Q261" s="49"/>
      <c r="R261" s="52"/>
      <c r="S261" s="39"/>
      <c r="T261" s="53"/>
      <c r="U261" s="53"/>
      <c r="V261" s="54"/>
      <c r="W261" s="37"/>
      <c r="X261" s="54" t="str">
        <f>IF(NOTA[[#This Row],[HARGA/ CTN]]="",NOTA[[#This Row],[JUMLAH_H]],NOTA[[#This Row],[HARGA/ CTN]]*IF(NOTA[[#This Row],[C]]="",0,NOTA[[#This Row],[C]]))</f>
        <v/>
      </c>
      <c r="Y261" s="54" t="str">
        <f>IF(NOTA[[#This Row],[JUMLAH]]="","",NOTA[[#This Row],[JUMLAH]]*NOTA[[#This Row],[DISC 1]])</f>
        <v/>
      </c>
      <c r="Z261" s="54" t="str">
        <f>IF(NOTA[[#This Row],[JUMLAH]]="","",(NOTA[[#This Row],[JUMLAH]]-NOTA[[#This Row],[DISC 1-]])*NOTA[[#This Row],[DISC 2]])</f>
        <v/>
      </c>
      <c r="AA261" s="54" t="str">
        <f>IF(NOTA[[#This Row],[JUMLAH]]="","",NOTA[[#This Row],[DISC 1-]]+NOTA[[#This Row],[DISC 2-]])</f>
        <v/>
      </c>
      <c r="AB261" s="54" t="str">
        <f>IF(NOTA[[#This Row],[JUMLAH]]="","",NOTA[[#This Row],[JUMLAH]]-NOTA[[#This Row],[DISC]])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54" t="str">
        <f>IF(OR(NOTA[[#This Row],[QTY]]="",NOTA[[#This Row],[HARGA SATUAN]]="",),"",NOTA[[#This Row],[QTY]]*NOTA[[#This Row],[HARGA SATUAN]])</f>
        <v/>
      </c>
      <c r="AG261" s="51" t="str">
        <f ca="1">IF(NOTA[ID_H]="","",INDEX(NOTA[TANGGAL],MATCH(,INDIRECT(ADDRESS(ROW(NOTA[TANGGAL]),COLUMN(NOTA[TANGGAL]))&amp;":"&amp;ADDRESS(ROW(),COLUMN(NOTA[TANGGAL]))),-1)))</f>
        <v/>
      </c>
      <c r="AH261" s="65" t="str">
        <f ca="1">IF(NOTA[[#This Row],[NAMA BARANG]]="","",INDEX(NOTA[SUPPLIER],MATCH(,INDIRECT(ADDRESS(ROW(NOTA[ID]),COLUMN(NOTA[ID]))&amp;":"&amp;ADDRESS(ROW(),COLUMN(NOTA[ID]))),-1)))</f>
        <v/>
      </c>
      <c r="AI261" s="65" t="str">
        <f ca="1">IF(NOTA[[#This Row],[ID_H]]="","",IF(NOTA[[#This Row],[FAKTUR]]="",INDIRECT(ADDRESS(ROW()-1,COLUMN())),NOTA[[#This Row],[FAKTUR]]))</f>
        <v/>
      </c>
      <c r="AJ261" s="38" t="str">
        <f ca="1">IF(NOTA[[#This Row],[ID]]="","",COUNTIF(NOTA[ID_H],NOTA[[#This Row],[ID_H]]))</f>
        <v/>
      </c>
      <c r="AK261" s="38" t="str">
        <f ca="1">IF(NOTA[[#This Row],[TGL.NOTA]]="",IF(NOTA[[#This Row],[SUPPLIER_H]]="","",AK260),MONTH(NOTA[[#This Row],[TGL.NOTA]]))</f>
        <v/>
      </c>
      <c r="AL261" s="38" t="str">
        <f>LOWER(SUBSTITUTE(SUBSTITUTE(SUBSTITUTE(SUBSTITUTE(SUBSTITUTE(SUBSTITUTE(SUBSTITUTE(SUBSTITUTE(SUBSTITUTE(NOTA[NAMA BARANG]," ",),".",""),"-",""),"(",""),")",""),",",""),"/",""),"""",""),"+",""))</f>
        <v/>
      </c>
      <c r="AM261" s="38" t="str">
        <f>IF(NOTA[C]="",NOTA[[#This Row],[CONCAT1]]&amp;NOTA[[#This Row],[HARGA SATUAN]],NOTA[[#This Row],[CONCAT1]]&amp;NOTA[[#This Row],[HARGA/ CTN_H]]&amp;NOTA[[#This Row],[DISC 1]]&amp;NOTA[[#This Row],[DISC 2]])</f>
        <v/>
      </c>
      <c r="AN261" s="184" t="str">
        <f>IF(NOTA[[#This Row],[CONCAT1]]="","",MATCH(NOTA[[#This Row],[CONCAT1]],[1]!db[NB NOTA_C],0)+1)</f>
        <v/>
      </c>
    </row>
    <row r="262" spans="1:40" ht="20.100000000000001" customHeight="1" x14ac:dyDescent="0.25">
      <c r="A262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ATA_1101_352-10</v>
      </c>
      <c r="C262" s="50" t="str">
        <f>IF(NOTA[[#This Row],[CEK_EXP]]&lt;D261,"err","")</f>
        <v/>
      </c>
      <c r="D262" s="50">
        <f>IF(NOTA[[#This Row],[TANGGAL]]="",D261,NOTA[[#This Row],[TANGGAL]])</f>
        <v>44937</v>
      </c>
      <c r="E262" s="50">
        <f ca="1">IF(NOTA[[#This Row],[NAMA BARANG]]="","",INDEX(NOTA[ID],MATCH(,INDIRECT(ADDRESS(ROW(NOTA[ID]),COLUMN(NOTA[ID]))&amp;":"&amp;ADDRESS(ROW(),COLUMN(NOTA[ID]))),-1)))</f>
        <v>53</v>
      </c>
      <c r="F262" s="23"/>
      <c r="G262" s="26" t="s">
        <v>25</v>
      </c>
      <c r="H262" s="26" t="s">
        <v>24</v>
      </c>
      <c r="I262" s="31" t="s">
        <v>425</v>
      </c>
      <c r="J262" s="26"/>
      <c r="K262" s="51">
        <v>44932</v>
      </c>
      <c r="L262" s="26"/>
      <c r="M262" s="26" t="s">
        <v>280</v>
      </c>
      <c r="N262" s="39">
        <v>2</v>
      </c>
      <c r="O262" s="26">
        <v>100</v>
      </c>
      <c r="P262" s="26" t="s">
        <v>131</v>
      </c>
      <c r="Q262" s="49">
        <v>34100</v>
      </c>
      <c r="R262" s="52"/>
      <c r="S262" s="39" t="s">
        <v>281</v>
      </c>
      <c r="T262" s="53">
        <v>0.125</v>
      </c>
      <c r="U262" s="53">
        <v>0.05</v>
      </c>
      <c r="V262" s="54"/>
      <c r="W262" s="37"/>
      <c r="X262" s="54">
        <f>IF(NOTA[[#This Row],[HARGA/ CTN]]="",NOTA[[#This Row],[JUMLAH_H]],NOTA[[#This Row],[HARGA/ CTN]]*IF(NOTA[[#This Row],[C]]="",0,NOTA[[#This Row],[C]]))</f>
        <v>3410000</v>
      </c>
      <c r="Y262" s="54">
        <f>IF(NOTA[[#This Row],[JUMLAH]]="","",NOTA[[#This Row],[JUMLAH]]*NOTA[[#This Row],[DISC 1]])</f>
        <v>426250</v>
      </c>
      <c r="Z262" s="54">
        <f>IF(NOTA[[#This Row],[JUMLAH]]="","",(NOTA[[#This Row],[JUMLAH]]-NOTA[[#This Row],[DISC 1-]])*NOTA[[#This Row],[DISC 2]])</f>
        <v>149187.5</v>
      </c>
      <c r="AA262" s="54">
        <f>IF(NOTA[[#This Row],[JUMLAH]]="","",NOTA[[#This Row],[DISC 1-]]+NOTA[[#This Row],[DISC 2-]])</f>
        <v>575437.5</v>
      </c>
      <c r="AB262" s="54">
        <f>IF(NOTA[[#This Row],[JUMLAH]]="","",NOTA[[#This Row],[JUMLAH]]-NOTA[[#This Row],[DISC]])</f>
        <v>2834562.5</v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62" s="54">
        <f>IF(OR(NOTA[[#This Row],[QTY]]="",NOTA[[#This Row],[HARGA SATUAN]]="",),"",NOTA[[#This Row],[QTY]]*NOTA[[#This Row],[HARGA SATUAN]])</f>
        <v>3410000</v>
      </c>
      <c r="AG262" s="51">
        <f ca="1">IF(NOTA[ID_H]="","",INDEX(NOTA[TANGGAL],MATCH(,INDIRECT(ADDRESS(ROW(NOTA[TANGGAL]),COLUMN(NOTA[TANGGAL]))&amp;":"&amp;ADDRESS(ROW(),COLUMN(NOTA[TANGGAL]))),-1)))</f>
        <v>44937</v>
      </c>
      <c r="AH262" s="65" t="str">
        <f ca="1">IF(NOTA[[#This Row],[NAMA BARANG]]="","",INDEX(NOTA[SUPPLIER],MATCH(,INDIRECT(ADDRESS(ROW(NOTA[ID]),COLUMN(NOTA[ID]))&amp;":"&amp;ADDRESS(ROW(),COLUMN(NOTA[ID]))),-1)))</f>
        <v>ATALI MAKMUR</v>
      </c>
      <c r="AI262" s="65" t="str">
        <f ca="1">IF(NOTA[[#This Row],[ID_H]]="","",IF(NOTA[[#This Row],[FAKTUR]]="",INDIRECT(ADDRESS(ROW()-1,COLUMN())),NOTA[[#This Row],[FAKTUR]]))</f>
        <v>ARTO MORO</v>
      </c>
      <c r="AJ262" s="38">
        <f ca="1">IF(NOTA[[#This Row],[ID]]="","",COUNTIF(NOTA[ID_H],NOTA[[#This Row],[ID_H]]))</f>
        <v>10</v>
      </c>
      <c r="AK262" s="38">
        <f>IF(NOTA[[#This Row],[TGL.NOTA]]="",IF(NOTA[[#This Row],[SUPPLIER_H]]="","",AK261),MONTH(NOTA[[#This Row],[TGL.NOTA]]))</f>
        <v>1</v>
      </c>
      <c r="AL262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262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262" s="184">
        <f>IF(NOTA[[#This Row],[CONCAT1]]="","",MATCH(NOTA[[#This Row],[CONCAT1]],[1]!db[NB NOTA_C],0)+1)</f>
        <v>678</v>
      </c>
    </row>
    <row r="263" spans="1:40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Row],[CEK_EXP]]&lt;D262,"err","")</f>
        <v/>
      </c>
      <c r="D263" s="50">
        <f>IF(NOTA[[#This Row],[TANGGAL]]="",D262,NOTA[[#This Row],[TANGGAL]])</f>
        <v>44937</v>
      </c>
      <c r="E263" s="50">
        <f ca="1">IF(NOTA[[#This Row],[NAMA BARANG]]="","",INDEX(NOTA[ID],MATCH(,INDIRECT(ADDRESS(ROW(NOTA[ID]),COLUMN(NOTA[ID]))&amp;":"&amp;ADDRESS(ROW(),COLUMN(NOTA[ID]))),-1)))</f>
        <v>53</v>
      </c>
      <c r="F263" s="23"/>
      <c r="G263" s="26"/>
      <c r="H263" s="26"/>
      <c r="I263" s="31"/>
      <c r="J263" s="26"/>
      <c r="K263" s="51"/>
      <c r="L263" s="26"/>
      <c r="M263" s="26" t="s">
        <v>278</v>
      </c>
      <c r="N263" s="39">
        <v>1</v>
      </c>
      <c r="O263" s="26">
        <v>50</v>
      </c>
      <c r="P263" s="26" t="s">
        <v>131</v>
      </c>
      <c r="Q263" s="49">
        <v>28300</v>
      </c>
      <c r="R263" s="52"/>
      <c r="S263" s="39" t="s">
        <v>279</v>
      </c>
      <c r="T263" s="53">
        <v>0.125</v>
      </c>
      <c r="U263" s="53">
        <v>0.05</v>
      </c>
      <c r="V263" s="54"/>
      <c r="W263" s="37"/>
      <c r="X263" s="54">
        <f>IF(NOTA[[#This Row],[HARGA/ CTN]]="",NOTA[[#This Row],[JUMLAH_H]],NOTA[[#This Row],[HARGA/ CTN]]*IF(NOTA[[#This Row],[C]]="",0,NOTA[[#This Row],[C]]))</f>
        <v>1415000</v>
      </c>
      <c r="Y263" s="54">
        <f>IF(NOTA[[#This Row],[JUMLAH]]="","",NOTA[[#This Row],[JUMLAH]]*NOTA[[#This Row],[DISC 1]])</f>
        <v>176875</v>
      </c>
      <c r="Z263" s="54">
        <f>IF(NOTA[[#This Row],[JUMLAH]]="","",(NOTA[[#This Row],[JUMLAH]]-NOTA[[#This Row],[DISC 1-]])*NOTA[[#This Row],[DISC 2]])</f>
        <v>61906.25</v>
      </c>
      <c r="AA263" s="54">
        <f>IF(NOTA[[#This Row],[JUMLAH]]="","",NOTA[[#This Row],[DISC 1-]]+NOTA[[#This Row],[DISC 2-]])</f>
        <v>238781.25</v>
      </c>
      <c r="AB263" s="54">
        <f>IF(NOTA[[#This Row],[JUMLAH]]="","",NOTA[[#This Row],[JUMLAH]]-NOTA[[#This Row],[DISC]])</f>
        <v>1176218.75</v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63" s="54">
        <f>IF(OR(NOTA[[#This Row],[QTY]]="",NOTA[[#This Row],[HARGA SATUAN]]="",),"",NOTA[[#This Row],[QTY]]*NOTA[[#This Row],[HARGA SATUAN]])</f>
        <v>1415000</v>
      </c>
      <c r="AG263" s="51">
        <f ca="1">IF(NOTA[ID_H]="","",INDEX(NOTA[TANGGAL],MATCH(,INDIRECT(ADDRESS(ROW(NOTA[TANGGAL]),COLUMN(NOTA[TANGGAL]))&amp;":"&amp;ADDRESS(ROW(),COLUMN(NOTA[TANGGAL]))),-1)))</f>
        <v>44937</v>
      </c>
      <c r="AH263" s="65" t="str">
        <f ca="1">IF(NOTA[[#This Row],[NAMA BARANG]]="","",INDEX(NOTA[SUPPLIER],MATCH(,INDIRECT(ADDRESS(ROW(NOTA[ID]),COLUMN(NOTA[ID]))&amp;":"&amp;ADDRESS(ROW(),COLUMN(NOTA[ID]))),-1)))</f>
        <v>ATALI MAKMUR</v>
      </c>
      <c r="AI263" s="65" t="str">
        <f ca="1">IF(NOTA[[#This Row],[ID_H]]="","",IF(NOTA[[#This Row],[FAKTUR]]="",INDIRECT(ADDRESS(ROW()-1,COLUMN())),NOTA[[#This Row],[FAKTUR]]))</f>
        <v>ARTO MORO</v>
      </c>
      <c r="AJ263" s="38" t="str">
        <f ca="1">IF(NOTA[[#This Row],[ID]]="","",COUNTIF(NOTA[ID_H],NOTA[[#This Row],[ID_H]]))</f>
        <v/>
      </c>
      <c r="AK263" s="38">
        <f ca="1">IF(NOTA[[#This Row],[TGL.NOTA]]="",IF(NOTA[[#This Row],[SUPPLIER_H]]="","",AK262),MONTH(NOTA[[#This Row],[TGL.NOTA]]))</f>
        <v>1</v>
      </c>
      <c r="AL26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263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263" s="184">
        <f>IF(NOTA[[#This Row],[CONCAT1]]="","",MATCH(NOTA[[#This Row],[CONCAT1]],[1]!db[NB NOTA_C],0)+1)</f>
        <v>680</v>
      </c>
    </row>
    <row r="264" spans="1:40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Row],[CEK_EXP]]&lt;D263,"err","")</f>
        <v/>
      </c>
      <c r="D264" s="50">
        <f>IF(NOTA[[#This Row],[TANGGAL]]="",D263,NOTA[[#This Row],[TANGGAL]])</f>
        <v>44937</v>
      </c>
      <c r="E264" s="50">
        <f ca="1">IF(NOTA[[#This Row],[NAMA BARANG]]="","",INDEX(NOTA[ID],MATCH(,INDIRECT(ADDRESS(ROW(NOTA[ID]),COLUMN(NOTA[ID]))&amp;":"&amp;ADDRESS(ROW(),COLUMN(NOTA[ID]))),-1)))</f>
        <v>53</v>
      </c>
      <c r="F264" s="23"/>
      <c r="G264" s="26"/>
      <c r="H264" s="26"/>
      <c r="I264" s="31"/>
      <c r="J264" s="26"/>
      <c r="K264" s="51"/>
      <c r="L264" s="26"/>
      <c r="M264" s="26" t="s">
        <v>426</v>
      </c>
      <c r="N264" s="39">
        <v>1</v>
      </c>
      <c r="O264" s="26">
        <v>72</v>
      </c>
      <c r="P264" s="26" t="s">
        <v>116</v>
      </c>
      <c r="Q264" s="49">
        <v>37200</v>
      </c>
      <c r="R264" s="52"/>
      <c r="S264" s="39" t="s">
        <v>427</v>
      </c>
      <c r="T264" s="53">
        <v>0.125</v>
      </c>
      <c r="U264" s="53">
        <v>0.05</v>
      </c>
      <c r="V264" s="54"/>
      <c r="W264" s="37"/>
      <c r="X264" s="54">
        <f>IF(NOTA[[#This Row],[HARGA/ CTN]]="",NOTA[[#This Row],[JUMLAH_H]],NOTA[[#This Row],[HARGA/ CTN]]*IF(NOTA[[#This Row],[C]]="",0,NOTA[[#This Row],[C]]))</f>
        <v>2678400</v>
      </c>
      <c r="Y264" s="54">
        <f>IF(NOTA[[#This Row],[JUMLAH]]="","",NOTA[[#This Row],[JUMLAH]]*NOTA[[#This Row],[DISC 1]])</f>
        <v>334800</v>
      </c>
      <c r="Z264" s="54">
        <f>IF(NOTA[[#This Row],[JUMLAH]]="","",(NOTA[[#This Row],[JUMLAH]]-NOTA[[#This Row],[DISC 1-]])*NOTA[[#This Row],[DISC 2]])</f>
        <v>117180</v>
      </c>
      <c r="AA264" s="54">
        <f>IF(NOTA[[#This Row],[JUMLAH]]="","",NOTA[[#This Row],[DISC 1-]]+NOTA[[#This Row],[DISC 2-]])</f>
        <v>451980</v>
      </c>
      <c r="AB264" s="54">
        <f>IF(NOTA[[#This Row],[JUMLAH]]="","",NOTA[[#This Row],[JUMLAH]]-NOTA[[#This Row],[DISC]])</f>
        <v>2226420</v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4" s="54">
        <f>IF(OR(NOTA[[#This Row],[QTY]]="",NOTA[[#This Row],[HARGA SATUAN]]="",),"",NOTA[[#This Row],[QTY]]*NOTA[[#This Row],[HARGA SATUAN]])</f>
        <v>2678400</v>
      </c>
      <c r="AG264" s="51">
        <f ca="1">IF(NOTA[ID_H]="","",INDEX(NOTA[TANGGAL],MATCH(,INDIRECT(ADDRESS(ROW(NOTA[TANGGAL]),COLUMN(NOTA[TANGGAL]))&amp;":"&amp;ADDRESS(ROW(),COLUMN(NOTA[TANGGAL]))),-1)))</f>
        <v>44937</v>
      </c>
      <c r="AH264" s="65" t="str">
        <f ca="1">IF(NOTA[[#This Row],[NAMA BARANG]]="","",INDEX(NOTA[SUPPLIER],MATCH(,INDIRECT(ADDRESS(ROW(NOTA[ID]),COLUMN(NOTA[ID]))&amp;":"&amp;ADDRESS(ROW(),COLUMN(NOTA[ID]))),-1)))</f>
        <v>ATALI MAKMUR</v>
      </c>
      <c r="AI264" s="65" t="str">
        <f ca="1">IF(NOTA[[#This Row],[ID_H]]="","",IF(NOTA[[#This Row],[FAKTUR]]="",INDIRECT(ADDRESS(ROW()-1,COLUMN())),NOTA[[#This Row],[FAKTUR]]))</f>
        <v>ARTO MORO</v>
      </c>
      <c r="AJ264" s="38" t="str">
        <f ca="1">IF(NOTA[[#This Row],[ID]]="","",COUNTIF(NOTA[ID_H],NOTA[[#This Row],[ID_H]]))</f>
        <v/>
      </c>
      <c r="AK264" s="38">
        <f ca="1">IF(NOTA[[#This Row],[TGL.NOTA]]="",IF(NOTA[[#This Row],[SUPPLIER_H]]="","",AK263),MONTH(NOTA[[#This Row],[TGL.NOTA]]))</f>
        <v>1</v>
      </c>
      <c r="AL264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264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N264" s="184">
        <f>IF(NOTA[[#This Row],[CONCAT1]]="","",MATCH(NOTA[[#This Row],[CONCAT1]],[1]!db[NB NOTA_C],0)+1)</f>
        <v>1762</v>
      </c>
    </row>
    <row r="265" spans="1:40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Row],[CEK_EXP]]&lt;D264,"err","")</f>
        <v/>
      </c>
      <c r="D265" s="50">
        <f>IF(NOTA[[#This Row],[TANGGAL]]="",D264,NOTA[[#This Row],[TANGGAL]])</f>
        <v>44937</v>
      </c>
      <c r="E265" s="50">
        <f ca="1">IF(NOTA[[#This Row],[NAMA BARANG]]="","",INDEX(NOTA[ID],MATCH(,INDIRECT(ADDRESS(ROW(NOTA[ID]),COLUMN(NOTA[ID]))&amp;":"&amp;ADDRESS(ROW(),COLUMN(NOTA[ID]))),-1)))</f>
        <v>53</v>
      </c>
      <c r="F265" s="23"/>
      <c r="G265" s="26"/>
      <c r="H265" s="26"/>
      <c r="I265" s="31"/>
      <c r="J265" s="26"/>
      <c r="K265" s="51"/>
      <c r="L265" s="26"/>
      <c r="M265" s="26" t="s">
        <v>270</v>
      </c>
      <c r="N265" s="39">
        <v>2</v>
      </c>
      <c r="O265" s="26">
        <v>288</v>
      </c>
      <c r="P265" s="26" t="s">
        <v>104</v>
      </c>
      <c r="Q265" s="49">
        <v>4350</v>
      </c>
      <c r="R265" s="52"/>
      <c r="S265" s="39" t="s">
        <v>271</v>
      </c>
      <c r="T265" s="53">
        <v>0.125</v>
      </c>
      <c r="U265" s="53">
        <v>0.05</v>
      </c>
      <c r="V265" s="54"/>
      <c r="W265" s="37"/>
      <c r="X265" s="54">
        <f>IF(NOTA[[#This Row],[HARGA/ CTN]]="",NOTA[[#This Row],[JUMLAH_H]],NOTA[[#This Row],[HARGA/ CTN]]*IF(NOTA[[#This Row],[C]]="",0,NOTA[[#This Row],[C]]))</f>
        <v>1252800</v>
      </c>
      <c r="Y265" s="54">
        <f>IF(NOTA[[#This Row],[JUMLAH]]="","",NOTA[[#This Row],[JUMLAH]]*NOTA[[#This Row],[DISC 1]])</f>
        <v>156600</v>
      </c>
      <c r="Z265" s="54">
        <f>IF(NOTA[[#This Row],[JUMLAH]]="","",(NOTA[[#This Row],[JUMLAH]]-NOTA[[#This Row],[DISC 1-]])*NOTA[[#This Row],[DISC 2]])</f>
        <v>54810</v>
      </c>
      <c r="AA265" s="54">
        <f>IF(NOTA[[#This Row],[JUMLAH]]="","",NOTA[[#This Row],[DISC 1-]]+NOTA[[#This Row],[DISC 2-]])</f>
        <v>211410</v>
      </c>
      <c r="AB265" s="54">
        <f>IF(NOTA[[#This Row],[JUMLAH]]="","",NOTA[[#This Row],[JUMLAH]]-NOTA[[#This Row],[DISC]])</f>
        <v>1041390</v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65" s="54">
        <f>IF(OR(NOTA[[#This Row],[QTY]]="",NOTA[[#This Row],[HARGA SATUAN]]="",),"",NOTA[[#This Row],[QTY]]*NOTA[[#This Row],[HARGA SATUAN]])</f>
        <v>1252800</v>
      </c>
      <c r="AG265" s="51">
        <f ca="1">IF(NOTA[ID_H]="","",INDEX(NOTA[TANGGAL],MATCH(,INDIRECT(ADDRESS(ROW(NOTA[TANGGAL]),COLUMN(NOTA[TANGGAL]))&amp;":"&amp;ADDRESS(ROW(),COLUMN(NOTA[TANGGAL]))),-1)))</f>
        <v>44937</v>
      </c>
      <c r="AH265" s="65" t="str">
        <f ca="1">IF(NOTA[[#This Row],[NAMA BARANG]]="","",INDEX(NOTA[SUPPLIER],MATCH(,INDIRECT(ADDRESS(ROW(NOTA[ID]),COLUMN(NOTA[ID]))&amp;":"&amp;ADDRESS(ROW(),COLUMN(NOTA[ID]))),-1)))</f>
        <v>ATALI MAKMUR</v>
      </c>
      <c r="AI265" s="65" t="str">
        <f ca="1">IF(NOTA[[#This Row],[ID_H]]="","",IF(NOTA[[#This Row],[FAKTUR]]="",INDIRECT(ADDRESS(ROW()-1,COLUMN())),NOTA[[#This Row],[FAKTUR]]))</f>
        <v>ARTO MORO</v>
      </c>
      <c r="AJ265" s="38" t="str">
        <f ca="1">IF(NOTA[[#This Row],[ID]]="","",COUNTIF(NOTA[ID_H],NOTA[[#This Row],[ID_H]]))</f>
        <v/>
      </c>
      <c r="AK265" s="38">
        <f ca="1">IF(NOTA[[#This Row],[TGL.NOTA]]="",IF(NOTA[[#This Row],[SUPPLIER_H]]="","",AK264),MONTH(NOTA[[#This Row],[TGL.NOTA]]))</f>
        <v>1</v>
      </c>
      <c r="AL265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M265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N265" s="184">
        <f>IF(NOTA[[#This Row],[CONCAT1]]="","",MATCH(NOTA[[#This Row],[CONCAT1]],[1]!db[NB NOTA_C],0)+1)</f>
        <v>1920</v>
      </c>
    </row>
    <row r="266" spans="1:40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Row],[CEK_EXP]]&lt;D265,"err","")</f>
        <v/>
      </c>
      <c r="D266" s="50">
        <f>IF(NOTA[[#This Row],[TANGGAL]]="",D265,NOTA[[#This Row],[TANGGAL]])</f>
        <v>44937</v>
      </c>
      <c r="E266" s="50">
        <f ca="1">IF(NOTA[[#This Row],[NAMA BARANG]]="","",INDEX(NOTA[ID],MATCH(,INDIRECT(ADDRESS(ROW(NOTA[ID]),COLUMN(NOTA[ID]))&amp;":"&amp;ADDRESS(ROW(),COLUMN(NOTA[ID]))),-1)))</f>
        <v>53</v>
      </c>
      <c r="F266" s="23"/>
      <c r="G266" s="26"/>
      <c r="H266" s="26"/>
      <c r="I266" s="31"/>
      <c r="J266" s="26"/>
      <c r="K266" s="51"/>
      <c r="L266" s="26"/>
      <c r="M266" s="26" t="s">
        <v>428</v>
      </c>
      <c r="N266" s="39">
        <v>2</v>
      </c>
      <c r="O266" s="26">
        <v>60</v>
      </c>
      <c r="P266" s="26" t="s">
        <v>274</v>
      </c>
      <c r="Q266" s="49">
        <v>104400</v>
      </c>
      <c r="R266" s="52"/>
      <c r="S266" s="39" t="s">
        <v>370</v>
      </c>
      <c r="T266" s="53">
        <v>0.125</v>
      </c>
      <c r="U266" s="53">
        <v>0.05</v>
      </c>
      <c r="V266" s="54"/>
      <c r="W266" s="37"/>
      <c r="X266" s="54">
        <f>IF(NOTA[[#This Row],[HARGA/ CTN]]="",NOTA[[#This Row],[JUMLAH_H]],NOTA[[#This Row],[HARGA/ CTN]]*IF(NOTA[[#This Row],[C]]="",0,NOTA[[#This Row],[C]]))</f>
        <v>6264000</v>
      </c>
      <c r="Y266" s="54">
        <f>IF(NOTA[[#This Row],[JUMLAH]]="","",NOTA[[#This Row],[JUMLAH]]*NOTA[[#This Row],[DISC 1]])</f>
        <v>783000</v>
      </c>
      <c r="Z266" s="54">
        <f>IF(NOTA[[#This Row],[JUMLAH]]="","",(NOTA[[#This Row],[JUMLAH]]-NOTA[[#This Row],[DISC 1-]])*NOTA[[#This Row],[DISC 2]])</f>
        <v>274050</v>
      </c>
      <c r="AA266" s="54">
        <f>IF(NOTA[[#This Row],[JUMLAH]]="","",NOTA[[#This Row],[DISC 1-]]+NOTA[[#This Row],[DISC 2-]])</f>
        <v>1057050</v>
      </c>
      <c r="AB266" s="54">
        <f>IF(NOTA[[#This Row],[JUMLAH]]="","",NOTA[[#This Row],[JUMLAH]]-NOTA[[#This Row],[DISC]])</f>
        <v>5206950</v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66" s="54">
        <f>IF(OR(NOTA[[#This Row],[QTY]]="",NOTA[[#This Row],[HARGA SATUAN]]="",),"",NOTA[[#This Row],[QTY]]*NOTA[[#This Row],[HARGA SATUAN]])</f>
        <v>6264000</v>
      </c>
      <c r="AG266" s="51">
        <f ca="1">IF(NOTA[ID_H]="","",INDEX(NOTA[TANGGAL],MATCH(,INDIRECT(ADDRESS(ROW(NOTA[TANGGAL]),COLUMN(NOTA[TANGGAL]))&amp;":"&amp;ADDRESS(ROW(),COLUMN(NOTA[TANGGAL]))),-1)))</f>
        <v>44937</v>
      </c>
      <c r="AH266" s="65" t="str">
        <f ca="1">IF(NOTA[[#This Row],[NAMA BARANG]]="","",INDEX(NOTA[SUPPLIER],MATCH(,INDIRECT(ADDRESS(ROW(NOTA[ID]),COLUMN(NOTA[ID]))&amp;":"&amp;ADDRESS(ROW(),COLUMN(NOTA[ID]))),-1)))</f>
        <v>ATALI MAKMUR</v>
      </c>
      <c r="AI266" s="65" t="str">
        <f ca="1">IF(NOTA[[#This Row],[ID_H]]="","",IF(NOTA[[#This Row],[FAKTUR]]="",INDIRECT(ADDRESS(ROW()-1,COLUMN())),NOTA[[#This Row],[FAKTUR]]))</f>
        <v>ARTO MORO</v>
      </c>
      <c r="AJ266" s="38" t="str">
        <f ca="1">IF(NOTA[[#This Row],[ID]]="","",COUNTIF(NOTA[ID_H],NOTA[[#This Row],[ID_H]]))</f>
        <v/>
      </c>
      <c r="AK266" s="38">
        <f ca="1">IF(NOTA[[#This Row],[TGL.NOTA]]="",IF(NOTA[[#This Row],[SUPPLIER_H]]="","",AK265),MONTH(NOTA[[#This Row],[TGL.NOTA]]))</f>
        <v>1</v>
      </c>
      <c r="AL26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266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N266" s="184">
        <f>IF(NOTA[[#This Row],[CONCAT1]]="","",MATCH(NOTA[[#This Row],[CONCAT1]],[1]!db[NB NOTA_C],0)+1)</f>
        <v>1765</v>
      </c>
    </row>
    <row r="267" spans="1:40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Row],[CEK_EXP]]&lt;D266,"err","")</f>
        <v/>
      </c>
      <c r="D267" s="50">
        <f>IF(NOTA[[#This Row],[TANGGAL]]="",D266,NOTA[[#This Row],[TANGGAL]])</f>
        <v>44937</v>
      </c>
      <c r="E267" s="50">
        <f ca="1">IF(NOTA[[#This Row],[NAMA BARANG]]="","",INDEX(NOTA[ID],MATCH(,INDIRECT(ADDRESS(ROW(NOTA[ID]),COLUMN(NOTA[ID]))&amp;":"&amp;ADDRESS(ROW(),COLUMN(NOTA[ID]))),-1)))</f>
        <v>53</v>
      </c>
      <c r="F267" s="23"/>
      <c r="G267" s="26"/>
      <c r="H267" s="26"/>
      <c r="I267" s="31"/>
      <c r="J267" s="26"/>
      <c r="K267" s="51"/>
      <c r="L267" s="26"/>
      <c r="M267" s="26" t="s">
        <v>429</v>
      </c>
      <c r="N267" s="39">
        <v>1</v>
      </c>
      <c r="O267" s="26">
        <v>144</v>
      </c>
      <c r="P267" s="26" t="s">
        <v>128</v>
      </c>
      <c r="Q267" s="49">
        <v>23900</v>
      </c>
      <c r="R267" s="52"/>
      <c r="S267" s="39" t="s">
        <v>264</v>
      </c>
      <c r="T267" s="53">
        <v>0.125</v>
      </c>
      <c r="U267" s="53">
        <v>0.05</v>
      </c>
      <c r="V267" s="54"/>
      <c r="W267" s="37"/>
      <c r="X267" s="54">
        <f>IF(NOTA[[#This Row],[HARGA/ CTN]]="",NOTA[[#This Row],[JUMLAH_H]],NOTA[[#This Row],[HARGA/ CTN]]*IF(NOTA[[#This Row],[C]]="",0,NOTA[[#This Row],[C]]))</f>
        <v>3441600</v>
      </c>
      <c r="Y267" s="54">
        <f>IF(NOTA[[#This Row],[JUMLAH]]="","",NOTA[[#This Row],[JUMLAH]]*NOTA[[#This Row],[DISC 1]])</f>
        <v>430200</v>
      </c>
      <c r="Z267" s="54">
        <f>IF(NOTA[[#This Row],[JUMLAH]]="","",(NOTA[[#This Row],[JUMLAH]]-NOTA[[#This Row],[DISC 1-]])*NOTA[[#This Row],[DISC 2]])</f>
        <v>150570</v>
      </c>
      <c r="AA267" s="54">
        <f>IF(NOTA[[#This Row],[JUMLAH]]="","",NOTA[[#This Row],[DISC 1-]]+NOTA[[#This Row],[DISC 2-]])</f>
        <v>580770</v>
      </c>
      <c r="AB267" s="54">
        <f>IF(NOTA[[#This Row],[JUMLAH]]="","",NOTA[[#This Row],[JUMLAH]]-NOTA[[#This Row],[DISC]])</f>
        <v>2860830</v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67" s="54">
        <f>IF(OR(NOTA[[#This Row],[QTY]]="",NOTA[[#This Row],[HARGA SATUAN]]="",),"",NOTA[[#This Row],[QTY]]*NOTA[[#This Row],[HARGA SATUAN]])</f>
        <v>3441600</v>
      </c>
      <c r="AG267" s="51">
        <f ca="1">IF(NOTA[ID_H]="","",INDEX(NOTA[TANGGAL],MATCH(,INDIRECT(ADDRESS(ROW(NOTA[TANGGAL]),COLUMN(NOTA[TANGGAL]))&amp;":"&amp;ADDRESS(ROW(),COLUMN(NOTA[TANGGAL]))),-1)))</f>
        <v>44937</v>
      </c>
      <c r="AH267" s="65" t="str">
        <f ca="1">IF(NOTA[[#This Row],[NAMA BARANG]]="","",INDEX(NOTA[SUPPLIER],MATCH(,INDIRECT(ADDRESS(ROW(NOTA[ID]),COLUMN(NOTA[ID]))&amp;":"&amp;ADDRESS(ROW(),COLUMN(NOTA[ID]))),-1)))</f>
        <v>ATALI MAKMUR</v>
      </c>
      <c r="AI267" s="65" t="str">
        <f ca="1">IF(NOTA[[#This Row],[ID_H]]="","",IF(NOTA[[#This Row],[FAKTUR]]="",INDIRECT(ADDRESS(ROW()-1,COLUMN())),NOTA[[#This Row],[FAKTUR]]))</f>
        <v>ARTO MORO</v>
      </c>
      <c r="AJ267" s="38" t="str">
        <f ca="1">IF(NOTA[[#This Row],[ID]]="","",COUNTIF(NOTA[ID_H],NOTA[[#This Row],[ID_H]]))</f>
        <v/>
      </c>
      <c r="AK267" s="38">
        <f ca="1">IF(NOTA[[#This Row],[TGL.NOTA]]="",IF(NOTA[[#This Row],[SUPPLIER_H]]="","",AK266),MONTH(NOTA[[#This Row],[TGL.NOTA]]))</f>
        <v>1</v>
      </c>
      <c r="AL26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67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N267" s="184">
        <f>IF(NOTA[[#This Row],[CONCAT1]]="","",MATCH(NOTA[[#This Row],[CONCAT1]],[1]!db[NB NOTA_C],0)+1)</f>
        <v>553</v>
      </c>
    </row>
    <row r="268" spans="1:40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Row],[CEK_EXP]]&lt;D267,"err","")</f>
        <v/>
      </c>
      <c r="D268" s="50">
        <f>IF(NOTA[[#This Row],[TANGGAL]]="",D267,NOTA[[#This Row],[TANGGAL]])</f>
        <v>44937</v>
      </c>
      <c r="E268" s="50">
        <f ca="1">IF(NOTA[[#This Row],[NAMA BARANG]]="","",INDEX(NOTA[ID],MATCH(,INDIRECT(ADDRESS(ROW(NOTA[ID]),COLUMN(NOTA[ID]))&amp;":"&amp;ADDRESS(ROW(),COLUMN(NOTA[ID]))),-1)))</f>
        <v>53</v>
      </c>
      <c r="F268" s="23"/>
      <c r="G268" s="26"/>
      <c r="H268" s="26"/>
      <c r="I268" s="31"/>
      <c r="J268" s="26"/>
      <c r="K268" s="51"/>
      <c r="L268" s="26"/>
      <c r="M268" s="26" t="s">
        <v>263</v>
      </c>
      <c r="N268" s="39">
        <v>1</v>
      </c>
      <c r="O268" s="26">
        <v>144</v>
      </c>
      <c r="P268" s="26" t="s">
        <v>128</v>
      </c>
      <c r="Q268" s="49">
        <v>18600</v>
      </c>
      <c r="R268" s="52"/>
      <c r="S268" s="39" t="s">
        <v>264</v>
      </c>
      <c r="T268" s="53">
        <v>0.125</v>
      </c>
      <c r="U268" s="53">
        <v>0.05</v>
      </c>
      <c r="V268" s="54"/>
      <c r="W268" s="37"/>
      <c r="X268" s="54">
        <f>IF(NOTA[[#This Row],[HARGA/ CTN]]="",NOTA[[#This Row],[JUMLAH_H]],NOTA[[#This Row],[HARGA/ CTN]]*IF(NOTA[[#This Row],[C]]="",0,NOTA[[#This Row],[C]]))</f>
        <v>2678400</v>
      </c>
      <c r="Y268" s="54">
        <f>IF(NOTA[[#This Row],[JUMLAH]]="","",NOTA[[#This Row],[JUMLAH]]*NOTA[[#This Row],[DISC 1]])</f>
        <v>334800</v>
      </c>
      <c r="Z268" s="54">
        <f>IF(NOTA[[#This Row],[JUMLAH]]="","",(NOTA[[#This Row],[JUMLAH]]-NOTA[[#This Row],[DISC 1-]])*NOTA[[#This Row],[DISC 2]])</f>
        <v>117180</v>
      </c>
      <c r="AA268" s="54">
        <f>IF(NOTA[[#This Row],[JUMLAH]]="","",NOTA[[#This Row],[DISC 1-]]+NOTA[[#This Row],[DISC 2-]])</f>
        <v>451980</v>
      </c>
      <c r="AB268" s="54">
        <f>IF(NOTA[[#This Row],[JUMLAH]]="","",NOTA[[#This Row],[JUMLAH]]-NOTA[[#This Row],[DISC]])</f>
        <v>2226420</v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8" s="54">
        <f>IF(OR(NOTA[[#This Row],[QTY]]="",NOTA[[#This Row],[HARGA SATUAN]]="",),"",NOTA[[#This Row],[QTY]]*NOTA[[#This Row],[HARGA SATUAN]])</f>
        <v>2678400</v>
      </c>
      <c r="AG268" s="51">
        <f ca="1">IF(NOTA[ID_H]="","",INDEX(NOTA[TANGGAL],MATCH(,INDIRECT(ADDRESS(ROW(NOTA[TANGGAL]),COLUMN(NOTA[TANGGAL]))&amp;":"&amp;ADDRESS(ROW(),COLUMN(NOTA[TANGGAL]))),-1)))</f>
        <v>44937</v>
      </c>
      <c r="AH268" s="65" t="str">
        <f ca="1">IF(NOTA[[#This Row],[NAMA BARANG]]="","",INDEX(NOTA[SUPPLIER],MATCH(,INDIRECT(ADDRESS(ROW(NOTA[ID]),COLUMN(NOTA[ID]))&amp;":"&amp;ADDRESS(ROW(),COLUMN(NOTA[ID]))),-1)))</f>
        <v>ATALI MAKMUR</v>
      </c>
      <c r="AI268" s="65" t="str">
        <f ca="1">IF(NOTA[[#This Row],[ID_H]]="","",IF(NOTA[[#This Row],[FAKTUR]]="",INDIRECT(ADDRESS(ROW()-1,COLUMN())),NOTA[[#This Row],[FAKTUR]]))</f>
        <v>ARTO MORO</v>
      </c>
      <c r="AJ268" s="38" t="str">
        <f ca="1">IF(NOTA[[#This Row],[ID]]="","",COUNTIF(NOTA[ID_H],NOTA[[#This Row],[ID_H]]))</f>
        <v/>
      </c>
      <c r="AK268" s="38">
        <f ca="1">IF(NOTA[[#This Row],[TGL.NOTA]]="",IF(NOTA[[#This Row],[SUPPLIER_H]]="","",AK267),MONTH(NOTA[[#This Row],[TGL.NOTA]]))</f>
        <v>1</v>
      </c>
      <c r="AL26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268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N268" s="184">
        <f>IF(NOTA[[#This Row],[CONCAT1]]="","",MATCH(NOTA[[#This Row],[CONCAT1]],[1]!db[NB NOTA_C],0)+1)</f>
        <v>552</v>
      </c>
    </row>
    <row r="269" spans="1:40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Row],[CEK_EXP]]&lt;D268,"err","")</f>
        <v/>
      </c>
      <c r="D269" s="50">
        <f>IF(NOTA[[#This Row],[TANGGAL]]="",D268,NOTA[[#This Row],[TANGGAL]])</f>
        <v>44937</v>
      </c>
      <c r="E269" s="50">
        <f ca="1">IF(NOTA[[#This Row],[NAMA BARANG]]="","",INDEX(NOTA[ID],MATCH(,INDIRECT(ADDRESS(ROW(NOTA[ID]),COLUMN(NOTA[ID]))&amp;":"&amp;ADDRESS(ROW(),COLUMN(NOTA[ID]))),-1)))</f>
        <v>53</v>
      </c>
      <c r="F269" s="23"/>
      <c r="G269" s="26"/>
      <c r="H269" s="26"/>
      <c r="I269" s="31"/>
      <c r="J269" s="26"/>
      <c r="K269" s="51"/>
      <c r="L269" s="26"/>
      <c r="M269" s="26" t="s">
        <v>430</v>
      </c>
      <c r="N269" s="39">
        <v>1</v>
      </c>
      <c r="O269" s="26">
        <v>144</v>
      </c>
      <c r="P269" s="26" t="s">
        <v>128</v>
      </c>
      <c r="Q269" s="49">
        <v>11900</v>
      </c>
      <c r="R269" s="52"/>
      <c r="S269" s="39" t="s">
        <v>264</v>
      </c>
      <c r="T269" s="53">
        <v>0.125</v>
      </c>
      <c r="U269" s="53">
        <v>0.05</v>
      </c>
      <c r="V269" s="54"/>
      <c r="W269" s="37"/>
      <c r="X269" s="54">
        <f>IF(NOTA[[#This Row],[HARGA/ CTN]]="",NOTA[[#This Row],[JUMLAH_H]],NOTA[[#This Row],[HARGA/ CTN]]*IF(NOTA[[#This Row],[C]]="",0,NOTA[[#This Row],[C]]))</f>
        <v>1713600</v>
      </c>
      <c r="Y269" s="54">
        <f>IF(NOTA[[#This Row],[JUMLAH]]="","",NOTA[[#This Row],[JUMLAH]]*NOTA[[#This Row],[DISC 1]])</f>
        <v>214200</v>
      </c>
      <c r="Z269" s="54">
        <f>IF(NOTA[[#This Row],[JUMLAH]]="","",(NOTA[[#This Row],[JUMLAH]]-NOTA[[#This Row],[DISC 1-]])*NOTA[[#This Row],[DISC 2]])</f>
        <v>74970</v>
      </c>
      <c r="AA269" s="54">
        <f>IF(NOTA[[#This Row],[JUMLAH]]="","",NOTA[[#This Row],[DISC 1-]]+NOTA[[#This Row],[DISC 2-]])</f>
        <v>289170</v>
      </c>
      <c r="AB269" s="54">
        <f>IF(NOTA[[#This Row],[JUMLAH]]="","",NOTA[[#This Row],[JUMLAH]]-NOTA[[#This Row],[DISC]])</f>
        <v>1424430</v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69" s="54">
        <f>IF(OR(NOTA[[#This Row],[QTY]]="",NOTA[[#This Row],[HARGA SATUAN]]="",),"",NOTA[[#This Row],[QTY]]*NOTA[[#This Row],[HARGA SATUAN]])</f>
        <v>1713600</v>
      </c>
      <c r="AG269" s="51">
        <f ca="1">IF(NOTA[ID_H]="","",INDEX(NOTA[TANGGAL],MATCH(,INDIRECT(ADDRESS(ROW(NOTA[TANGGAL]),COLUMN(NOTA[TANGGAL]))&amp;":"&amp;ADDRESS(ROW(),COLUMN(NOTA[TANGGAL]))),-1)))</f>
        <v>44937</v>
      </c>
      <c r="AH269" s="65" t="str">
        <f ca="1">IF(NOTA[[#This Row],[NAMA BARANG]]="","",INDEX(NOTA[SUPPLIER],MATCH(,INDIRECT(ADDRESS(ROW(NOTA[ID]),COLUMN(NOTA[ID]))&amp;":"&amp;ADDRESS(ROW(),COLUMN(NOTA[ID]))),-1)))</f>
        <v>ATALI MAKMUR</v>
      </c>
      <c r="AI269" s="65" t="str">
        <f ca="1">IF(NOTA[[#This Row],[ID_H]]="","",IF(NOTA[[#This Row],[FAKTUR]]="",INDIRECT(ADDRESS(ROW()-1,COLUMN())),NOTA[[#This Row],[FAKTUR]]))</f>
        <v>ARTO MORO</v>
      </c>
      <c r="AJ269" s="38" t="str">
        <f ca="1">IF(NOTA[[#This Row],[ID]]="","",COUNTIF(NOTA[ID_H],NOTA[[#This Row],[ID_H]]))</f>
        <v/>
      </c>
      <c r="AK269" s="38">
        <f ca="1">IF(NOTA[[#This Row],[TGL.NOTA]]="",IF(NOTA[[#This Row],[SUPPLIER_H]]="","",AK268),MONTH(NOTA[[#This Row],[TGL.NOTA]]))</f>
        <v>1</v>
      </c>
      <c r="AL269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69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N269" s="184">
        <f>IF(NOTA[[#This Row],[CONCAT1]]="","",MATCH(NOTA[[#This Row],[CONCAT1]],[1]!db[NB NOTA_C],0)+1)</f>
        <v>1559</v>
      </c>
    </row>
    <row r="270" spans="1:40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Row],[CEK_EXP]]&lt;D269,"err","")</f>
        <v/>
      </c>
      <c r="D270" s="50">
        <f>IF(NOTA[[#This Row],[TANGGAL]]="",D269,NOTA[[#This Row],[TANGGAL]])</f>
        <v>44937</v>
      </c>
      <c r="E270" s="50">
        <f ca="1">IF(NOTA[[#This Row],[NAMA BARANG]]="","",INDEX(NOTA[ID],MATCH(,INDIRECT(ADDRESS(ROW(NOTA[ID]),COLUMN(NOTA[ID]))&amp;":"&amp;ADDRESS(ROW(),COLUMN(NOTA[ID]))),-1)))</f>
        <v>53</v>
      </c>
      <c r="F270" s="23"/>
      <c r="G270" s="26"/>
      <c r="H270" s="26"/>
      <c r="I270" s="31"/>
      <c r="J270" s="26"/>
      <c r="K270" s="51"/>
      <c r="L270" s="26"/>
      <c r="M270" s="26" t="s">
        <v>431</v>
      </c>
      <c r="N270" s="39">
        <v>1</v>
      </c>
      <c r="O270" s="26">
        <v>144</v>
      </c>
      <c r="P270" s="26" t="s">
        <v>128</v>
      </c>
      <c r="Q270" s="49">
        <v>9000</v>
      </c>
      <c r="R270" s="52"/>
      <c r="S270" s="39" t="s">
        <v>432</v>
      </c>
      <c r="T270" s="53">
        <v>0.125</v>
      </c>
      <c r="U270" s="53">
        <v>0.05</v>
      </c>
      <c r="V270" s="54"/>
      <c r="W270" s="37"/>
      <c r="X270" s="54">
        <f>IF(NOTA[[#This Row],[HARGA/ CTN]]="",NOTA[[#This Row],[JUMLAH_H]],NOTA[[#This Row],[HARGA/ CTN]]*IF(NOTA[[#This Row],[C]]="",0,NOTA[[#This Row],[C]]))</f>
        <v>1296000</v>
      </c>
      <c r="Y270" s="54">
        <f>IF(NOTA[[#This Row],[JUMLAH]]="","",NOTA[[#This Row],[JUMLAH]]*NOTA[[#This Row],[DISC 1]])</f>
        <v>162000</v>
      </c>
      <c r="Z270" s="54">
        <f>IF(NOTA[[#This Row],[JUMLAH]]="","",(NOTA[[#This Row],[JUMLAH]]-NOTA[[#This Row],[DISC 1-]])*NOTA[[#This Row],[DISC 2]])</f>
        <v>56700</v>
      </c>
      <c r="AA270" s="54">
        <f>IF(NOTA[[#This Row],[JUMLAH]]="","",NOTA[[#This Row],[DISC 1-]]+NOTA[[#This Row],[DISC 2-]])</f>
        <v>218700</v>
      </c>
      <c r="AB270" s="54">
        <f>IF(NOTA[[#This Row],[JUMLAH]]="","",NOTA[[#This Row],[JUMLAH]]-NOTA[[#This Row],[DISC]])</f>
        <v>1077300</v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270" s="54">
        <f>IF(OR(NOTA[[#This Row],[QTY]]="",NOTA[[#This Row],[HARGA SATUAN]]="",),"",NOTA[[#This Row],[QTY]]*NOTA[[#This Row],[HARGA SATUAN]])</f>
        <v>1296000</v>
      </c>
      <c r="AG270" s="51">
        <f ca="1">IF(NOTA[ID_H]="","",INDEX(NOTA[TANGGAL],MATCH(,INDIRECT(ADDRESS(ROW(NOTA[TANGGAL]),COLUMN(NOTA[TANGGAL]))&amp;":"&amp;ADDRESS(ROW(),COLUMN(NOTA[TANGGAL]))),-1)))</f>
        <v>44937</v>
      </c>
      <c r="AH270" s="65" t="str">
        <f ca="1">IF(NOTA[[#This Row],[NAMA BARANG]]="","",INDEX(NOTA[SUPPLIER],MATCH(,INDIRECT(ADDRESS(ROW(NOTA[ID]),COLUMN(NOTA[ID]))&amp;":"&amp;ADDRESS(ROW(),COLUMN(NOTA[ID]))),-1)))</f>
        <v>ATALI MAKMUR</v>
      </c>
      <c r="AI270" s="65" t="str">
        <f ca="1">IF(NOTA[[#This Row],[ID_H]]="","",IF(NOTA[[#This Row],[FAKTUR]]="",INDIRECT(ADDRESS(ROW()-1,COLUMN())),NOTA[[#This Row],[FAKTUR]]))</f>
        <v>ARTO MORO</v>
      </c>
      <c r="AJ270" s="38" t="str">
        <f ca="1">IF(NOTA[[#This Row],[ID]]="","",COUNTIF(NOTA[ID_H],NOTA[[#This Row],[ID_H]]))</f>
        <v/>
      </c>
      <c r="AK270" s="38">
        <f ca="1">IF(NOTA[[#This Row],[TGL.NOTA]]="",IF(NOTA[[#This Row],[SUPPLIER_H]]="","",AK269),MONTH(NOTA[[#This Row],[TGL.NOTA]]))</f>
        <v>1</v>
      </c>
      <c r="AL270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270" s="38" t="str">
        <f>IF(NOTA[C]="",NOTA[[#This Row],[CONCAT1]]&amp;NOTA[[#This Row],[HARGA SATUAN]],NOTA[[#This Row],[CONCAT1]]&amp;NOTA[[#This Row],[HARGA/ CTN_H]]&amp;NOTA[[#This Row],[DISC 1]]&amp;NOTA[[#This Row],[DISC 2]])</f>
        <v>oilpastelop12crroundjk12960000.1250.05</v>
      </c>
      <c r="AN270" s="184">
        <f>IF(NOTA[[#This Row],[CONCAT1]]="","",MATCH(NOTA[[#This Row],[CONCAT1]],[1]!db[NB NOTA_C],0)+1)</f>
        <v>1558</v>
      </c>
    </row>
    <row r="271" spans="1:40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Row],[CEK_EXP]]&lt;D270,"err","")</f>
        <v/>
      </c>
      <c r="D271" s="50">
        <f>IF(NOTA[[#This Row],[TANGGAL]]="",D270,NOTA[[#This Row],[TANGGAL]])</f>
        <v>44937</v>
      </c>
      <c r="E271" s="50">
        <f ca="1">IF(NOTA[[#This Row],[NAMA BARANG]]="","",INDEX(NOTA[ID],MATCH(,INDIRECT(ADDRESS(ROW(NOTA[ID]),COLUMN(NOTA[ID]))&amp;":"&amp;ADDRESS(ROW(),COLUMN(NOTA[ID]))),-1)))</f>
        <v>53</v>
      </c>
      <c r="F271" s="23"/>
      <c r="G271" s="26"/>
      <c r="H271" s="26"/>
      <c r="I271" s="31"/>
      <c r="J271" s="26"/>
      <c r="K271" s="51"/>
      <c r="L271" s="26"/>
      <c r="M271" s="26" t="s">
        <v>137</v>
      </c>
      <c r="N271" s="39"/>
      <c r="O271" s="26">
        <v>4</v>
      </c>
      <c r="P271" s="26" t="s">
        <v>116</v>
      </c>
      <c r="Q271" s="49">
        <v>12600</v>
      </c>
      <c r="R271" s="52"/>
      <c r="S271" s="39" t="s">
        <v>129</v>
      </c>
      <c r="T271" s="53">
        <v>0.1</v>
      </c>
      <c r="U271" s="53">
        <v>0.05</v>
      </c>
      <c r="V271" s="54">
        <v>43092</v>
      </c>
      <c r="W271" s="37" t="s">
        <v>155</v>
      </c>
      <c r="X271" s="54">
        <f>IF(NOTA[[#This Row],[HARGA/ CTN]]="",NOTA[[#This Row],[JUMLAH_H]],NOTA[[#This Row],[HARGA/ CTN]]*IF(NOTA[[#This Row],[C]]="",0,NOTA[[#This Row],[C]]))</f>
        <v>50400</v>
      </c>
      <c r="Y271" s="54">
        <f>IF(NOTA[[#This Row],[JUMLAH]]="","",NOTA[[#This Row],[JUMLAH]]*NOTA[[#This Row],[DISC 1]])</f>
        <v>5040</v>
      </c>
      <c r="Z271" s="54">
        <f>IF(NOTA[[#This Row],[JUMLAH]]="","",(NOTA[[#This Row],[JUMLAH]]-NOTA[[#This Row],[DISC 1-]])*NOTA[[#This Row],[DISC 2]])</f>
        <v>2268</v>
      </c>
      <c r="AA271" s="54">
        <f>IF(NOTA[[#This Row],[JUMLAH]]="","",NOTA[[#This Row],[DISC 1-]]+NOTA[[#This Row],[DISC 2-]])</f>
        <v>7308</v>
      </c>
      <c r="AB271" s="54">
        <f>IF(NOTA[[#This Row],[JUMLAH]]="","",NOTA[[#This Row],[JUMLAH]]-NOTA[[#This Row],[DISC]])</f>
        <v>43092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4125678.75</v>
      </c>
      <c r="AD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20074521.25</v>
      </c>
      <c r="AE271" s="49">
        <f>IF(NOTA[[#This Row],[NAMA BARANG]]="","",IF(NOTA[[#This Row],[JUMLAH_H]]="",NOTA[[#This Row],[HARGA/ CTN]],NOTA[[#This Row],[QTY]]*NOTA[[#This Row],[HARGA SATUAN]]/IF(ISNUMBER(NOTA[[#This Row],[C]]),NOTA[[#This Row],[C]],1)))</f>
        <v>50400</v>
      </c>
      <c r="AF271" s="54">
        <f>IF(OR(NOTA[[#This Row],[QTY]]="",NOTA[[#This Row],[HARGA SATUAN]]="",),"",NOTA[[#This Row],[QTY]]*NOTA[[#This Row],[HARGA SATUAN]])</f>
        <v>50400</v>
      </c>
      <c r="AG271" s="51">
        <f ca="1">IF(NOTA[ID_H]="","",INDEX(NOTA[TANGGAL],MATCH(,INDIRECT(ADDRESS(ROW(NOTA[TANGGAL]),COLUMN(NOTA[TANGGAL]))&amp;":"&amp;ADDRESS(ROW(),COLUMN(NOTA[TANGGAL]))),-1)))</f>
        <v>44937</v>
      </c>
      <c r="AH271" s="65" t="str">
        <f ca="1">IF(NOTA[[#This Row],[NAMA BARANG]]="","",INDEX(NOTA[SUPPLIER],MATCH(,INDIRECT(ADDRESS(ROW(NOTA[ID]),COLUMN(NOTA[ID]))&amp;":"&amp;ADDRESS(ROW(),COLUMN(NOTA[ID]))),-1)))</f>
        <v>ATALI MAKMUR</v>
      </c>
      <c r="AI271" s="65" t="str">
        <f ca="1">IF(NOTA[[#This Row],[ID_H]]="","",IF(NOTA[[#This Row],[FAKTUR]]="",INDIRECT(ADDRESS(ROW()-1,COLUMN())),NOTA[[#This Row],[FAKTUR]]))</f>
        <v>ARTO MORO</v>
      </c>
      <c r="AJ271" s="38" t="str">
        <f ca="1">IF(NOTA[[#This Row],[ID]]="","",COUNTIF(NOTA[ID_H],NOTA[[#This Row],[ID_H]]))</f>
        <v/>
      </c>
      <c r="AK271" s="38">
        <f ca="1">IF(NOTA[[#This Row],[TGL.NOTA]]="",IF(NOTA[[#This Row],[SUPPLIER_H]]="","",AK270),MONTH(NOTA[[#This Row],[TGL.NOTA]]))</f>
        <v>1</v>
      </c>
      <c r="AL271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271" s="38" t="str">
        <f>IF(NOTA[C]="",NOTA[[#This Row],[CONCAT1]]&amp;NOTA[[#This Row],[HARGA SATUAN]],NOTA[[#This Row],[CONCAT1]]&amp;NOTA[[#This Row],[HARGA/ CTN_H]]&amp;NOTA[[#This Row],[DISC 1]]&amp;NOTA[[#This Row],[DISC 2]])</f>
        <v>ballpenbp338vocusblackjk12600</v>
      </c>
      <c r="AN271" s="184">
        <f>IF(NOTA[[#This Row],[CONCAT1]]="","",MATCH(NOTA[[#This Row],[CONCAT1]],[1]!db[NB NOTA_C],0)+1)</f>
        <v>76</v>
      </c>
    </row>
    <row r="272" spans="1:40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Row],[CEK_EXP]]&lt;D271,"err","")</f>
        <v/>
      </c>
      <c r="D272" s="50">
        <f>IF(NOTA[[#This Row],[TANGGAL]]="",D271,NOTA[[#This Row],[TANGGAL]])</f>
        <v>44937</v>
      </c>
      <c r="E272" s="50" t="str">
        <f ca="1">IF(NOTA[[#This Row],[NAMA BARANG]]="","",INDEX(NOTA[ID],MATCH(,INDIRECT(ADDRESS(ROW(NOTA[ID]),COLUMN(NOTA[ID]))&amp;":"&amp;ADDRESS(ROW(),COLUMN(NOTA[ID]))),-1)))</f>
        <v/>
      </c>
      <c r="F272" s="23"/>
      <c r="G272" s="26"/>
      <c r="H272" s="26"/>
      <c r="I272" s="31"/>
      <c r="J272" s="26"/>
      <c r="K272" s="51"/>
      <c r="L272" s="26"/>
      <c r="M272" s="26"/>
      <c r="N272" s="39"/>
      <c r="O272" s="26"/>
      <c r="P272" s="26"/>
      <c r="Q272" s="49"/>
      <c r="R272" s="52"/>
      <c r="S272" s="39"/>
      <c r="T272" s="53"/>
      <c r="U272" s="53"/>
      <c r="V272" s="54"/>
      <c r="W272" s="37"/>
      <c r="X272" s="54" t="str">
        <f>IF(NOTA[[#This Row],[HARGA/ CTN]]="",NOTA[[#This Row],[JUMLAH_H]],NOTA[[#This Row],[HARGA/ CTN]]*IF(NOTA[[#This Row],[C]]="",0,NOTA[[#This Row],[C]]))</f>
        <v/>
      </c>
      <c r="Y272" s="54" t="str">
        <f>IF(NOTA[[#This Row],[JUMLAH]]="","",NOTA[[#This Row],[JUMLAH]]*NOTA[[#This Row],[DISC 1]])</f>
        <v/>
      </c>
      <c r="Z272" s="54" t="str">
        <f>IF(NOTA[[#This Row],[JUMLAH]]="","",(NOTA[[#This Row],[JUMLAH]]-NOTA[[#This Row],[DISC 1-]])*NOTA[[#This Row],[DISC 2]])</f>
        <v/>
      </c>
      <c r="AA272" s="54" t="str">
        <f>IF(NOTA[[#This Row],[JUMLAH]]="","",NOTA[[#This Row],[DISC 1-]]+NOTA[[#This Row],[DISC 2-]])</f>
        <v/>
      </c>
      <c r="AB272" s="54" t="str">
        <f>IF(NOTA[[#This Row],[JUMLAH]]="","",NOTA[[#This Row],[JUMLAH]]-NOTA[[#This Row],[DISC]])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54" t="str">
        <f>IF(OR(NOTA[[#This Row],[QTY]]="",NOTA[[#This Row],[HARGA SATUAN]]="",),"",NOTA[[#This Row],[QTY]]*NOTA[[#This Row],[HARGA SATUAN]])</f>
        <v/>
      </c>
      <c r="AG272" s="51" t="str">
        <f ca="1">IF(NOTA[ID_H]="","",INDEX(NOTA[TANGGAL],MATCH(,INDIRECT(ADDRESS(ROW(NOTA[TANGGAL]),COLUMN(NOTA[TANGGAL]))&amp;":"&amp;ADDRESS(ROW(),COLUMN(NOTA[TANGGAL]))),-1)))</f>
        <v/>
      </c>
      <c r="AH272" s="65" t="str">
        <f ca="1">IF(NOTA[[#This Row],[NAMA BARANG]]="","",INDEX(NOTA[SUPPLIER],MATCH(,INDIRECT(ADDRESS(ROW(NOTA[ID]),COLUMN(NOTA[ID]))&amp;":"&amp;ADDRESS(ROW(),COLUMN(NOTA[ID]))),-1)))</f>
        <v/>
      </c>
      <c r="AI272" s="65" t="str">
        <f ca="1">IF(NOTA[[#This Row],[ID_H]]="","",IF(NOTA[[#This Row],[FAKTUR]]="",INDIRECT(ADDRESS(ROW()-1,COLUMN())),NOTA[[#This Row],[FAKTUR]]))</f>
        <v/>
      </c>
      <c r="AJ272" s="38" t="str">
        <f ca="1">IF(NOTA[[#This Row],[ID]]="","",COUNTIF(NOTA[ID_H],NOTA[[#This Row],[ID_H]]))</f>
        <v/>
      </c>
      <c r="AK272" s="38" t="str">
        <f ca="1">IF(NOTA[[#This Row],[TGL.NOTA]]="",IF(NOTA[[#This Row],[SUPPLIER_H]]="","",AK271),MONTH(NOTA[[#This Row],[TGL.NOTA]]))</f>
        <v/>
      </c>
      <c r="AL272" s="38" t="str">
        <f>LOWER(SUBSTITUTE(SUBSTITUTE(SUBSTITUTE(SUBSTITUTE(SUBSTITUTE(SUBSTITUTE(SUBSTITUTE(SUBSTITUTE(SUBSTITUTE(NOTA[NAMA BARANG]," ",),".",""),"-",""),"(",""),")",""),",",""),"/",""),"""",""),"+",""))</f>
        <v/>
      </c>
      <c r="AM272" s="38" t="str">
        <f>IF(NOTA[C]="",NOTA[[#This Row],[CONCAT1]]&amp;NOTA[[#This Row],[HARGA SATUAN]],NOTA[[#This Row],[CONCAT1]]&amp;NOTA[[#This Row],[HARGA/ CTN_H]]&amp;NOTA[[#This Row],[DISC 1]]&amp;NOTA[[#This Row],[DISC 2]])</f>
        <v/>
      </c>
      <c r="AN272" s="184" t="str">
        <f>IF(NOTA[[#This Row],[CONCAT1]]="","",MATCH(NOTA[[#This Row],[CONCAT1]],[1]!db[NB NOTA_C],0)+1)</f>
        <v/>
      </c>
    </row>
    <row r="273" spans="1:40" s="38" customFormat="1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ATA_1101_291-11</v>
      </c>
      <c r="C273" s="50" t="str">
        <f>IF(NOTA[[#This Row],[CEK_EXP]]&lt;D272,"err","")</f>
        <v/>
      </c>
      <c r="D273" s="50">
        <f>IF(NOTA[[#This Row],[TANGGAL]]="",D272,NOTA[[#This Row],[TANGGAL]])</f>
        <v>44937</v>
      </c>
      <c r="E273" s="50">
        <f ca="1">IF(NOTA[[#This Row],[NAMA BARANG]]="","",INDEX(NOTA[ID],MATCH(,INDIRECT(ADDRESS(ROW(NOTA[ID]),COLUMN(NOTA[ID]))&amp;":"&amp;ADDRESS(ROW(),COLUMN(NOTA[ID]))),-1)))</f>
        <v>54</v>
      </c>
      <c r="F273" s="23"/>
      <c r="G273" s="26" t="s">
        <v>25</v>
      </c>
      <c r="H273" s="26" t="s">
        <v>24</v>
      </c>
      <c r="I273" s="31" t="s">
        <v>433</v>
      </c>
      <c r="J273" s="26"/>
      <c r="K273" s="51">
        <v>44932</v>
      </c>
      <c r="L273" s="26"/>
      <c r="M273" s="26" t="s">
        <v>278</v>
      </c>
      <c r="N273" s="39">
        <v>2</v>
      </c>
      <c r="O273" s="26">
        <v>100</v>
      </c>
      <c r="P273" s="26" t="s">
        <v>131</v>
      </c>
      <c r="Q273" s="49">
        <v>28300</v>
      </c>
      <c r="R273" s="52"/>
      <c r="S273" s="39" t="s">
        <v>279</v>
      </c>
      <c r="T273" s="53">
        <v>0.125</v>
      </c>
      <c r="U273" s="53">
        <v>0.05</v>
      </c>
      <c r="V273" s="54"/>
      <c r="W273" s="37"/>
      <c r="X273" s="54">
        <f>IF(NOTA[[#This Row],[HARGA/ CTN]]="",NOTA[[#This Row],[JUMLAH_H]],NOTA[[#This Row],[HARGA/ CTN]]*IF(NOTA[[#This Row],[C]]="",0,NOTA[[#This Row],[C]]))</f>
        <v>2830000</v>
      </c>
      <c r="Y273" s="54">
        <f>IF(NOTA[[#This Row],[JUMLAH]]="","",NOTA[[#This Row],[JUMLAH]]*NOTA[[#This Row],[DISC 1]])</f>
        <v>353750</v>
      </c>
      <c r="Z273" s="54">
        <f>IF(NOTA[[#This Row],[JUMLAH]]="","",(NOTA[[#This Row],[JUMLAH]]-NOTA[[#This Row],[DISC 1-]])*NOTA[[#This Row],[DISC 2]])</f>
        <v>123812.5</v>
      </c>
      <c r="AA273" s="54">
        <f>IF(NOTA[[#This Row],[JUMLAH]]="","",NOTA[[#This Row],[DISC 1-]]+NOTA[[#This Row],[DISC 2-]])</f>
        <v>477562.5</v>
      </c>
      <c r="AB273" s="54">
        <f>IF(NOTA[[#This Row],[JUMLAH]]="","",NOTA[[#This Row],[JUMLAH]]-NOTA[[#This Row],[DISC]])</f>
        <v>2352437.5</v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73" s="54">
        <f>IF(OR(NOTA[[#This Row],[QTY]]="",NOTA[[#This Row],[HARGA SATUAN]]="",),"",NOTA[[#This Row],[QTY]]*NOTA[[#This Row],[HARGA SATUAN]])</f>
        <v>2830000</v>
      </c>
      <c r="AG273" s="51">
        <f ca="1">IF(NOTA[ID_H]="","",INDEX(NOTA[TANGGAL],MATCH(,INDIRECT(ADDRESS(ROW(NOTA[TANGGAL]),COLUMN(NOTA[TANGGAL]))&amp;":"&amp;ADDRESS(ROW(),COLUMN(NOTA[TANGGAL]))),-1)))</f>
        <v>44937</v>
      </c>
      <c r="AH273" s="65" t="str">
        <f ca="1">IF(NOTA[[#This Row],[NAMA BARANG]]="","",INDEX(NOTA[SUPPLIER],MATCH(,INDIRECT(ADDRESS(ROW(NOTA[ID]),COLUMN(NOTA[ID]))&amp;":"&amp;ADDRESS(ROW(),COLUMN(NOTA[ID]))),-1)))</f>
        <v>ATALI MAKMUR</v>
      </c>
      <c r="AI273" s="65" t="str">
        <f ca="1">IF(NOTA[[#This Row],[ID_H]]="","",IF(NOTA[[#This Row],[FAKTUR]]="",INDIRECT(ADDRESS(ROW()-1,COLUMN())),NOTA[[#This Row],[FAKTUR]]))</f>
        <v>ARTO MORO</v>
      </c>
      <c r="AJ273" s="38">
        <f ca="1">IF(NOTA[[#This Row],[ID]]="","",COUNTIF(NOTA[ID_H],NOTA[[#This Row],[ID_H]]))</f>
        <v>11</v>
      </c>
      <c r="AK273" s="38">
        <f>IF(NOTA[[#This Row],[TGL.NOTA]]="",IF(NOTA[[#This Row],[SUPPLIER_H]]="","",AK272),MONTH(NOTA[[#This Row],[TGL.NOTA]]))</f>
        <v>1</v>
      </c>
      <c r="AL27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273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273" s="184">
        <f>IF(NOTA[[#This Row],[CONCAT1]]="","",MATCH(NOTA[[#This Row],[CONCAT1]],[1]!db[NB NOTA_C],0)+1)</f>
        <v>680</v>
      </c>
    </row>
    <row r="274" spans="1:40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Row],[CEK_EXP]]&lt;D273,"err","")</f>
        <v/>
      </c>
      <c r="D274" s="50">
        <f>IF(NOTA[[#This Row],[TANGGAL]]="",D273,NOTA[[#This Row],[TANGGAL]])</f>
        <v>44937</v>
      </c>
      <c r="E274" s="50">
        <f ca="1">IF(NOTA[[#This Row],[NAMA BARANG]]="","",INDEX(NOTA[ID],MATCH(,INDIRECT(ADDRESS(ROW(NOTA[ID]),COLUMN(NOTA[ID]))&amp;":"&amp;ADDRESS(ROW(),COLUMN(NOTA[ID]))),-1)))</f>
        <v>54</v>
      </c>
      <c r="F274" s="23"/>
      <c r="G274" s="26"/>
      <c r="H274" s="26"/>
      <c r="I274" s="31"/>
      <c r="J274" s="26"/>
      <c r="K274" s="51"/>
      <c r="L274" s="26"/>
      <c r="M274" s="26" t="s">
        <v>283</v>
      </c>
      <c r="N274" s="39">
        <v>1</v>
      </c>
      <c r="O274" s="26">
        <v>50</v>
      </c>
      <c r="P274" s="26" t="s">
        <v>131</v>
      </c>
      <c r="Q274" s="49">
        <v>28300</v>
      </c>
      <c r="R274" s="52"/>
      <c r="S274" s="39" t="s">
        <v>279</v>
      </c>
      <c r="T274" s="53">
        <v>0.125</v>
      </c>
      <c r="U274" s="53">
        <v>0.05</v>
      </c>
      <c r="V274" s="54"/>
      <c r="W274" s="37"/>
      <c r="X274" s="54">
        <f>IF(NOTA[[#This Row],[HARGA/ CTN]]="",NOTA[[#This Row],[JUMLAH_H]],NOTA[[#This Row],[HARGA/ CTN]]*IF(NOTA[[#This Row],[C]]="",0,NOTA[[#This Row],[C]]))</f>
        <v>1415000</v>
      </c>
      <c r="Y274" s="54">
        <f>IF(NOTA[[#This Row],[JUMLAH]]="","",NOTA[[#This Row],[JUMLAH]]*NOTA[[#This Row],[DISC 1]])</f>
        <v>176875</v>
      </c>
      <c r="Z274" s="54">
        <f>IF(NOTA[[#This Row],[JUMLAH]]="","",(NOTA[[#This Row],[JUMLAH]]-NOTA[[#This Row],[DISC 1-]])*NOTA[[#This Row],[DISC 2]])</f>
        <v>61906.25</v>
      </c>
      <c r="AA274" s="54">
        <f>IF(NOTA[[#This Row],[JUMLAH]]="","",NOTA[[#This Row],[DISC 1-]]+NOTA[[#This Row],[DISC 2-]])</f>
        <v>238781.25</v>
      </c>
      <c r="AB274" s="54">
        <f>IF(NOTA[[#This Row],[JUMLAH]]="","",NOTA[[#This Row],[JUMLAH]]-NOTA[[#This Row],[DISC]])</f>
        <v>1176218.75</v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74" s="54">
        <f>IF(OR(NOTA[[#This Row],[QTY]]="",NOTA[[#This Row],[HARGA SATUAN]]="",),"",NOTA[[#This Row],[QTY]]*NOTA[[#This Row],[HARGA SATUAN]])</f>
        <v>1415000</v>
      </c>
      <c r="AG274" s="51">
        <f ca="1">IF(NOTA[ID_H]="","",INDEX(NOTA[TANGGAL],MATCH(,INDIRECT(ADDRESS(ROW(NOTA[TANGGAL]),COLUMN(NOTA[TANGGAL]))&amp;":"&amp;ADDRESS(ROW(),COLUMN(NOTA[TANGGAL]))),-1)))</f>
        <v>44937</v>
      </c>
      <c r="AH274" s="65" t="str">
        <f ca="1">IF(NOTA[[#This Row],[NAMA BARANG]]="","",INDEX(NOTA[SUPPLIER],MATCH(,INDIRECT(ADDRESS(ROW(NOTA[ID]),COLUMN(NOTA[ID]))&amp;":"&amp;ADDRESS(ROW(),COLUMN(NOTA[ID]))),-1)))</f>
        <v>ATALI MAKMUR</v>
      </c>
      <c r="AI274" s="65" t="str">
        <f ca="1">IF(NOTA[[#This Row],[ID_H]]="","",IF(NOTA[[#This Row],[FAKTUR]]="",INDIRECT(ADDRESS(ROW()-1,COLUMN())),NOTA[[#This Row],[FAKTUR]]))</f>
        <v>ARTO MORO</v>
      </c>
      <c r="AJ274" s="38" t="str">
        <f ca="1">IF(NOTA[[#This Row],[ID]]="","",COUNTIF(NOTA[ID_H],NOTA[[#This Row],[ID_H]]))</f>
        <v/>
      </c>
      <c r="AK274" s="38">
        <f ca="1">IF(NOTA[[#This Row],[TGL.NOTA]]="",IF(NOTA[[#This Row],[SUPPLIER_H]]="","",AK273),MONTH(NOTA[[#This Row],[TGL.NOTA]]))</f>
        <v>1</v>
      </c>
      <c r="AL27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M274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N274" s="184">
        <f>IF(NOTA[[#This Row],[CONCAT1]]="","",MATCH(NOTA[[#This Row],[CONCAT1]],[1]!db[NB NOTA_C],0)+1)</f>
        <v>679</v>
      </c>
    </row>
    <row r="275" spans="1:40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Row],[CEK_EXP]]&lt;D274,"err","")</f>
        <v/>
      </c>
      <c r="D275" s="50">
        <f>IF(NOTA[[#This Row],[TANGGAL]]="",D274,NOTA[[#This Row],[TANGGAL]])</f>
        <v>44937</v>
      </c>
      <c r="E275" s="50">
        <f ca="1">IF(NOTA[[#This Row],[NAMA BARANG]]="","",INDEX(NOTA[ID],MATCH(,INDIRECT(ADDRESS(ROW(NOTA[ID]),COLUMN(NOTA[ID]))&amp;":"&amp;ADDRESS(ROW(),COLUMN(NOTA[ID]))),-1)))</f>
        <v>54</v>
      </c>
      <c r="F275" s="23"/>
      <c r="G275" s="26"/>
      <c r="H275" s="26"/>
      <c r="I275" s="31"/>
      <c r="J275" s="26"/>
      <c r="K275" s="51"/>
      <c r="L275" s="26"/>
      <c r="M275" s="26" t="s">
        <v>284</v>
      </c>
      <c r="N275" s="39">
        <v>1</v>
      </c>
      <c r="O275" s="26">
        <v>50</v>
      </c>
      <c r="P275" s="26" t="s">
        <v>131</v>
      </c>
      <c r="Q275" s="49">
        <v>34100</v>
      </c>
      <c r="R275" s="52"/>
      <c r="S275" s="39" t="s">
        <v>281</v>
      </c>
      <c r="T275" s="53">
        <v>0.125</v>
      </c>
      <c r="U275" s="53">
        <v>0.05</v>
      </c>
      <c r="V275" s="54"/>
      <c r="W275" s="37"/>
      <c r="X275" s="54">
        <f>IF(NOTA[[#This Row],[HARGA/ CTN]]="",NOTA[[#This Row],[JUMLAH_H]],NOTA[[#This Row],[HARGA/ CTN]]*IF(NOTA[[#This Row],[C]]="",0,NOTA[[#This Row],[C]]))</f>
        <v>1705000</v>
      </c>
      <c r="Y275" s="54">
        <f>IF(NOTA[[#This Row],[JUMLAH]]="","",NOTA[[#This Row],[JUMLAH]]*NOTA[[#This Row],[DISC 1]])</f>
        <v>213125</v>
      </c>
      <c r="Z275" s="54">
        <f>IF(NOTA[[#This Row],[JUMLAH]]="","",(NOTA[[#This Row],[JUMLAH]]-NOTA[[#This Row],[DISC 1-]])*NOTA[[#This Row],[DISC 2]])</f>
        <v>74593.75</v>
      </c>
      <c r="AA275" s="54">
        <f>IF(NOTA[[#This Row],[JUMLAH]]="","",NOTA[[#This Row],[DISC 1-]]+NOTA[[#This Row],[DISC 2-]])</f>
        <v>287718.75</v>
      </c>
      <c r="AB275" s="54">
        <f>IF(NOTA[[#This Row],[JUMLAH]]="","",NOTA[[#This Row],[JUMLAH]]-NOTA[[#This Row],[DISC]])</f>
        <v>1417281.25</v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75" s="54">
        <f>IF(OR(NOTA[[#This Row],[QTY]]="",NOTA[[#This Row],[HARGA SATUAN]]="",),"",NOTA[[#This Row],[QTY]]*NOTA[[#This Row],[HARGA SATUAN]])</f>
        <v>1705000</v>
      </c>
      <c r="AG275" s="51">
        <f ca="1">IF(NOTA[ID_H]="","",INDEX(NOTA[TANGGAL],MATCH(,INDIRECT(ADDRESS(ROW(NOTA[TANGGAL]),COLUMN(NOTA[TANGGAL]))&amp;":"&amp;ADDRESS(ROW(),COLUMN(NOTA[TANGGAL]))),-1)))</f>
        <v>44937</v>
      </c>
      <c r="AH275" s="65" t="str">
        <f ca="1">IF(NOTA[[#This Row],[NAMA BARANG]]="","",INDEX(NOTA[SUPPLIER],MATCH(,INDIRECT(ADDRESS(ROW(NOTA[ID]),COLUMN(NOTA[ID]))&amp;":"&amp;ADDRESS(ROW(),COLUMN(NOTA[ID]))),-1)))</f>
        <v>ATALI MAKMUR</v>
      </c>
      <c r="AI275" s="65" t="str">
        <f ca="1">IF(NOTA[[#This Row],[ID_H]]="","",IF(NOTA[[#This Row],[FAKTUR]]="",INDIRECT(ADDRESS(ROW()-1,COLUMN())),NOTA[[#This Row],[FAKTUR]]))</f>
        <v>ARTO MORO</v>
      </c>
      <c r="AJ275" s="38" t="str">
        <f ca="1">IF(NOTA[[#This Row],[ID]]="","",COUNTIF(NOTA[ID_H],NOTA[[#This Row],[ID_H]]))</f>
        <v/>
      </c>
      <c r="AK275" s="38">
        <f ca="1">IF(NOTA[[#This Row],[TGL.NOTA]]="",IF(NOTA[[#This Row],[SUPPLIER_H]]="","",AK274),MONTH(NOTA[[#This Row],[TGL.NOTA]]))</f>
        <v>1</v>
      </c>
      <c r="AL275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M275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N275" s="184">
        <f>IF(NOTA[[#This Row],[CONCAT1]]="","",MATCH(NOTA[[#This Row],[CONCAT1]],[1]!db[NB NOTA_C],0)+1)</f>
        <v>687</v>
      </c>
    </row>
    <row r="276" spans="1:40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Row],[CEK_EXP]]&lt;D275,"err","")</f>
        <v/>
      </c>
      <c r="D276" s="50">
        <f>IF(NOTA[[#This Row],[TANGGAL]]="",D275,NOTA[[#This Row],[TANGGAL]])</f>
        <v>44937</v>
      </c>
      <c r="E276" s="50">
        <f ca="1">IF(NOTA[[#This Row],[NAMA BARANG]]="","",INDEX(NOTA[ID],MATCH(,INDIRECT(ADDRESS(ROW(NOTA[ID]),COLUMN(NOTA[ID]))&amp;":"&amp;ADDRESS(ROW(),COLUMN(NOTA[ID]))),-1)))</f>
        <v>54</v>
      </c>
      <c r="F276" s="23"/>
      <c r="G276" s="26"/>
      <c r="H276" s="26"/>
      <c r="I276" s="31"/>
      <c r="J276" s="26"/>
      <c r="K276" s="51"/>
      <c r="L276" s="26"/>
      <c r="M276" s="26" t="s">
        <v>429</v>
      </c>
      <c r="N276" s="39">
        <v>1</v>
      </c>
      <c r="O276" s="26">
        <v>144</v>
      </c>
      <c r="P276" s="26" t="s">
        <v>128</v>
      </c>
      <c r="Q276" s="49">
        <v>23900</v>
      </c>
      <c r="R276" s="52"/>
      <c r="S276" s="39" t="s">
        <v>264</v>
      </c>
      <c r="T276" s="53">
        <v>0.125</v>
      </c>
      <c r="U276" s="53">
        <v>0.05</v>
      </c>
      <c r="V276" s="54"/>
      <c r="W276" s="37"/>
      <c r="X276" s="54">
        <f>IF(NOTA[[#This Row],[HARGA/ CTN]]="",NOTA[[#This Row],[JUMLAH_H]],NOTA[[#This Row],[HARGA/ CTN]]*IF(NOTA[[#This Row],[C]]="",0,NOTA[[#This Row],[C]]))</f>
        <v>3441600</v>
      </c>
      <c r="Y276" s="54">
        <f>IF(NOTA[[#This Row],[JUMLAH]]="","",NOTA[[#This Row],[JUMLAH]]*NOTA[[#This Row],[DISC 1]])</f>
        <v>430200</v>
      </c>
      <c r="Z276" s="54">
        <f>IF(NOTA[[#This Row],[JUMLAH]]="","",(NOTA[[#This Row],[JUMLAH]]-NOTA[[#This Row],[DISC 1-]])*NOTA[[#This Row],[DISC 2]])</f>
        <v>150570</v>
      </c>
      <c r="AA276" s="54">
        <f>IF(NOTA[[#This Row],[JUMLAH]]="","",NOTA[[#This Row],[DISC 1-]]+NOTA[[#This Row],[DISC 2-]])</f>
        <v>580770</v>
      </c>
      <c r="AB276" s="54">
        <f>IF(NOTA[[#This Row],[JUMLAH]]="","",NOTA[[#This Row],[JUMLAH]]-NOTA[[#This Row],[DISC]])</f>
        <v>2860830</v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76" s="54">
        <f>IF(OR(NOTA[[#This Row],[QTY]]="",NOTA[[#This Row],[HARGA SATUAN]]="",),"",NOTA[[#This Row],[QTY]]*NOTA[[#This Row],[HARGA SATUAN]])</f>
        <v>3441600</v>
      </c>
      <c r="AG276" s="51">
        <f ca="1">IF(NOTA[ID_H]="","",INDEX(NOTA[TANGGAL],MATCH(,INDIRECT(ADDRESS(ROW(NOTA[TANGGAL]),COLUMN(NOTA[TANGGAL]))&amp;":"&amp;ADDRESS(ROW(),COLUMN(NOTA[TANGGAL]))),-1)))</f>
        <v>44937</v>
      </c>
      <c r="AH276" s="65" t="str">
        <f ca="1">IF(NOTA[[#This Row],[NAMA BARANG]]="","",INDEX(NOTA[SUPPLIER],MATCH(,INDIRECT(ADDRESS(ROW(NOTA[ID]),COLUMN(NOTA[ID]))&amp;":"&amp;ADDRESS(ROW(),COLUMN(NOTA[ID]))),-1)))</f>
        <v>ATALI MAKMUR</v>
      </c>
      <c r="AI276" s="65" t="str">
        <f ca="1">IF(NOTA[[#This Row],[ID_H]]="","",IF(NOTA[[#This Row],[FAKTUR]]="",INDIRECT(ADDRESS(ROW()-1,COLUMN())),NOTA[[#This Row],[FAKTUR]]))</f>
        <v>ARTO MORO</v>
      </c>
      <c r="AJ276" s="38" t="str">
        <f ca="1">IF(NOTA[[#This Row],[ID]]="","",COUNTIF(NOTA[ID_H],NOTA[[#This Row],[ID_H]]))</f>
        <v/>
      </c>
      <c r="AK276" s="38">
        <f ca="1">IF(NOTA[[#This Row],[TGL.NOTA]]="",IF(NOTA[[#This Row],[SUPPLIER_H]]="","",AK275),MONTH(NOTA[[#This Row],[TGL.NOTA]]))</f>
        <v>1</v>
      </c>
      <c r="AL27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76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N276" s="184">
        <f>IF(NOTA[[#This Row],[CONCAT1]]="","",MATCH(NOTA[[#This Row],[CONCAT1]],[1]!db[NB NOTA_C],0)+1)</f>
        <v>553</v>
      </c>
    </row>
    <row r="277" spans="1:40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Row],[CEK_EXP]]&lt;D276,"err","")</f>
        <v/>
      </c>
      <c r="D277" s="50">
        <f>IF(NOTA[[#This Row],[TANGGAL]]="",D276,NOTA[[#This Row],[TANGGAL]])</f>
        <v>44937</v>
      </c>
      <c r="E277" s="50">
        <f ca="1">IF(NOTA[[#This Row],[NAMA BARANG]]="","",INDEX(NOTA[ID],MATCH(,INDIRECT(ADDRESS(ROW(NOTA[ID]),COLUMN(NOTA[ID]))&amp;":"&amp;ADDRESS(ROW(),COLUMN(NOTA[ID]))),-1)))</f>
        <v>54</v>
      </c>
      <c r="F277" s="23"/>
      <c r="G277" s="26"/>
      <c r="H277" s="26"/>
      <c r="I277" s="31"/>
      <c r="J277" s="26"/>
      <c r="K277" s="51"/>
      <c r="L277" s="26"/>
      <c r="M277" s="26" t="s">
        <v>270</v>
      </c>
      <c r="N277" s="39">
        <v>2</v>
      </c>
      <c r="O277" s="26">
        <v>288</v>
      </c>
      <c r="P277" s="26" t="s">
        <v>104</v>
      </c>
      <c r="Q277" s="49">
        <v>4350</v>
      </c>
      <c r="R277" s="52"/>
      <c r="S277" s="39" t="s">
        <v>271</v>
      </c>
      <c r="T277" s="53">
        <v>0.125</v>
      </c>
      <c r="U277" s="53">
        <v>0.05</v>
      </c>
      <c r="V277" s="54"/>
      <c r="W277" s="37"/>
      <c r="X277" s="54">
        <f>IF(NOTA[[#This Row],[HARGA/ CTN]]="",NOTA[[#This Row],[JUMLAH_H]],NOTA[[#This Row],[HARGA/ CTN]]*IF(NOTA[[#This Row],[C]]="",0,NOTA[[#This Row],[C]]))</f>
        <v>1252800</v>
      </c>
      <c r="Y277" s="54">
        <f>IF(NOTA[[#This Row],[JUMLAH]]="","",NOTA[[#This Row],[JUMLAH]]*NOTA[[#This Row],[DISC 1]])</f>
        <v>156600</v>
      </c>
      <c r="Z277" s="54">
        <f>IF(NOTA[[#This Row],[JUMLAH]]="","",(NOTA[[#This Row],[JUMLAH]]-NOTA[[#This Row],[DISC 1-]])*NOTA[[#This Row],[DISC 2]])</f>
        <v>54810</v>
      </c>
      <c r="AA277" s="54">
        <f>IF(NOTA[[#This Row],[JUMLAH]]="","",NOTA[[#This Row],[DISC 1-]]+NOTA[[#This Row],[DISC 2-]])</f>
        <v>211410</v>
      </c>
      <c r="AB277" s="54">
        <f>IF(NOTA[[#This Row],[JUMLAH]]="","",NOTA[[#This Row],[JUMLAH]]-NOTA[[#This Row],[DISC]])</f>
        <v>1041390</v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77" s="54">
        <f>IF(OR(NOTA[[#This Row],[QTY]]="",NOTA[[#This Row],[HARGA SATUAN]]="",),"",NOTA[[#This Row],[QTY]]*NOTA[[#This Row],[HARGA SATUAN]])</f>
        <v>1252800</v>
      </c>
      <c r="AG277" s="51">
        <f ca="1">IF(NOTA[ID_H]="","",INDEX(NOTA[TANGGAL],MATCH(,INDIRECT(ADDRESS(ROW(NOTA[TANGGAL]),COLUMN(NOTA[TANGGAL]))&amp;":"&amp;ADDRESS(ROW(),COLUMN(NOTA[TANGGAL]))),-1)))</f>
        <v>44937</v>
      </c>
      <c r="AH277" s="65" t="str">
        <f ca="1">IF(NOTA[[#This Row],[NAMA BARANG]]="","",INDEX(NOTA[SUPPLIER],MATCH(,INDIRECT(ADDRESS(ROW(NOTA[ID]),COLUMN(NOTA[ID]))&amp;":"&amp;ADDRESS(ROW(),COLUMN(NOTA[ID]))),-1)))</f>
        <v>ATALI MAKMUR</v>
      </c>
      <c r="AI277" s="65" t="str">
        <f ca="1">IF(NOTA[[#This Row],[ID_H]]="","",IF(NOTA[[#This Row],[FAKTUR]]="",INDIRECT(ADDRESS(ROW()-1,COLUMN())),NOTA[[#This Row],[FAKTUR]]))</f>
        <v>ARTO MORO</v>
      </c>
      <c r="AJ277" s="38" t="str">
        <f ca="1">IF(NOTA[[#This Row],[ID]]="","",COUNTIF(NOTA[ID_H],NOTA[[#This Row],[ID_H]]))</f>
        <v/>
      </c>
      <c r="AK277" s="38">
        <f ca="1">IF(NOTA[[#This Row],[TGL.NOTA]]="",IF(NOTA[[#This Row],[SUPPLIER_H]]="","",AK276),MONTH(NOTA[[#This Row],[TGL.NOTA]]))</f>
        <v>1</v>
      </c>
      <c r="AL277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M277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N277" s="184">
        <f>IF(NOTA[[#This Row],[CONCAT1]]="","",MATCH(NOTA[[#This Row],[CONCAT1]],[1]!db[NB NOTA_C],0)+1)</f>
        <v>1920</v>
      </c>
    </row>
    <row r="278" spans="1:40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Row],[CEK_EXP]]&lt;D277,"err","")</f>
        <v/>
      </c>
      <c r="D278" s="50">
        <f>IF(NOTA[[#This Row],[TANGGAL]]="",D277,NOTA[[#This Row],[TANGGAL]])</f>
        <v>44937</v>
      </c>
      <c r="E278" s="50">
        <f ca="1">IF(NOTA[[#This Row],[NAMA BARANG]]="","",INDEX(NOTA[ID],MATCH(,INDIRECT(ADDRESS(ROW(NOTA[ID]),COLUMN(NOTA[ID]))&amp;":"&amp;ADDRESS(ROW(),COLUMN(NOTA[ID]))),-1)))</f>
        <v>54</v>
      </c>
      <c r="F278" s="23"/>
      <c r="G278" s="26"/>
      <c r="H278" s="26"/>
      <c r="I278" s="31"/>
      <c r="J278" s="26"/>
      <c r="K278" s="51"/>
      <c r="L278" s="26"/>
      <c r="M278" s="26" t="s">
        <v>268</v>
      </c>
      <c r="N278" s="39">
        <v>2</v>
      </c>
      <c r="O278" s="26">
        <v>1000</v>
      </c>
      <c r="P278" s="26" t="s">
        <v>133</v>
      </c>
      <c r="Q278" s="49">
        <v>3050</v>
      </c>
      <c r="R278" s="52"/>
      <c r="S278" s="39" t="s">
        <v>267</v>
      </c>
      <c r="T278" s="53">
        <v>0.125</v>
      </c>
      <c r="U278" s="53">
        <v>0.05</v>
      </c>
      <c r="V278" s="54"/>
      <c r="W278" s="37"/>
      <c r="X278" s="54">
        <f>IF(NOTA[[#This Row],[HARGA/ CTN]]="",NOTA[[#This Row],[JUMLAH_H]],NOTA[[#This Row],[HARGA/ CTN]]*IF(NOTA[[#This Row],[C]]="",0,NOTA[[#This Row],[C]]))</f>
        <v>3050000</v>
      </c>
      <c r="Y278" s="54">
        <f>IF(NOTA[[#This Row],[JUMLAH]]="","",NOTA[[#This Row],[JUMLAH]]*NOTA[[#This Row],[DISC 1]])</f>
        <v>381250</v>
      </c>
      <c r="Z278" s="54">
        <f>IF(NOTA[[#This Row],[JUMLAH]]="","",(NOTA[[#This Row],[JUMLAH]]-NOTA[[#This Row],[DISC 1-]])*NOTA[[#This Row],[DISC 2]])</f>
        <v>133437.5</v>
      </c>
      <c r="AA278" s="54">
        <f>IF(NOTA[[#This Row],[JUMLAH]]="","",NOTA[[#This Row],[DISC 1-]]+NOTA[[#This Row],[DISC 2-]])</f>
        <v>514687.5</v>
      </c>
      <c r="AB278" s="54">
        <f>IF(NOTA[[#This Row],[JUMLAH]]="","",NOTA[[#This Row],[JUMLAH]]-NOTA[[#This Row],[DISC]])</f>
        <v>2535312.5</v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278" s="54">
        <f>IF(OR(NOTA[[#This Row],[QTY]]="",NOTA[[#This Row],[HARGA SATUAN]]="",),"",NOTA[[#This Row],[QTY]]*NOTA[[#This Row],[HARGA SATUAN]])</f>
        <v>3050000</v>
      </c>
      <c r="AG278" s="51">
        <f ca="1">IF(NOTA[ID_H]="","",INDEX(NOTA[TANGGAL],MATCH(,INDIRECT(ADDRESS(ROW(NOTA[TANGGAL]),COLUMN(NOTA[TANGGAL]))&amp;":"&amp;ADDRESS(ROW(),COLUMN(NOTA[TANGGAL]))),-1)))</f>
        <v>44937</v>
      </c>
      <c r="AH278" s="65" t="str">
        <f ca="1">IF(NOTA[[#This Row],[NAMA BARANG]]="","",INDEX(NOTA[SUPPLIER],MATCH(,INDIRECT(ADDRESS(ROW(NOTA[ID]),COLUMN(NOTA[ID]))&amp;":"&amp;ADDRESS(ROW(),COLUMN(NOTA[ID]))),-1)))</f>
        <v>ATALI MAKMUR</v>
      </c>
      <c r="AI278" s="65" t="str">
        <f ca="1">IF(NOTA[[#This Row],[ID_H]]="","",IF(NOTA[[#This Row],[FAKTUR]]="",INDIRECT(ADDRESS(ROW()-1,COLUMN())),NOTA[[#This Row],[FAKTUR]]))</f>
        <v>ARTO MORO</v>
      </c>
      <c r="AJ278" s="38" t="str">
        <f ca="1">IF(NOTA[[#This Row],[ID]]="","",COUNTIF(NOTA[ID_H],NOTA[[#This Row],[ID_H]]))</f>
        <v/>
      </c>
      <c r="AK278" s="38">
        <f ca="1">IF(NOTA[[#This Row],[TGL.NOTA]]="",IF(NOTA[[#This Row],[SUPPLIER_H]]="","",AK277),MONTH(NOTA[[#This Row],[TGL.NOTA]]))</f>
        <v>1</v>
      </c>
      <c r="AL278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278" s="38" t="str">
        <f>IF(NOTA[C]="",NOTA[[#This Row],[CONCAT1]]&amp;NOTA[[#This Row],[HARGA SATUAN]],NOTA[[#This Row],[CONCAT1]]&amp;NOTA[[#This Row],[HARGA/ CTN_H]]&amp;NOTA[[#This Row],[DISC 1]]&amp;NOTA[[#This Row],[DISC 2]])</f>
        <v>labellbp2ln2barisjk15250000.1250.05</v>
      </c>
      <c r="AN278" s="184">
        <f>IF(NOTA[[#This Row],[CONCAT1]]="","",MATCH(NOTA[[#This Row],[CONCAT1]],[1]!db[NB NOTA_C],0)+1)</f>
        <v>1353</v>
      </c>
    </row>
    <row r="279" spans="1:40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Row],[CEK_EXP]]&lt;D278,"err","")</f>
        <v/>
      </c>
      <c r="D279" s="50">
        <f>IF(NOTA[[#This Row],[TANGGAL]]="",D278,NOTA[[#This Row],[TANGGAL]])</f>
        <v>44937</v>
      </c>
      <c r="E279" s="50">
        <f ca="1">IF(NOTA[[#This Row],[NAMA BARANG]]="","",INDEX(NOTA[ID],MATCH(,INDIRECT(ADDRESS(ROW(NOTA[ID]),COLUMN(NOTA[ID]))&amp;":"&amp;ADDRESS(ROW(),COLUMN(NOTA[ID]))),-1)))</f>
        <v>54</v>
      </c>
      <c r="F279" s="23"/>
      <c r="G279" s="26"/>
      <c r="H279" s="26"/>
      <c r="I279" s="31"/>
      <c r="J279" s="26"/>
      <c r="K279" s="51"/>
      <c r="L279" s="26"/>
      <c r="M279" s="26" t="s">
        <v>434</v>
      </c>
      <c r="N279" s="39">
        <v>1</v>
      </c>
      <c r="O279" s="26">
        <v>500</v>
      </c>
      <c r="P279" s="26" t="s">
        <v>133</v>
      </c>
      <c r="Q279" s="49">
        <v>4200</v>
      </c>
      <c r="R279" s="52"/>
      <c r="S279" s="39" t="s">
        <v>267</v>
      </c>
      <c r="T279" s="53">
        <v>0.125</v>
      </c>
      <c r="U279" s="53">
        <v>0.05</v>
      </c>
      <c r="V279" s="54"/>
      <c r="W279" s="37"/>
      <c r="X279" s="54">
        <f>IF(NOTA[[#This Row],[HARGA/ CTN]]="",NOTA[[#This Row],[JUMLAH_H]],NOTA[[#This Row],[HARGA/ CTN]]*IF(NOTA[[#This Row],[C]]="",0,NOTA[[#This Row],[C]]))</f>
        <v>2100000</v>
      </c>
      <c r="Y279" s="54">
        <f>IF(NOTA[[#This Row],[JUMLAH]]="","",NOTA[[#This Row],[JUMLAH]]*NOTA[[#This Row],[DISC 1]])</f>
        <v>262500</v>
      </c>
      <c r="Z279" s="54">
        <f>IF(NOTA[[#This Row],[JUMLAH]]="","",(NOTA[[#This Row],[JUMLAH]]-NOTA[[#This Row],[DISC 1-]])*NOTA[[#This Row],[DISC 2]])</f>
        <v>91875</v>
      </c>
      <c r="AA279" s="54">
        <f>IF(NOTA[[#This Row],[JUMLAH]]="","",NOTA[[#This Row],[DISC 1-]]+NOTA[[#This Row],[DISC 2-]])</f>
        <v>354375</v>
      </c>
      <c r="AB279" s="54">
        <f>IF(NOTA[[#This Row],[JUMLAH]]="","",NOTA[[#This Row],[JUMLAH]]-NOTA[[#This Row],[DISC]])</f>
        <v>1745625</v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279" s="54">
        <f>IF(OR(NOTA[[#This Row],[QTY]]="",NOTA[[#This Row],[HARGA SATUAN]]="",),"",NOTA[[#This Row],[QTY]]*NOTA[[#This Row],[HARGA SATUAN]])</f>
        <v>2100000</v>
      </c>
      <c r="AG279" s="51">
        <f ca="1">IF(NOTA[ID_H]="","",INDEX(NOTA[TANGGAL],MATCH(,INDIRECT(ADDRESS(ROW(NOTA[TANGGAL]),COLUMN(NOTA[TANGGAL]))&amp;":"&amp;ADDRESS(ROW(),COLUMN(NOTA[TANGGAL]))),-1)))</f>
        <v>44937</v>
      </c>
      <c r="AH279" s="65" t="str">
        <f ca="1">IF(NOTA[[#This Row],[NAMA BARANG]]="","",INDEX(NOTA[SUPPLIER],MATCH(,INDIRECT(ADDRESS(ROW(NOTA[ID]),COLUMN(NOTA[ID]))&amp;":"&amp;ADDRESS(ROW(),COLUMN(NOTA[ID]))),-1)))</f>
        <v>ATALI MAKMUR</v>
      </c>
      <c r="AI279" s="65" t="str">
        <f ca="1">IF(NOTA[[#This Row],[ID_H]]="","",IF(NOTA[[#This Row],[FAKTUR]]="",INDIRECT(ADDRESS(ROW()-1,COLUMN())),NOTA[[#This Row],[FAKTUR]]))</f>
        <v>ARTO MORO</v>
      </c>
      <c r="AJ279" s="38" t="str">
        <f ca="1">IF(NOTA[[#This Row],[ID]]="","",COUNTIF(NOTA[ID_H],NOTA[[#This Row],[ID_H]]))</f>
        <v/>
      </c>
      <c r="AK279" s="38">
        <f ca="1">IF(NOTA[[#This Row],[TGL.NOTA]]="",IF(NOTA[[#This Row],[SUPPLIER_H]]="","",AK278),MONTH(NOTA[[#This Row],[TGL.NOTA]]))</f>
        <v>1</v>
      </c>
      <c r="AL279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M279" s="38" t="str">
        <f>IF(NOTA[C]="",NOTA[[#This Row],[CONCAT1]]&amp;NOTA[[#This Row],[HARGA SATUAN]],NOTA[[#This Row],[CONCAT1]]&amp;NOTA[[#This Row],[HARGA/ CTN_H]]&amp;NOTA[[#This Row],[DISC 1]]&amp;NOTA[[#This Row],[DISC 2]])</f>
        <v>labellbp2cy2barisyellowjk21000000.1250.05</v>
      </c>
      <c r="AN279" s="184">
        <f>IF(NOTA[[#This Row],[CONCAT1]]="","",MATCH(NOTA[[#This Row],[CONCAT1]],[1]!db[NB NOTA_C],0)+1)</f>
        <v>1352</v>
      </c>
    </row>
    <row r="280" spans="1:40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Row],[CEK_EXP]]&lt;D279,"err","")</f>
        <v/>
      </c>
      <c r="D280" s="50">
        <f>IF(NOTA[[#This Row],[TANGGAL]]="",D279,NOTA[[#This Row],[TANGGAL]])</f>
        <v>44937</v>
      </c>
      <c r="E280" s="50">
        <f ca="1">IF(NOTA[[#This Row],[NAMA BARANG]]="","",INDEX(NOTA[ID],MATCH(,INDIRECT(ADDRESS(ROW(NOTA[ID]),COLUMN(NOTA[ID]))&amp;":"&amp;ADDRESS(ROW(),COLUMN(NOTA[ID]))),-1)))</f>
        <v>54</v>
      </c>
      <c r="F280" s="23"/>
      <c r="G280" s="26"/>
      <c r="H280" s="26"/>
      <c r="I280" s="31"/>
      <c r="J280" s="26"/>
      <c r="K280" s="51"/>
      <c r="L280" s="26"/>
      <c r="M280" s="26" t="s">
        <v>435</v>
      </c>
      <c r="N280" s="39">
        <v>2</v>
      </c>
      <c r="O280" s="26">
        <v>2000</v>
      </c>
      <c r="P280" s="26" t="s">
        <v>133</v>
      </c>
      <c r="Q280" s="49">
        <v>2050</v>
      </c>
      <c r="R280" s="52"/>
      <c r="S280" s="39" t="s">
        <v>436</v>
      </c>
      <c r="T280" s="53">
        <v>0.125</v>
      </c>
      <c r="U280" s="53">
        <v>0.05</v>
      </c>
      <c r="V280" s="54"/>
      <c r="W280" s="37"/>
      <c r="X280" s="54">
        <f>IF(NOTA[[#This Row],[HARGA/ CTN]]="",NOTA[[#This Row],[JUMLAH_H]],NOTA[[#This Row],[HARGA/ CTN]]*IF(NOTA[[#This Row],[C]]="",0,NOTA[[#This Row],[C]]))</f>
        <v>4100000</v>
      </c>
      <c r="Y280" s="54">
        <f>IF(NOTA[[#This Row],[JUMLAH]]="","",NOTA[[#This Row],[JUMLAH]]*NOTA[[#This Row],[DISC 1]])</f>
        <v>512500</v>
      </c>
      <c r="Z280" s="54">
        <f>IF(NOTA[[#This Row],[JUMLAH]]="","",(NOTA[[#This Row],[JUMLAH]]-NOTA[[#This Row],[DISC 1-]])*NOTA[[#This Row],[DISC 2]])</f>
        <v>179375</v>
      </c>
      <c r="AA280" s="54">
        <f>IF(NOTA[[#This Row],[JUMLAH]]="","",NOTA[[#This Row],[DISC 1-]]+NOTA[[#This Row],[DISC 2-]])</f>
        <v>691875</v>
      </c>
      <c r="AB280" s="54">
        <f>IF(NOTA[[#This Row],[JUMLAH]]="","",NOTA[[#This Row],[JUMLAH]]-NOTA[[#This Row],[DISC]])</f>
        <v>3408125</v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280" s="54">
        <f>IF(OR(NOTA[[#This Row],[QTY]]="",NOTA[[#This Row],[HARGA SATUAN]]="",),"",NOTA[[#This Row],[QTY]]*NOTA[[#This Row],[HARGA SATUAN]])</f>
        <v>4100000</v>
      </c>
      <c r="AG280" s="51">
        <f ca="1">IF(NOTA[ID_H]="","",INDEX(NOTA[TANGGAL],MATCH(,INDIRECT(ADDRESS(ROW(NOTA[TANGGAL]),COLUMN(NOTA[TANGGAL]))&amp;":"&amp;ADDRESS(ROW(),COLUMN(NOTA[TANGGAL]))),-1)))</f>
        <v>44937</v>
      </c>
      <c r="AH280" s="65" t="str">
        <f ca="1">IF(NOTA[[#This Row],[NAMA BARANG]]="","",INDEX(NOTA[SUPPLIER],MATCH(,INDIRECT(ADDRESS(ROW(NOTA[ID]),COLUMN(NOTA[ID]))&amp;":"&amp;ADDRESS(ROW(),COLUMN(NOTA[ID]))),-1)))</f>
        <v>ATALI MAKMUR</v>
      </c>
      <c r="AI280" s="65" t="str">
        <f ca="1">IF(NOTA[[#This Row],[ID_H]]="","",IF(NOTA[[#This Row],[FAKTUR]]="",INDIRECT(ADDRESS(ROW()-1,COLUMN())),NOTA[[#This Row],[FAKTUR]]))</f>
        <v>ARTO MORO</v>
      </c>
      <c r="AJ280" s="38" t="str">
        <f ca="1">IF(NOTA[[#This Row],[ID]]="","",COUNTIF(NOTA[ID_H],NOTA[[#This Row],[ID_H]]))</f>
        <v/>
      </c>
      <c r="AK280" s="38">
        <f ca="1">IF(NOTA[[#This Row],[TGL.NOTA]]="",IF(NOTA[[#This Row],[SUPPLIER_H]]="","",AK279),MONTH(NOTA[[#This Row],[TGL.NOTA]]))</f>
        <v>1</v>
      </c>
      <c r="AL28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280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N280" s="184">
        <f>IF(NOTA[[#This Row],[CONCAT1]]="","",MATCH(NOTA[[#This Row],[CONCAT1]],[1]!db[NB NOTA_C],0)+1)</f>
        <v>1349</v>
      </c>
    </row>
    <row r="281" spans="1:40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Row],[CEK_EXP]]&lt;D280,"err","")</f>
        <v/>
      </c>
      <c r="D281" s="50">
        <f>IF(NOTA[[#This Row],[TANGGAL]]="",D280,NOTA[[#This Row],[TANGGAL]])</f>
        <v>44937</v>
      </c>
      <c r="E281" s="50">
        <f ca="1">IF(NOTA[[#This Row],[NAMA BARANG]]="","",INDEX(NOTA[ID],MATCH(,INDIRECT(ADDRESS(ROW(NOTA[ID]),COLUMN(NOTA[ID]))&amp;":"&amp;ADDRESS(ROW(),COLUMN(NOTA[ID]))),-1)))</f>
        <v>54</v>
      </c>
      <c r="F281" s="23"/>
      <c r="G281" s="26"/>
      <c r="H281" s="26"/>
      <c r="I281" s="31"/>
      <c r="J281" s="26"/>
      <c r="K281" s="51"/>
      <c r="L281" s="26"/>
      <c r="M281" s="26" t="s">
        <v>437</v>
      </c>
      <c r="N281" s="39">
        <v>1</v>
      </c>
      <c r="O281" s="26">
        <v>60</v>
      </c>
      <c r="P281" s="26" t="s">
        <v>104</v>
      </c>
      <c r="Q281" s="49">
        <v>20800</v>
      </c>
      <c r="R281" s="52"/>
      <c r="S281" s="39" t="s">
        <v>185</v>
      </c>
      <c r="T281" s="53">
        <v>0.125</v>
      </c>
      <c r="U281" s="53">
        <v>0.05</v>
      </c>
      <c r="V281" s="54"/>
      <c r="W281" s="37"/>
      <c r="X281" s="54">
        <f>IF(NOTA[[#This Row],[HARGA/ CTN]]="",NOTA[[#This Row],[JUMLAH_H]],NOTA[[#This Row],[HARGA/ CTN]]*IF(NOTA[[#This Row],[C]]="",0,NOTA[[#This Row],[C]]))</f>
        <v>1248000</v>
      </c>
      <c r="Y281" s="54">
        <f>IF(NOTA[[#This Row],[JUMLAH]]="","",NOTA[[#This Row],[JUMLAH]]*NOTA[[#This Row],[DISC 1]])</f>
        <v>156000</v>
      </c>
      <c r="Z281" s="54">
        <f>IF(NOTA[[#This Row],[JUMLAH]]="","",(NOTA[[#This Row],[JUMLAH]]-NOTA[[#This Row],[DISC 1-]])*NOTA[[#This Row],[DISC 2]])</f>
        <v>54600</v>
      </c>
      <c r="AA281" s="54">
        <f>IF(NOTA[[#This Row],[JUMLAH]]="","",NOTA[[#This Row],[DISC 1-]]+NOTA[[#This Row],[DISC 2-]])</f>
        <v>210600</v>
      </c>
      <c r="AB281" s="54">
        <f>IF(NOTA[[#This Row],[JUMLAH]]="","",NOTA[[#This Row],[JUMLAH]]-NOTA[[#This Row],[DISC]])</f>
        <v>1037400</v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281" s="54">
        <f>IF(OR(NOTA[[#This Row],[QTY]]="",NOTA[[#This Row],[HARGA SATUAN]]="",),"",NOTA[[#This Row],[QTY]]*NOTA[[#This Row],[HARGA SATUAN]])</f>
        <v>1248000</v>
      </c>
      <c r="AG281" s="51">
        <f ca="1">IF(NOTA[ID_H]="","",INDEX(NOTA[TANGGAL],MATCH(,INDIRECT(ADDRESS(ROW(NOTA[TANGGAL]),COLUMN(NOTA[TANGGAL]))&amp;":"&amp;ADDRESS(ROW(),COLUMN(NOTA[TANGGAL]))),-1)))</f>
        <v>44937</v>
      </c>
      <c r="AH281" s="65" t="str">
        <f ca="1">IF(NOTA[[#This Row],[NAMA BARANG]]="","",INDEX(NOTA[SUPPLIER],MATCH(,INDIRECT(ADDRESS(ROW(NOTA[ID]),COLUMN(NOTA[ID]))&amp;":"&amp;ADDRESS(ROW(),COLUMN(NOTA[ID]))),-1)))</f>
        <v>ATALI MAKMUR</v>
      </c>
      <c r="AI281" s="65" t="str">
        <f ca="1">IF(NOTA[[#This Row],[ID_H]]="","",IF(NOTA[[#This Row],[FAKTUR]]="",INDIRECT(ADDRESS(ROW()-1,COLUMN())),NOTA[[#This Row],[FAKTUR]]))</f>
        <v>ARTO MORO</v>
      </c>
      <c r="AJ281" s="38" t="str">
        <f ca="1">IF(NOTA[[#This Row],[ID]]="","",COUNTIF(NOTA[ID_H],NOTA[[#This Row],[ID_H]]))</f>
        <v/>
      </c>
      <c r="AK281" s="38">
        <f ca="1">IF(NOTA[[#This Row],[TGL.NOTA]]="",IF(NOTA[[#This Row],[SUPPLIER_H]]="","",AK280),MONTH(NOTA[[#This Row],[TGL.NOTA]]))</f>
        <v>1</v>
      </c>
      <c r="AL281" s="38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281" s="38" t="str">
        <f>IF(NOTA[C]="",NOTA[[#This Row],[CONCAT1]]&amp;NOTA[[#This Row],[HARGA SATUAN]],NOTA[[#This Row],[CONCAT1]]&amp;NOTA[[#This Row],[HARGA/ CTN_H]]&amp;NOTA[[#This Row],[DISC 1]]&amp;NOTA[[#This Row],[DISC 2]])</f>
        <v>bukutamugb2833r5batikjk12480000.1250.05</v>
      </c>
      <c r="AN281" s="184">
        <f>IF(NOTA[[#This Row],[CONCAT1]]="","",MATCH(NOTA[[#This Row],[CONCAT1]],[1]!db[NB NOTA_C],0)+1)</f>
        <v>374</v>
      </c>
    </row>
    <row r="282" spans="1:40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Row],[CEK_EXP]]&lt;D281,"err","")</f>
        <v/>
      </c>
      <c r="D282" s="50">
        <f>IF(NOTA[[#This Row],[TANGGAL]]="",D281,NOTA[[#This Row],[TANGGAL]])</f>
        <v>44937</v>
      </c>
      <c r="E282" s="50">
        <f ca="1">IF(NOTA[[#This Row],[NAMA BARANG]]="","",INDEX(NOTA[ID],MATCH(,INDIRECT(ADDRESS(ROW(NOTA[ID]),COLUMN(NOTA[ID]))&amp;":"&amp;ADDRESS(ROW(),COLUMN(NOTA[ID]))),-1)))</f>
        <v>54</v>
      </c>
      <c r="F282" s="23"/>
      <c r="G282" s="26"/>
      <c r="H282" s="26"/>
      <c r="I282" s="31"/>
      <c r="J282" s="26"/>
      <c r="K282" s="51"/>
      <c r="L282" s="26"/>
      <c r="M282" s="26" t="s">
        <v>438</v>
      </c>
      <c r="N282" s="39">
        <v>1</v>
      </c>
      <c r="O282" s="26">
        <v>500</v>
      </c>
      <c r="P282" s="26" t="s">
        <v>131</v>
      </c>
      <c r="Q282" s="49">
        <v>1625</v>
      </c>
      <c r="R282" s="52"/>
      <c r="S282" s="39" t="s">
        <v>361</v>
      </c>
      <c r="T282" s="53">
        <v>0.125</v>
      </c>
      <c r="U282" s="53">
        <v>0.05</v>
      </c>
      <c r="V282" s="54"/>
      <c r="W282" s="37"/>
      <c r="X282" s="54">
        <f>IF(NOTA[[#This Row],[HARGA/ CTN]]="",NOTA[[#This Row],[JUMLAH_H]],NOTA[[#This Row],[HARGA/ CTN]]*IF(NOTA[[#This Row],[C]]="",0,NOTA[[#This Row],[C]]))</f>
        <v>812500</v>
      </c>
      <c r="Y282" s="54">
        <f>IF(NOTA[[#This Row],[JUMLAH]]="","",NOTA[[#This Row],[JUMLAH]]*NOTA[[#This Row],[DISC 1]])</f>
        <v>101562.5</v>
      </c>
      <c r="Z282" s="54">
        <f>IF(NOTA[[#This Row],[JUMLAH]]="","",(NOTA[[#This Row],[JUMLAH]]-NOTA[[#This Row],[DISC 1-]])*NOTA[[#This Row],[DISC 2]])</f>
        <v>35546.875</v>
      </c>
      <c r="AA282" s="54">
        <f>IF(NOTA[[#This Row],[JUMLAH]]="","",NOTA[[#This Row],[DISC 1-]]+NOTA[[#This Row],[DISC 2-]])</f>
        <v>137109.375</v>
      </c>
      <c r="AB282" s="54">
        <f>IF(NOTA[[#This Row],[JUMLAH]]="","",NOTA[[#This Row],[JUMLAH]]-NOTA[[#This Row],[DISC]])</f>
        <v>675390.625</v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282" s="54">
        <f>IF(OR(NOTA[[#This Row],[QTY]]="",NOTA[[#This Row],[HARGA SATUAN]]="",),"",NOTA[[#This Row],[QTY]]*NOTA[[#This Row],[HARGA SATUAN]])</f>
        <v>812500</v>
      </c>
      <c r="AG282" s="51">
        <f ca="1">IF(NOTA[ID_H]="","",INDEX(NOTA[TANGGAL],MATCH(,INDIRECT(ADDRESS(ROW(NOTA[TANGGAL]),COLUMN(NOTA[TANGGAL]))&amp;":"&amp;ADDRESS(ROW(),COLUMN(NOTA[TANGGAL]))),-1)))</f>
        <v>44937</v>
      </c>
      <c r="AH282" s="65" t="str">
        <f ca="1">IF(NOTA[[#This Row],[NAMA BARANG]]="","",INDEX(NOTA[SUPPLIER],MATCH(,INDIRECT(ADDRESS(ROW(NOTA[ID]),COLUMN(NOTA[ID]))&amp;":"&amp;ADDRESS(ROW(),COLUMN(NOTA[ID]))),-1)))</f>
        <v>ATALI MAKMUR</v>
      </c>
      <c r="AI282" s="65" t="str">
        <f ca="1">IF(NOTA[[#This Row],[ID_H]]="","",IF(NOTA[[#This Row],[FAKTUR]]="",INDIRECT(ADDRESS(ROW()-1,COLUMN())),NOTA[[#This Row],[FAKTUR]]))</f>
        <v>ARTO MORO</v>
      </c>
      <c r="AJ282" s="38" t="str">
        <f ca="1">IF(NOTA[[#This Row],[ID]]="","",COUNTIF(NOTA[ID_H],NOTA[[#This Row],[ID_H]]))</f>
        <v/>
      </c>
      <c r="AK282" s="38">
        <f ca="1">IF(NOTA[[#This Row],[TGL.NOTA]]="",IF(NOTA[[#This Row],[SUPPLIER_H]]="","",AK281),MONTH(NOTA[[#This Row],[TGL.NOTA]]))</f>
        <v>1</v>
      </c>
      <c r="AL28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282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N282" s="184">
        <f>IF(NOTA[[#This Row],[CONCAT1]]="","",MATCH(NOTA[[#This Row],[CONCAT1]],[1]!db[NB NOTA_C],0)+1)</f>
        <v>2090</v>
      </c>
    </row>
    <row r="283" spans="1:40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Row],[CEK_EXP]]&lt;D282,"err","")</f>
        <v/>
      </c>
      <c r="D283" s="50">
        <f>IF(NOTA[[#This Row],[TANGGAL]]="",D282,NOTA[[#This Row],[TANGGAL]])</f>
        <v>44937</v>
      </c>
      <c r="E283" s="50">
        <f ca="1">IF(NOTA[[#This Row],[NAMA BARANG]]="","",INDEX(NOTA[ID],MATCH(,INDIRECT(ADDRESS(ROW(NOTA[ID]),COLUMN(NOTA[ID]))&amp;":"&amp;ADDRESS(ROW(),COLUMN(NOTA[ID]))),-1)))</f>
        <v>54</v>
      </c>
      <c r="F283" s="23"/>
      <c r="G283" s="26"/>
      <c r="H283" s="26"/>
      <c r="I283" s="31"/>
      <c r="J283" s="26"/>
      <c r="K283" s="51"/>
      <c r="L283" s="26"/>
      <c r="M283" s="26" t="s">
        <v>439</v>
      </c>
      <c r="N283" s="39">
        <v>2</v>
      </c>
      <c r="O283" s="26">
        <v>1152</v>
      </c>
      <c r="P283" s="26" t="s">
        <v>104</v>
      </c>
      <c r="Q283" s="49">
        <v>1550</v>
      </c>
      <c r="R283" s="52"/>
      <c r="S283" s="39" t="s">
        <v>276</v>
      </c>
      <c r="T283" s="53">
        <v>0.125</v>
      </c>
      <c r="U283" s="53">
        <v>0.05</v>
      </c>
      <c r="V283" s="54"/>
      <c r="W283" s="37"/>
      <c r="X283" s="54">
        <f>IF(NOTA[[#This Row],[HARGA/ CTN]]="",NOTA[[#This Row],[JUMLAH_H]],NOTA[[#This Row],[HARGA/ CTN]]*IF(NOTA[[#This Row],[C]]="",0,NOTA[[#This Row],[C]]))</f>
        <v>1785600</v>
      </c>
      <c r="Y283" s="54">
        <f>IF(NOTA[[#This Row],[JUMLAH]]="","",NOTA[[#This Row],[JUMLAH]]*NOTA[[#This Row],[DISC 1]])</f>
        <v>223200</v>
      </c>
      <c r="Z283" s="54">
        <f>IF(NOTA[[#This Row],[JUMLAH]]="","",(NOTA[[#This Row],[JUMLAH]]-NOTA[[#This Row],[DISC 1-]])*NOTA[[#This Row],[DISC 2]])</f>
        <v>78120</v>
      </c>
      <c r="AA283" s="54">
        <f>IF(NOTA[[#This Row],[JUMLAH]]="","",NOTA[[#This Row],[DISC 1-]]+NOTA[[#This Row],[DISC 2-]])</f>
        <v>301320</v>
      </c>
      <c r="AB283" s="54">
        <f>IF(NOTA[[#This Row],[JUMLAH]]="","",NOTA[[#This Row],[JUMLAH]]-NOTA[[#This Row],[DISC]])</f>
        <v>1484280</v>
      </c>
      <c r="AC2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4006209.375</v>
      </c>
      <c r="AD2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19734290.625</v>
      </c>
      <c r="AE283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283" s="54">
        <f>IF(OR(NOTA[[#This Row],[QTY]]="",NOTA[[#This Row],[HARGA SATUAN]]="",),"",NOTA[[#This Row],[QTY]]*NOTA[[#This Row],[HARGA SATUAN]])</f>
        <v>1785600</v>
      </c>
      <c r="AG283" s="51">
        <f ca="1">IF(NOTA[ID_H]="","",INDEX(NOTA[TANGGAL],MATCH(,INDIRECT(ADDRESS(ROW(NOTA[TANGGAL]),COLUMN(NOTA[TANGGAL]))&amp;":"&amp;ADDRESS(ROW(),COLUMN(NOTA[TANGGAL]))),-1)))</f>
        <v>44937</v>
      </c>
      <c r="AH283" s="65" t="str">
        <f ca="1">IF(NOTA[[#This Row],[NAMA BARANG]]="","",INDEX(NOTA[SUPPLIER],MATCH(,INDIRECT(ADDRESS(ROW(NOTA[ID]),COLUMN(NOTA[ID]))&amp;":"&amp;ADDRESS(ROW(),COLUMN(NOTA[ID]))),-1)))</f>
        <v>ATALI MAKMUR</v>
      </c>
      <c r="AI283" s="65" t="str">
        <f ca="1">IF(NOTA[[#This Row],[ID_H]]="","",IF(NOTA[[#This Row],[FAKTUR]]="",INDIRECT(ADDRESS(ROW()-1,COLUMN())),NOTA[[#This Row],[FAKTUR]]))</f>
        <v>ARTO MORO</v>
      </c>
      <c r="AJ283" s="38" t="str">
        <f ca="1">IF(NOTA[[#This Row],[ID]]="","",COUNTIF(NOTA[ID_H],NOTA[[#This Row],[ID_H]]))</f>
        <v/>
      </c>
      <c r="AK283" s="38">
        <f ca="1">IF(NOTA[[#This Row],[TGL.NOTA]]="",IF(NOTA[[#This Row],[SUPPLIER_H]]="","",AK282),MONTH(NOTA[[#This Row],[TGL.NOTA]]))</f>
        <v>1</v>
      </c>
      <c r="AL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M283" s="38" t="str">
        <f>IF(NOTA[C]="",NOTA[[#This Row],[CONCAT1]]&amp;NOTA[[#This Row],[HARGA SATUAN]],NOTA[[#This Row],[CONCAT1]]&amp;NOTA[[#This Row],[HARGA/ CTN_H]]&amp;NOTA[[#This Row],[DISC 1]]&amp;NOTA[[#This Row],[DISC 2]])</f>
        <v>glueglr35jk8928000.1250.05</v>
      </c>
      <c r="AN283" s="184">
        <f>IF(NOTA[[#This Row],[CONCAT1]]="","",MATCH(NOTA[[#This Row],[CONCAT1]],[1]!db[NB NOTA_C],0)+1)</f>
        <v>920</v>
      </c>
    </row>
    <row r="284" spans="1:40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Row],[CEK_EXP]]&lt;D283,"err","")</f>
        <v/>
      </c>
      <c r="D284" s="50">
        <f>IF(NOTA[[#This Row],[TANGGAL]]="",D283,NOTA[[#This Row],[TANGGAL]])</f>
        <v>44937</v>
      </c>
      <c r="E284" s="50" t="str">
        <f ca="1">IF(NOTA[[#This Row],[NAMA BARANG]]="","",INDEX(NOTA[ID],MATCH(,INDIRECT(ADDRESS(ROW(NOTA[ID]),COLUMN(NOTA[ID]))&amp;":"&amp;ADDRESS(ROW(),COLUMN(NOTA[ID]))),-1)))</f>
        <v/>
      </c>
      <c r="F284" s="23"/>
      <c r="G284" s="26"/>
      <c r="H284" s="26"/>
      <c r="I284" s="31"/>
      <c r="J284" s="26"/>
      <c r="K284" s="51"/>
      <c r="L284" s="26"/>
      <c r="M284" s="26"/>
      <c r="N284" s="39"/>
      <c r="O284" s="26"/>
      <c r="P284" s="26"/>
      <c r="Q284" s="49"/>
      <c r="R284" s="52"/>
      <c r="S284" s="39"/>
      <c r="T284" s="53"/>
      <c r="U284" s="53"/>
      <c r="V284" s="54"/>
      <c r="W284" s="37"/>
      <c r="X284" s="54" t="str">
        <f>IF(NOTA[[#This Row],[HARGA/ CTN]]="",NOTA[[#This Row],[JUMLAH_H]],NOTA[[#This Row],[HARGA/ CTN]]*IF(NOTA[[#This Row],[C]]="",0,NOTA[[#This Row],[C]]))</f>
        <v/>
      </c>
      <c r="Y284" s="54" t="str">
        <f>IF(NOTA[[#This Row],[JUMLAH]]="","",NOTA[[#This Row],[JUMLAH]]*NOTA[[#This Row],[DISC 1]])</f>
        <v/>
      </c>
      <c r="Z284" s="54" t="str">
        <f>IF(NOTA[[#This Row],[JUMLAH]]="","",(NOTA[[#This Row],[JUMLAH]]-NOTA[[#This Row],[DISC 1-]])*NOTA[[#This Row],[DISC 2]])</f>
        <v/>
      </c>
      <c r="AA284" s="54" t="str">
        <f>IF(NOTA[[#This Row],[JUMLAH]]="","",NOTA[[#This Row],[DISC 1-]]+NOTA[[#This Row],[DISC 2-]])</f>
        <v/>
      </c>
      <c r="AB284" s="54" t="str">
        <f>IF(NOTA[[#This Row],[JUMLAH]]="","",NOTA[[#This Row],[JUMLAH]]-NOTA[[#This Row],[DISC]])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54" t="str">
        <f>IF(OR(NOTA[[#This Row],[QTY]]="",NOTA[[#This Row],[HARGA SATUAN]]="",),"",NOTA[[#This Row],[QTY]]*NOTA[[#This Row],[HARGA SATUAN]])</f>
        <v/>
      </c>
      <c r="AG284" s="51" t="str">
        <f ca="1">IF(NOTA[ID_H]="","",INDEX(NOTA[TANGGAL],MATCH(,INDIRECT(ADDRESS(ROW(NOTA[TANGGAL]),COLUMN(NOTA[TANGGAL]))&amp;":"&amp;ADDRESS(ROW(),COLUMN(NOTA[TANGGAL]))),-1)))</f>
        <v/>
      </c>
      <c r="AH284" s="65" t="str">
        <f ca="1">IF(NOTA[[#This Row],[NAMA BARANG]]="","",INDEX(NOTA[SUPPLIER],MATCH(,INDIRECT(ADDRESS(ROW(NOTA[ID]),COLUMN(NOTA[ID]))&amp;":"&amp;ADDRESS(ROW(),COLUMN(NOTA[ID]))),-1)))</f>
        <v/>
      </c>
      <c r="AI284" s="65" t="str">
        <f ca="1">IF(NOTA[[#This Row],[ID_H]]="","",IF(NOTA[[#This Row],[FAKTUR]]="",INDIRECT(ADDRESS(ROW()-1,COLUMN())),NOTA[[#This Row],[FAKTUR]]))</f>
        <v/>
      </c>
      <c r="AJ284" s="38" t="str">
        <f ca="1">IF(NOTA[[#This Row],[ID]]="","",COUNTIF(NOTA[ID_H],NOTA[[#This Row],[ID_H]]))</f>
        <v/>
      </c>
      <c r="AK284" s="38" t="str">
        <f ca="1">IF(NOTA[[#This Row],[TGL.NOTA]]="",IF(NOTA[[#This Row],[SUPPLIER_H]]="","",AK283),MONTH(NOTA[[#This Row],[TGL.NOTA]]))</f>
        <v/>
      </c>
      <c r="AL284" s="38" t="str">
        <f>LOWER(SUBSTITUTE(SUBSTITUTE(SUBSTITUTE(SUBSTITUTE(SUBSTITUTE(SUBSTITUTE(SUBSTITUTE(SUBSTITUTE(SUBSTITUTE(NOTA[NAMA BARANG]," ",),".",""),"-",""),"(",""),")",""),",",""),"/",""),"""",""),"+",""))</f>
        <v/>
      </c>
      <c r="AM284" s="38" t="str">
        <f>IF(NOTA[C]="",NOTA[[#This Row],[CONCAT1]]&amp;NOTA[[#This Row],[HARGA SATUAN]],NOTA[[#This Row],[CONCAT1]]&amp;NOTA[[#This Row],[HARGA/ CTN_H]]&amp;NOTA[[#This Row],[DISC 1]]&amp;NOTA[[#This Row],[DISC 2]])</f>
        <v/>
      </c>
      <c r="AN284" s="184" t="str">
        <f>IF(NOTA[[#This Row],[CONCAT1]]="","",MATCH(NOTA[[#This Row],[CONCAT1]],[1]!db[NB NOTA_C],0)+1)</f>
        <v/>
      </c>
    </row>
    <row r="285" spans="1:40" ht="20.100000000000001" customHeight="1" x14ac:dyDescent="0.25">
      <c r="A285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KAL_1101_066-3</v>
      </c>
      <c r="C285" s="50" t="str">
        <f>IF(NOTA[[#This Row],[CEK_EXP]]&lt;D284,"err","")</f>
        <v/>
      </c>
      <c r="D285" s="50">
        <f>IF(NOTA[[#This Row],[TANGGAL]]="",D284,NOTA[[#This Row],[TANGGAL]])</f>
        <v>44937</v>
      </c>
      <c r="E285" s="50">
        <f ca="1">IF(NOTA[[#This Row],[NAMA BARANG]]="","",INDEX(NOTA[ID],MATCH(,INDIRECT(ADDRESS(ROW(NOTA[ID]),COLUMN(NOTA[ID]))&amp;":"&amp;ADDRESS(ROW(),COLUMN(NOTA[ID]))),-1)))</f>
        <v>55</v>
      </c>
      <c r="F285" s="23"/>
      <c r="G285" s="26" t="s">
        <v>52</v>
      </c>
      <c r="H285" s="26" t="s">
        <v>24</v>
      </c>
      <c r="I285" s="31" t="s">
        <v>440</v>
      </c>
      <c r="J285" s="26"/>
      <c r="K285" s="51">
        <v>44932</v>
      </c>
      <c r="L285" s="26"/>
      <c r="M285" s="26" t="s">
        <v>441</v>
      </c>
      <c r="N285" s="39">
        <v>2</v>
      </c>
      <c r="O285" s="26">
        <v>160</v>
      </c>
      <c r="P285" s="26" t="s">
        <v>104</v>
      </c>
      <c r="Q285" s="49">
        <v>60000</v>
      </c>
      <c r="R285" s="52"/>
      <c r="S285" s="39" t="s">
        <v>442</v>
      </c>
      <c r="T285" s="53">
        <v>0.125</v>
      </c>
      <c r="U285" s="53">
        <v>0.1</v>
      </c>
      <c r="V285" s="54"/>
      <c r="W285" s="37"/>
      <c r="X285" s="54">
        <f>IF(NOTA[[#This Row],[HARGA/ CTN]]="",NOTA[[#This Row],[JUMLAH_H]],NOTA[[#This Row],[HARGA/ CTN]]*IF(NOTA[[#This Row],[C]]="",0,NOTA[[#This Row],[C]]))</f>
        <v>9600000</v>
      </c>
      <c r="Y285" s="54">
        <f>IF(NOTA[[#This Row],[JUMLAH]]="","",NOTA[[#This Row],[JUMLAH]]*NOTA[[#This Row],[DISC 1]])</f>
        <v>1200000</v>
      </c>
      <c r="Z285" s="54">
        <f>IF(NOTA[[#This Row],[JUMLAH]]="","",(NOTA[[#This Row],[JUMLAH]]-NOTA[[#This Row],[DISC 1-]])*NOTA[[#This Row],[DISC 2]])</f>
        <v>840000</v>
      </c>
      <c r="AA285" s="54">
        <f>IF(NOTA[[#This Row],[JUMLAH]]="","",NOTA[[#This Row],[DISC 1-]]+NOTA[[#This Row],[DISC 2-]])</f>
        <v>2040000</v>
      </c>
      <c r="AB285" s="54">
        <f>IF(NOTA[[#This Row],[JUMLAH]]="","",NOTA[[#This Row],[JUMLAH]]-NOTA[[#This Row],[DISC]])</f>
        <v>7560000</v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85" s="54">
        <f>IF(OR(NOTA[[#This Row],[QTY]]="",NOTA[[#This Row],[HARGA SATUAN]]="",),"",NOTA[[#This Row],[QTY]]*NOTA[[#This Row],[HARGA SATUAN]])</f>
        <v>9600000</v>
      </c>
      <c r="AG285" s="51">
        <f ca="1">IF(NOTA[ID_H]="","",INDEX(NOTA[TANGGAL],MATCH(,INDIRECT(ADDRESS(ROW(NOTA[TANGGAL]),COLUMN(NOTA[TANGGAL]))&amp;":"&amp;ADDRESS(ROW(),COLUMN(NOTA[TANGGAL]))),-1)))</f>
        <v>44937</v>
      </c>
      <c r="AH285" s="65" t="str">
        <f ca="1">IF(NOTA[[#This Row],[NAMA BARANG]]="","",INDEX(NOTA[SUPPLIER],MATCH(,INDIRECT(ADDRESS(ROW(NOTA[ID]),COLUMN(NOTA[ID]))&amp;":"&amp;ADDRESS(ROW(),COLUMN(NOTA[ID]))),-1)))</f>
        <v>KALINDO SUKSES</v>
      </c>
      <c r="AI285" s="65" t="str">
        <f ca="1">IF(NOTA[[#This Row],[ID_H]]="","",IF(NOTA[[#This Row],[FAKTUR]]="",INDIRECT(ADDRESS(ROW()-1,COLUMN())),NOTA[[#This Row],[FAKTUR]]))</f>
        <v>ARTO MORO</v>
      </c>
      <c r="AJ285" s="38">
        <f ca="1">IF(NOTA[[#This Row],[ID]]="","",COUNTIF(NOTA[ID_H],NOTA[[#This Row],[ID_H]]))</f>
        <v>3</v>
      </c>
      <c r="AK285" s="38">
        <f>IF(NOTA[[#This Row],[TGL.NOTA]]="",IF(NOTA[[#This Row],[SUPPLIER_H]]="","",AK284),MONTH(NOTA[[#This Row],[TGL.NOTA]]))</f>
        <v>1</v>
      </c>
      <c r="AL285" s="38" t="str">
        <f>LOWER(SUBSTITUTE(SUBSTITUTE(SUBSTITUTE(SUBSTITUTE(SUBSTITUTE(SUBSTITUTE(SUBSTITUTE(SUBSTITUTE(SUBSTITUTE(NOTA[NAMA BARANG]," ",),".",""),"-",""),"(",""),")",""),",",""),"/",""),"""",""),"+",""))</f>
        <v>calculatorjoykocc19a</v>
      </c>
      <c r="AM285" s="38" t="str">
        <f>IF(NOTA[C]="",NOTA[[#This Row],[CONCAT1]]&amp;NOTA[[#This Row],[HARGA SATUAN]],NOTA[[#This Row],[CONCAT1]]&amp;NOTA[[#This Row],[HARGA/ CTN_H]]&amp;NOTA[[#This Row],[DISC 1]]&amp;NOTA[[#This Row],[DISC 2]])</f>
        <v>calculatorjoykocc19a48000000.1250.1</v>
      </c>
      <c r="AN285" s="184">
        <f>IF(NOTA[[#This Row],[CONCAT1]]="","",MATCH(NOTA[[#This Row],[CONCAT1]],[1]!db[NB NOTA_C],0)+1)</f>
        <v>393</v>
      </c>
    </row>
    <row r="286" spans="1:40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Row],[CEK_EXP]]&lt;D285,"err","")</f>
        <v/>
      </c>
      <c r="D286" s="50">
        <f>IF(NOTA[[#This Row],[TANGGAL]]="",D285,NOTA[[#This Row],[TANGGAL]])</f>
        <v>44937</v>
      </c>
      <c r="E286" s="50">
        <f ca="1">IF(NOTA[[#This Row],[NAMA BARANG]]="","",INDEX(NOTA[ID],MATCH(,INDIRECT(ADDRESS(ROW(NOTA[ID]),COLUMN(NOTA[ID]))&amp;":"&amp;ADDRESS(ROW(),COLUMN(NOTA[ID]))),-1)))</f>
        <v>55</v>
      </c>
      <c r="F286" s="23"/>
      <c r="G286" s="26"/>
      <c r="H286" s="26"/>
      <c r="I286" s="31"/>
      <c r="J286" s="26"/>
      <c r="K286" s="51"/>
      <c r="L286" s="26"/>
      <c r="M286" s="26" t="s">
        <v>443</v>
      </c>
      <c r="N286" s="39">
        <v>2</v>
      </c>
      <c r="O286" s="26">
        <v>160</v>
      </c>
      <c r="P286" s="26" t="s">
        <v>104</v>
      </c>
      <c r="Q286" s="49">
        <v>62000</v>
      </c>
      <c r="R286" s="52"/>
      <c r="S286" s="39" t="s">
        <v>444</v>
      </c>
      <c r="T286" s="53">
        <v>0.125</v>
      </c>
      <c r="U286" s="53">
        <v>0.1</v>
      </c>
      <c r="V286" s="54"/>
      <c r="W286" s="37"/>
      <c r="X286" s="54">
        <f>IF(NOTA[[#This Row],[HARGA/ CTN]]="",NOTA[[#This Row],[JUMLAH_H]],NOTA[[#This Row],[HARGA/ CTN]]*IF(NOTA[[#This Row],[C]]="",0,NOTA[[#This Row],[C]]))</f>
        <v>9920000</v>
      </c>
      <c r="Y286" s="54">
        <f>IF(NOTA[[#This Row],[JUMLAH]]="","",NOTA[[#This Row],[JUMLAH]]*NOTA[[#This Row],[DISC 1]])</f>
        <v>1240000</v>
      </c>
      <c r="Z286" s="54">
        <f>IF(NOTA[[#This Row],[JUMLAH]]="","",(NOTA[[#This Row],[JUMLAH]]-NOTA[[#This Row],[DISC 1-]])*NOTA[[#This Row],[DISC 2]])</f>
        <v>868000</v>
      </c>
      <c r="AA286" s="54">
        <f>IF(NOTA[[#This Row],[JUMLAH]]="","",NOTA[[#This Row],[DISC 1-]]+NOTA[[#This Row],[DISC 2-]])</f>
        <v>2108000</v>
      </c>
      <c r="AB286" s="54">
        <f>IF(NOTA[[#This Row],[JUMLAH]]="","",NOTA[[#This Row],[JUMLAH]]-NOTA[[#This Row],[DISC]])</f>
        <v>7812000</v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9">
        <f>IF(NOTA[[#This Row],[NAMA BARANG]]="","",IF(NOTA[[#This Row],[JUMLAH_H]]="",NOTA[[#This Row],[HARGA/ CTN]],NOTA[[#This Row],[QTY]]*NOTA[[#This Row],[HARGA SATUAN]]/IF(ISNUMBER(NOTA[[#This Row],[C]]),NOTA[[#This Row],[C]],1)))</f>
        <v>4960000</v>
      </c>
      <c r="AF286" s="54">
        <f>IF(OR(NOTA[[#This Row],[QTY]]="",NOTA[[#This Row],[HARGA SATUAN]]="",),"",NOTA[[#This Row],[QTY]]*NOTA[[#This Row],[HARGA SATUAN]])</f>
        <v>9920000</v>
      </c>
      <c r="AG286" s="51">
        <f ca="1">IF(NOTA[ID_H]="","",INDEX(NOTA[TANGGAL],MATCH(,INDIRECT(ADDRESS(ROW(NOTA[TANGGAL]),COLUMN(NOTA[TANGGAL]))&amp;":"&amp;ADDRESS(ROW(),COLUMN(NOTA[TANGGAL]))),-1)))</f>
        <v>44937</v>
      </c>
      <c r="AH286" s="65" t="str">
        <f ca="1">IF(NOTA[[#This Row],[NAMA BARANG]]="","",INDEX(NOTA[SUPPLIER],MATCH(,INDIRECT(ADDRESS(ROW(NOTA[ID]),COLUMN(NOTA[ID]))&amp;":"&amp;ADDRESS(ROW(),COLUMN(NOTA[ID]))),-1)))</f>
        <v>KALINDO SUKSES</v>
      </c>
      <c r="AI286" s="65" t="str">
        <f ca="1">IF(NOTA[[#This Row],[ID_H]]="","",IF(NOTA[[#This Row],[FAKTUR]]="",INDIRECT(ADDRESS(ROW()-1,COLUMN())),NOTA[[#This Row],[FAKTUR]]))</f>
        <v>ARTO MORO</v>
      </c>
      <c r="AJ286" s="38" t="str">
        <f ca="1">IF(NOTA[[#This Row],[ID]]="","",COUNTIF(NOTA[ID_H],NOTA[[#This Row],[ID_H]]))</f>
        <v/>
      </c>
      <c r="AK286" s="38">
        <f ca="1">IF(NOTA[[#This Row],[TGL.NOTA]]="",IF(NOTA[[#This Row],[SUPPLIER_H]]="","",AK285),MONTH(NOTA[[#This Row],[TGL.NOTA]]))</f>
        <v>1</v>
      </c>
      <c r="AL286" s="38" t="str">
        <f>LOWER(SUBSTITUTE(SUBSTITUTE(SUBSTITUTE(SUBSTITUTE(SUBSTITUTE(SUBSTITUTE(SUBSTITUTE(SUBSTITUTE(SUBSTITUTE(NOTA[NAMA BARANG]," ",),".",""),"-",""),"(",""),")",""),",",""),"/",""),"""",""),"+",""))</f>
        <v>calculatorjoykocc56</v>
      </c>
      <c r="AM286" s="38" t="str">
        <f>IF(NOTA[C]="",NOTA[[#This Row],[CONCAT1]]&amp;NOTA[[#This Row],[HARGA SATUAN]],NOTA[[#This Row],[CONCAT1]]&amp;NOTA[[#This Row],[HARGA/ CTN_H]]&amp;NOTA[[#This Row],[DISC 1]]&amp;NOTA[[#This Row],[DISC 2]])</f>
        <v>calculatorjoykocc5649600000.1250.1</v>
      </c>
      <c r="AN286" s="184">
        <f>IF(NOTA[[#This Row],[CONCAT1]]="","",MATCH(NOTA[[#This Row],[CONCAT1]],[1]!db[NB NOTA_C],0)+1)</f>
        <v>415</v>
      </c>
    </row>
    <row r="287" spans="1:40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Row],[CEK_EXP]]&lt;D286,"err","")</f>
        <v/>
      </c>
      <c r="D287" s="50">
        <f>IF(NOTA[[#This Row],[TANGGAL]]="",D286,NOTA[[#This Row],[TANGGAL]])</f>
        <v>44937</v>
      </c>
      <c r="E287" s="50">
        <f ca="1">IF(NOTA[[#This Row],[NAMA BARANG]]="","",INDEX(NOTA[ID],MATCH(,INDIRECT(ADDRESS(ROW(NOTA[ID]),COLUMN(NOTA[ID]))&amp;":"&amp;ADDRESS(ROW(),COLUMN(NOTA[ID]))),-1)))</f>
        <v>55</v>
      </c>
      <c r="F287" s="23"/>
      <c r="G287" s="26"/>
      <c r="H287" s="26"/>
      <c r="I287" s="31"/>
      <c r="J287" s="26"/>
      <c r="K287" s="51"/>
      <c r="L287" s="26"/>
      <c r="M287" s="26" t="s">
        <v>445</v>
      </c>
      <c r="N287" s="39">
        <v>2</v>
      </c>
      <c r="O287" s="26">
        <v>120</v>
      </c>
      <c r="P287" s="26" t="s">
        <v>104</v>
      </c>
      <c r="Q287" s="49">
        <v>88000</v>
      </c>
      <c r="R287" s="52"/>
      <c r="S287" s="39" t="s">
        <v>446</v>
      </c>
      <c r="T287" s="53">
        <v>0.125</v>
      </c>
      <c r="U287" s="53">
        <v>0.1</v>
      </c>
      <c r="V287" s="54"/>
      <c r="W287" s="37"/>
      <c r="X287" s="54">
        <f>IF(NOTA[[#This Row],[HARGA/ CTN]]="",NOTA[[#This Row],[JUMLAH_H]],NOTA[[#This Row],[HARGA/ CTN]]*IF(NOTA[[#This Row],[C]]="",0,NOTA[[#This Row],[C]]))</f>
        <v>10560000</v>
      </c>
      <c r="Y287" s="54">
        <f>IF(NOTA[[#This Row],[JUMLAH]]="","",NOTA[[#This Row],[JUMLAH]]*NOTA[[#This Row],[DISC 1]])</f>
        <v>1320000</v>
      </c>
      <c r="Z287" s="54">
        <f>IF(NOTA[[#This Row],[JUMLAH]]="","",(NOTA[[#This Row],[JUMLAH]]-NOTA[[#This Row],[DISC 1-]])*NOTA[[#This Row],[DISC 2]])</f>
        <v>924000</v>
      </c>
      <c r="AA287" s="54">
        <f>IF(NOTA[[#This Row],[JUMLAH]]="","",NOTA[[#This Row],[DISC 1-]]+NOTA[[#This Row],[DISC 2-]])</f>
        <v>2244000</v>
      </c>
      <c r="AB287" s="54">
        <f>IF(NOTA[[#This Row],[JUMLAH]]="","",NOTA[[#This Row],[JUMLAH]]-NOTA[[#This Row],[DISC]])</f>
        <v>8316000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6392000</v>
      </c>
      <c r="AD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23688000</v>
      </c>
      <c r="AE287" s="49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287" s="54">
        <f>IF(OR(NOTA[[#This Row],[QTY]]="",NOTA[[#This Row],[HARGA SATUAN]]="",),"",NOTA[[#This Row],[QTY]]*NOTA[[#This Row],[HARGA SATUAN]])</f>
        <v>10560000</v>
      </c>
      <c r="AG287" s="51">
        <f ca="1">IF(NOTA[ID_H]="","",INDEX(NOTA[TANGGAL],MATCH(,INDIRECT(ADDRESS(ROW(NOTA[TANGGAL]),COLUMN(NOTA[TANGGAL]))&amp;":"&amp;ADDRESS(ROW(),COLUMN(NOTA[TANGGAL]))),-1)))</f>
        <v>44937</v>
      </c>
      <c r="AH287" s="65" t="str">
        <f ca="1">IF(NOTA[[#This Row],[NAMA BARANG]]="","",INDEX(NOTA[SUPPLIER],MATCH(,INDIRECT(ADDRESS(ROW(NOTA[ID]),COLUMN(NOTA[ID]))&amp;":"&amp;ADDRESS(ROW(),COLUMN(NOTA[ID]))),-1)))</f>
        <v>KALINDO SUKSES</v>
      </c>
      <c r="AI287" s="65" t="str">
        <f ca="1">IF(NOTA[[#This Row],[ID_H]]="","",IF(NOTA[[#This Row],[FAKTUR]]="",INDIRECT(ADDRESS(ROW()-1,COLUMN())),NOTA[[#This Row],[FAKTUR]]))</f>
        <v>ARTO MORO</v>
      </c>
      <c r="AJ287" s="38" t="str">
        <f ca="1">IF(NOTA[[#This Row],[ID]]="","",COUNTIF(NOTA[ID_H],NOTA[[#This Row],[ID_H]]))</f>
        <v/>
      </c>
      <c r="AK287" s="38">
        <f ca="1">IF(NOTA[[#This Row],[TGL.NOTA]]="",IF(NOTA[[#This Row],[SUPPLIER_H]]="","",AK286),MONTH(NOTA[[#This Row],[TGL.NOTA]]))</f>
        <v>1</v>
      </c>
      <c r="AL287" s="38" t="str">
        <f>LOWER(SUBSTITUTE(SUBSTITUTE(SUBSTITUTE(SUBSTITUTE(SUBSTITUTE(SUBSTITUTE(SUBSTITUTE(SUBSTITUTE(SUBSTITUTE(NOTA[NAMA BARANG]," ",),".",""),"-",""),"(",""),")",""),",",""),"/",""),"""",""),"+",""))</f>
        <v>calculatorjoykocc57</v>
      </c>
      <c r="AM287" s="38" t="str">
        <f>IF(NOTA[C]="",NOTA[[#This Row],[CONCAT1]]&amp;NOTA[[#This Row],[HARGA SATUAN]],NOTA[[#This Row],[CONCAT1]]&amp;NOTA[[#This Row],[HARGA/ CTN_H]]&amp;NOTA[[#This Row],[DISC 1]]&amp;NOTA[[#This Row],[DISC 2]])</f>
        <v>calculatorjoykocc5752800000.1250.1</v>
      </c>
      <c r="AN287" s="184">
        <f>IF(NOTA[[#This Row],[CONCAT1]]="","",MATCH(NOTA[[#This Row],[CONCAT1]],[1]!db[NB NOTA_C],0)+1)</f>
        <v>416</v>
      </c>
    </row>
    <row r="288" spans="1:40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Row],[CEK_EXP]]&lt;D287,"err","")</f>
        <v/>
      </c>
      <c r="D288" s="50">
        <f>IF(NOTA[[#This Row],[TANGGAL]]="",D287,NOTA[[#This Row],[TANGGAL]])</f>
        <v>44937</v>
      </c>
      <c r="E288" s="50" t="str">
        <f ca="1">IF(NOTA[[#This Row],[NAMA BARANG]]="","",INDEX(NOTA[ID],MATCH(,INDIRECT(ADDRESS(ROW(NOTA[ID]),COLUMN(NOTA[ID]))&amp;":"&amp;ADDRESS(ROW(),COLUMN(NOTA[ID]))),-1)))</f>
        <v/>
      </c>
      <c r="F288" s="23"/>
      <c r="G288" s="26"/>
      <c r="H288" s="26"/>
      <c r="I288" s="31"/>
      <c r="J288" s="26"/>
      <c r="K288" s="51"/>
      <c r="L288" s="26"/>
      <c r="M288" s="26"/>
      <c r="N288" s="39"/>
      <c r="O288" s="26"/>
      <c r="P288" s="26"/>
      <c r="Q288" s="49"/>
      <c r="R288" s="52"/>
      <c r="S288" s="39"/>
      <c r="T288" s="53"/>
      <c r="U288" s="53"/>
      <c r="V288" s="54"/>
      <c r="W288" s="37"/>
      <c r="X288" s="54" t="str">
        <f>IF(NOTA[[#This Row],[HARGA/ CTN]]="",NOTA[[#This Row],[JUMLAH_H]],NOTA[[#This Row],[HARGA/ CTN]]*IF(NOTA[[#This Row],[C]]="",0,NOTA[[#This Row],[C]]))</f>
        <v/>
      </c>
      <c r="Y288" s="54" t="str">
        <f>IF(NOTA[[#This Row],[JUMLAH]]="","",NOTA[[#This Row],[JUMLAH]]*NOTA[[#This Row],[DISC 1]])</f>
        <v/>
      </c>
      <c r="Z288" s="54" t="str">
        <f>IF(NOTA[[#This Row],[JUMLAH]]="","",(NOTA[[#This Row],[JUMLAH]]-NOTA[[#This Row],[DISC 1-]])*NOTA[[#This Row],[DISC 2]])</f>
        <v/>
      </c>
      <c r="AA288" s="54" t="str">
        <f>IF(NOTA[[#This Row],[JUMLAH]]="","",NOTA[[#This Row],[DISC 1-]]+NOTA[[#This Row],[DISC 2-]])</f>
        <v/>
      </c>
      <c r="AB288" s="54" t="str">
        <f>IF(NOTA[[#This Row],[JUMLAH]]="","",NOTA[[#This Row],[JUMLAH]]-NOTA[[#This Row],[DISC]])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54" t="str">
        <f>IF(OR(NOTA[[#This Row],[QTY]]="",NOTA[[#This Row],[HARGA SATUAN]]="",),"",NOTA[[#This Row],[QTY]]*NOTA[[#This Row],[HARGA SATUAN]])</f>
        <v/>
      </c>
      <c r="AG288" s="51" t="str">
        <f ca="1">IF(NOTA[ID_H]="","",INDEX(NOTA[TANGGAL],MATCH(,INDIRECT(ADDRESS(ROW(NOTA[TANGGAL]),COLUMN(NOTA[TANGGAL]))&amp;":"&amp;ADDRESS(ROW(),COLUMN(NOTA[TANGGAL]))),-1)))</f>
        <v/>
      </c>
      <c r="AH288" s="65" t="str">
        <f ca="1">IF(NOTA[[#This Row],[NAMA BARANG]]="","",INDEX(NOTA[SUPPLIER],MATCH(,INDIRECT(ADDRESS(ROW(NOTA[ID]),COLUMN(NOTA[ID]))&amp;":"&amp;ADDRESS(ROW(),COLUMN(NOTA[ID]))),-1)))</f>
        <v/>
      </c>
      <c r="AI288" s="65" t="str">
        <f ca="1">IF(NOTA[[#This Row],[ID_H]]="","",IF(NOTA[[#This Row],[FAKTUR]]="",INDIRECT(ADDRESS(ROW()-1,COLUMN())),NOTA[[#This Row],[FAKTUR]]))</f>
        <v/>
      </c>
      <c r="AJ288" s="38" t="str">
        <f ca="1">IF(NOTA[[#This Row],[ID]]="","",COUNTIF(NOTA[ID_H],NOTA[[#This Row],[ID_H]]))</f>
        <v/>
      </c>
      <c r="AK288" s="38" t="str">
        <f ca="1">IF(NOTA[[#This Row],[TGL.NOTA]]="",IF(NOTA[[#This Row],[SUPPLIER_H]]="","",AK287),MONTH(NOTA[[#This Row],[TGL.NOTA]]))</f>
        <v/>
      </c>
      <c r="AL288" s="38" t="str">
        <f>LOWER(SUBSTITUTE(SUBSTITUTE(SUBSTITUTE(SUBSTITUTE(SUBSTITUTE(SUBSTITUTE(SUBSTITUTE(SUBSTITUTE(SUBSTITUTE(NOTA[NAMA BARANG]," ",),".",""),"-",""),"(",""),")",""),",",""),"/",""),"""",""),"+",""))</f>
        <v/>
      </c>
      <c r="AM288" s="38" t="str">
        <f>IF(NOTA[C]="",NOTA[[#This Row],[CONCAT1]]&amp;NOTA[[#This Row],[HARGA SATUAN]],NOTA[[#This Row],[CONCAT1]]&amp;NOTA[[#This Row],[HARGA/ CTN_H]]&amp;NOTA[[#This Row],[DISC 1]]&amp;NOTA[[#This Row],[DISC 2]])</f>
        <v/>
      </c>
      <c r="AN288" s="184" t="str">
        <f>IF(NOTA[[#This Row],[CONCAT1]]="","",MATCH(NOTA[[#This Row],[CONCAT1]],[1]!db[NB NOTA_C],0)+1)</f>
        <v/>
      </c>
    </row>
    <row r="289" spans="1:40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ATA_1101_433-7</v>
      </c>
      <c r="C289" s="50" t="str">
        <f>IF(NOTA[[#This Row],[CEK_EXP]]&lt;D288,"err","")</f>
        <v/>
      </c>
      <c r="D289" s="50">
        <f>IF(NOTA[[#This Row],[TANGGAL]]="",D288,NOTA[[#This Row],[TANGGAL]])</f>
        <v>44937</v>
      </c>
      <c r="E289" s="50">
        <f ca="1">IF(NOTA[[#This Row],[NAMA BARANG]]="","",INDEX(NOTA[ID],MATCH(,INDIRECT(ADDRESS(ROW(NOTA[ID]),COLUMN(NOTA[ID]))&amp;":"&amp;ADDRESS(ROW(),COLUMN(NOTA[ID]))),-1)))</f>
        <v>56</v>
      </c>
      <c r="F289" s="23"/>
      <c r="G289" s="26" t="s">
        <v>25</v>
      </c>
      <c r="H289" s="26" t="s">
        <v>24</v>
      </c>
      <c r="I289" s="31" t="s">
        <v>447</v>
      </c>
      <c r="J289" s="26"/>
      <c r="K289" s="51">
        <v>44933</v>
      </c>
      <c r="L289" s="26"/>
      <c r="M289" s="26" t="s">
        <v>278</v>
      </c>
      <c r="N289" s="39">
        <v>5</v>
      </c>
      <c r="O289" s="26">
        <v>250</v>
      </c>
      <c r="P289" s="26" t="s">
        <v>131</v>
      </c>
      <c r="Q289" s="49">
        <v>28300</v>
      </c>
      <c r="R289" s="52"/>
      <c r="S289" s="39" t="s">
        <v>279</v>
      </c>
      <c r="T289" s="53">
        <v>0.125</v>
      </c>
      <c r="U289" s="53">
        <v>0.05</v>
      </c>
      <c r="V289" s="54"/>
      <c r="W289" s="37"/>
      <c r="X289" s="54">
        <f>IF(NOTA[[#This Row],[HARGA/ CTN]]="",NOTA[[#This Row],[JUMLAH_H]],NOTA[[#This Row],[HARGA/ CTN]]*IF(NOTA[[#This Row],[C]]="",0,NOTA[[#This Row],[C]]))</f>
        <v>7075000</v>
      </c>
      <c r="Y289" s="54">
        <f>IF(NOTA[[#This Row],[JUMLAH]]="","",NOTA[[#This Row],[JUMLAH]]*NOTA[[#This Row],[DISC 1]])</f>
        <v>884375</v>
      </c>
      <c r="Z289" s="54">
        <f>IF(NOTA[[#This Row],[JUMLAH]]="","",(NOTA[[#This Row],[JUMLAH]]-NOTA[[#This Row],[DISC 1-]])*NOTA[[#This Row],[DISC 2]])</f>
        <v>309531.25</v>
      </c>
      <c r="AA289" s="54">
        <f>IF(NOTA[[#This Row],[JUMLAH]]="","",NOTA[[#This Row],[DISC 1-]]+NOTA[[#This Row],[DISC 2-]])</f>
        <v>1193906.25</v>
      </c>
      <c r="AB289" s="54">
        <f>IF(NOTA[[#This Row],[JUMLAH]]="","",NOTA[[#This Row],[JUMLAH]]-NOTA[[#This Row],[DISC]])</f>
        <v>5881093.75</v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89" s="54">
        <f>IF(OR(NOTA[[#This Row],[QTY]]="",NOTA[[#This Row],[HARGA SATUAN]]="",),"",NOTA[[#This Row],[QTY]]*NOTA[[#This Row],[HARGA SATUAN]])</f>
        <v>7075000</v>
      </c>
      <c r="AG289" s="51">
        <f ca="1">IF(NOTA[ID_H]="","",INDEX(NOTA[TANGGAL],MATCH(,INDIRECT(ADDRESS(ROW(NOTA[TANGGAL]),COLUMN(NOTA[TANGGAL]))&amp;":"&amp;ADDRESS(ROW(),COLUMN(NOTA[TANGGAL]))),-1)))</f>
        <v>44937</v>
      </c>
      <c r="AH289" s="65" t="str">
        <f ca="1">IF(NOTA[[#This Row],[NAMA BARANG]]="","",INDEX(NOTA[SUPPLIER],MATCH(,INDIRECT(ADDRESS(ROW(NOTA[ID]),COLUMN(NOTA[ID]))&amp;":"&amp;ADDRESS(ROW(),COLUMN(NOTA[ID]))),-1)))</f>
        <v>ATALI MAKMUR</v>
      </c>
      <c r="AI289" s="65" t="str">
        <f ca="1">IF(NOTA[[#This Row],[ID_H]]="","",IF(NOTA[[#This Row],[FAKTUR]]="",INDIRECT(ADDRESS(ROW()-1,COLUMN())),NOTA[[#This Row],[FAKTUR]]))</f>
        <v>ARTO MORO</v>
      </c>
      <c r="AJ289" s="38">
        <f ca="1">IF(NOTA[[#This Row],[ID]]="","",COUNTIF(NOTA[ID_H],NOTA[[#This Row],[ID_H]]))</f>
        <v>7</v>
      </c>
      <c r="AK289" s="38">
        <f>IF(NOTA[[#This Row],[TGL.NOTA]]="",IF(NOTA[[#This Row],[SUPPLIER_H]]="","",AK288),MONTH(NOTA[[#This Row],[TGL.NOTA]]))</f>
        <v>1</v>
      </c>
      <c r="AL289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289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289" s="184">
        <f>IF(NOTA[[#This Row],[CONCAT1]]="","",MATCH(NOTA[[#This Row],[CONCAT1]],[1]!db[NB NOTA_C],0)+1)</f>
        <v>680</v>
      </c>
    </row>
    <row r="290" spans="1:40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Row],[CEK_EXP]]&lt;D289,"err","")</f>
        <v/>
      </c>
      <c r="D290" s="50">
        <f>IF(NOTA[[#This Row],[TANGGAL]]="",D289,NOTA[[#This Row],[TANGGAL]])</f>
        <v>44937</v>
      </c>
      <c r="E290" s="50">
        <f ca="1">IF(NOTA[[#This Row],[NAMA BARANG]]="","",INDEX(NOTA[ID],MATCH(,INDIRECT(ADDRESS(ROW(NOTA[ID]),COLUMN(NOTA[ID]))&amp;":"&amp;ADDRESS(ROW(),COLUMN(NOTA[ID]))),-1)))</f>
        <v>56</v>
      </c>
      <c r="F290" s="23"/>
      <c r="G290" s="26"/>
      <c r="H290" s="26"/>
      <c r="I290" s="31"/>
      <c r="J290" s="26"/>
      <c r="K290" s="51"/>
      <c r="L290" s="26"/>
      <c r="M290" s="26" t="s">
        <v>283</v>
      </c>
      <c r="N290" s="39">
        <v>2</v>
      </c>
      <c r="O290" s="26">
        <v>100</v>
      </c>
      <c r="P290" s="26" t="s">
        <v>131</v>
      </c>
      <c r="Q290" s="49">
        <v>28300</v>
      </c>
      <c r="R290" s="52"/>
      <c r="S290" s="39" t="s">
        <v>279</v>
      </c>
      <c r="T290" s="53">
        <v>0.125</v>
      </c>
      <c r="U290" s="53">
        <v>0.05</v>
      </c>
      <c r="V290" s="54"/>
      <c r="W290" s="37"/>
      <c r="X290" s="54">
        <f>IF(NOTA[[#This Row],[HARGA/ CTN]]="",NOTA[[#This Row],[JUMLAH_H]],NOTA[[#This Row],[HARGA/ CTN]]*IF(NOTA[[#This Row],[C]]="",0,NOTA[[#This Row],[C]]))</f>
        <v>2830000</v>
      </c>
      <c r="Y290" s="54">
        <f>IF(NOTA[[#This Row],[JUMLAH]]="","",NOTA[[#This Row],[JUMLAH]]*NOTA[[#This Row],[DISC 1]])</f>
        <v>353750</v>
      </c>
      <c r="Z290" s="54">
        <f>IF(NOTA[[#This Row],[JUMLAH]]="","",(NOTA[[#This Row],[JUMLAH]]-NOTA[[#This Row],[DISC 1-]])*NOTA[[#This Row],[DISC 2]])</f>
        <v>123812.5</v>
      </c>
      <c r="AA290" s="54">
        <f>IF(NOTA[[#This Row],[JUMLAH]]="","",NOTA[[#This Row],[DISC 1-]]+NOTA[[#This Row],[DISC 2-]])</f>
        <v>477562.5</v>
      </c>
      <c r="AB290" s="54">
        <f>IF(NOTA[[#This Row],[JUMLAH]]="","",NOTA[[#This Row],[JUMLAH]]-NOTA[[#This Row],[DISC]])</f>
        <v>2352437.5</v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90" s="54">
        <f>IF(OR(NOTA[[#This Row],[QTY]]="",NOTA[[#This Row],[HARGA SATUAN]]="",),"",NOTA[[#This Row],[QTY]]*NOTA[[#This Row],[HARGA SATUAN]])</f>
        <v>2830000</v>
      </c>
      <c r="AG290" s="51">
        <f ca="1">IF(NOTA[ID_H]="","",INDEX(NOTA[TANGGAL],MATCH(,INDIRECT(ADDRESS(ROW(NOTA[TANGGAL]),COLUMN(NOTA[TANGGAL]))&amp;":"&amp;ADDRESS(ROW(),COLUMN(NOTA[TANGGAL]))),-1)))</f>
        <v>44937</v>
      </c>
      <c r="AH290" s="65" t="str">
        <f ca="1">IF(NOTA[[#This Row],[NAMA BARANG]]="","",INDEX(NOTA[SUPPLIER],MATCH(,INDIRECT(ADDRESS(ROW(NOTA[ID]),COLUMN(NOTA[ID]))&amp;":"&amp;ADDRESS(ROW(),COLUMN(NOTA[ID]))),-1)))</f>
        <v>ATALI MAKMUR</v>
      </c>
      <c r="AI290" s="65" t="str">
        <f ca="1">IF(NOTA[[#This Row],[ID_H]]="","",IF(NOTA[[#This Row],[FAKTUR]]="",INDIRECT(ADDRESS(ROW()-1,COLUMN())),NOTA[[#This Row],[FAKTUR]]))</f>
        <v>ARTO MORO</v>
      </c>
      <c r="AJ290" s="38" t="str">
        <f ca="1">IF(NOTA[[#This Row],[ID]]="","",COUNTIF(NOTA[ID_H],NOTA[[#This Row],[ID_H]]))</f>
        <v/>
      </c>
      <c r="AK290" s="38">
        <f ca="1">IF(NOTA[[#This Row],[TGL.NOTA]]="",IF(NOTA[[#This Row],[SUPPLIER_H]]="","",AK289),MONTH(NOTA[[#This Row],[TGL.NOTA]]))</f>
        <v>1</v>
      </c>
      <c r="AL290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M290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N290" s="184">
        <f>IF(NOTA[[#This Row],[CONCAT1]]="","",MATCH(NOTA[[#This Row],[CONCAT1]],[1]!db[NB NOTA_C],0)+1)</f>
        <v>679</v>
      </c>
    </row>
    <row r="291" spans="1:40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Row],[CEK_EXP]]&lt;D290,"err","")</f>
        <v/>
      </c>
      <c r="D291" s="50">
        <f>IF(NOTA[[#This Row],[TANGGAL]]="",D290,NOTA[[#This Row],[TANGGAL]])</f>
        <v>44937</v>
      </c>
      <c r="E291" s="50">
        <f ca="1">IF(NOTA[[#This Row],[NAMA BARANG]]="","",INDEX(NOTA[ID],MATCH(,INDIRECT(ADDRESS(ROW(NOTA[ID]),COLUMN(NOTA[ID]))&amp;":"&amp;ADDRESS(ROW(),COLUMN(NOTA[ID]))),-1)))</f>
        <v>56</v>
      </c>
      <c r="F291" s="23"/>
      <c r="G291" s="26"/>
      <c r="H291" s="26"/>
      <c r="I291" s="31"/>
      <c r="J291" s="51"/>
      <c r="K291" s="51"/>
      <c r="L291" s="26"/>
      <c r="M291" s="26" t="s">
        <v>280</v>
      </c>
      <c r="N291" s="39">
        <v>5</v>
      </c>
      <c r="O291" s="26">
        <v>250</v>
      </c>
      <c r="P291" s="26" t="s">
        <v>131</v>
      </c>
      <c r="Q291" s="49">
        <v>34100</v>
      </c>
      <c r="R291" s="52"/>
      <c r="S291" s="39" t="s">
        <v>281</v>
      </c>
      <c r="T291" s="53">
        <v>0.125</v>
      </c>
      <c r="U291" s="53">
        <v>0.05</v>
      </c>
      <c r="V291" s="54"/>
      <c r="W291" s="37"/>
      <c r="X291" s="54">
        <f>IF(NOTA[[#This Row],[HARGA/ CTN]]="",NOTA[[#This Row],[JUMLAH_H]],NOTA[[#This Row],[HARGA/ CTN]]*IF(NOTA[[#This Row],[C]]="",0,NOTA[[#This Row],[C]]))</f>
        <v>8525000</v>
      </c>
      <c r="Y291" s="54">
        <f>IF(NOTA[[#This Row],[JUMLAH]]="","",NOTA[[#This Row],[JUMLAH]]*NOTA[[#This Row],[DISC 1]])</f>
        <v>1065625</v>
      </c>
      <c r="Z291" s="54">
        <f>IF(NOTA[[#This Row],[JUMLAH]]="","",(NOTA[[#This Row],[JUMLAH]]-NOTA[[#This Row],[DISC 1-]])*NOTA[[#This Row],[DISC 2]])</f>
        <v>372968.75</v>
      </c>
      <c r="AA291" s="54">
        <f>IF(NOTA[[#This Row],[JUMLAH]]="","",NOTA[[#This Row],[DISC 1-]]+NOTA[[#This Row],[DISC 2-]])</f>
        <v>1438593.75</v>
      </c>
      <c r="AB291" s="54">
        <f>IF(NOTA[[#This Row],[JUMLAH]]="","",NOTA[[#This Row],[JUMLAH]]-NOTA[[#This Row],[DISC]])</f>
        <v>7086406.25</v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91" s="54">
        <f>IF(OR(NOTA[[#This Row],[QTY]]="",NOTA[[#This Row],[HARGA SATUAN]]="",),"",NOTA[[#This Row],[QTY]]*NOTA[[#This Row],[HARGA SATUAN]])</f>
        <v>8525000</v>
      </c>
      <c r="AG291" s="51">
        <f ca="1">IF(NOTA[ID_H]="","",INDEX(NOTA[TANGGAL],MATCH(,INDIRECT(ADDRESS(ROW(NOTA[TANGGAL]),COLUMN(NOTA[TANGGAL]))&amp;":"&amp;ADDRESS(ROW(),COLUMN(NOTA[TANGGAL]))),-1)))</f>
        <v>44937</v>
      </c>
      <c r="AH291" s="65" t="str">
        <f ca="1">IF(NOTA[[#This Row],[NAMA BARANG]]="","",INDEX(NOTA[SUPPLIER],MATCH(,INDIRECT(ADDRESS(ROW(NOTA[ID]),COLUMN(NOTA[ID]))&amp;":"&amp;ADDRESS(ROW(),COLUMN(NOTA[ID]))),-1)))</f>
        <v>ATALI MAKMUR</v>
      </c>
      <c r="AI291" s="65" t="str">
        <f ca="1">IF(NOTA[[#This Row],[ID_H]]="","",IF(NOTA[[#This Row],[FAKTUR]]="",INDIRECT(ADDRESS(ROW()-1,COLUMN())),NOTA[[#This Row],[FAKTUR]]))</f>
        <v>ARTO MORO</v>
      </c>
      <c r="AJ291" s="38" t="str">
        <f ca="1">IF(NOTA[[#This Row],[ID]]="","",COUNTIF(NOTA[ID_H],NOTA[[#This Row],[ID_H]]))</f>
        <v/>
      </c>
      <c r="AK291" s="38">
        <f ca="1">IF(NOTA[[#This Row],[TGL.NOTA]]="",IF(NOTA[[#This Row],[SUPPLIER_H]]="","",AK290),MONTH(NOTA[[#This Row],[TGL.NOTA]]))</f>
        <v>1</v>
      </c>
      <c r="AL29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291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291" s="184">
        <f>IF(NOTA[[#This Row],[CONCAT1]]="","",MATCH(NOTA[[#This Row],[CONCAT1]],[1]!db[NB NOTA_C],0)+1)</f>
        <v>678</v>
      </c>
    </row>
    <row r="292" spans="1:40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Row],[CEK_EXP]]&lt;D291,"err","")</f>
        <v/>
      </c>
      <c r="D292" s="50">
        <f>IF(NOTA[[#This Row],[TANGGAL]]="",D291,NOTA[[#This Row],[TANGGAL]])</f>
        <v>44937</v>
      </c>
      <c r="E292" s="50">
        <f ca="1">IF(NOTA[[#This Row],[NAMA BARANG]]="","",INDEX(NOTA[ID],MATCH(,INDIRECT(ADDRESS(ROW(NOTA[ID]),COLUMN(NOTA[ID]))&amp;":"&amp;ADDRESS(ROW(),COLUMN(NOTA[ID]))),-1)))</f>
        <v>56</v>
      </c>
      <c r="F292" s="23"/>
      <c r="G292" s="26"/>
      <c r="H292" s="26"/>
      <c r="I292" s="31"/>
      <c r="J292" s="26"/>
      <c r="K292" s="51"/>
      <c r="L292" s="26"/>
      <c r="M292" s="26" t="s">
        <v>284</v>
      </c>
      <c r="N292" s="39">
        <v>2</v>
      </c>
      <c r="O292" s="26">
        <v>100</v>
      </c>
      <c r="P292" s="26" t="s">
        <v>131</v>
      </c>
      <c r="Q292" s="49">
        <v>34100</v>
      </c>
      <c r="R292" s="52"/>
      <c r="S292" s="39" t="s">
        <v>281</v>
      </c>
      <c r="T292" s="53">
        <v>0.125</v>
      </c>
      <c r="U292" s="53">
        <v>0.05</v>
      </c>
      <c r="V292" s="54"/>
      <c r="W292" s="37"/>
      <c r="X292" s="54">
        <f>IF(NOTA[[#This Row],[HARGA/ CTN]]="",NOTA[[#This Row],[JUMLAH_H]],NOTA[[#This Row],[HARGA/ CTN]]*IF(NOTA[[#This Row],[C]]="",0,NOTA[[#This Row],[C]]))</f>
        <v>3410000</v>
      </c>
      <c r="Y292" s="54">
        <f>IF(NOTA[[#This Row],[JUMLAH]]="","",NOTA[[#This Row],[JUMLAH]]*NOTA[[#This Row],[DISC 1]])</f>
        <v>426250</v>
      </c>
      <c r="Z292" s="54">
        <f>IF(NOTA[[#This Row],[JUMLAH]]="","",(NOTA[[#This Row],[JUMLAH]]-NOTA[[#This Row],[DISC 1-]])*NOTA[[#This Row],[DISC 2]])</f>
        <v>149187.5</v>
      </c>
      <c r="AA292" s="54">
        <f>IF(NOTA[[#This Row],[JUMLAH]]="","",NOTA[[#This Row],[DISC 1-]]+NOTA[[#This Row],[DISC 2-]])</f>
        <v>575437.5</v>
      </c>
      <c r="AB292" s="54">
        <f>IF(NOTA[[#This Row],[JUMLAH]]="","",NOTA[[#This Row],[JUMLAH]]-NOTA[[#This Row],[DISC]])</f>
        <v>2834562.5</v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92" s="54">
        <f>IF(OR(NOTA[[#This Row],[QTY]]="",NOTA[[#This Row],[HARGA SATUAN]]="",),"",NOTA[[#This Row],[QTY]]*NOTA[[#This Row],[HARGA SATUAN]])</f>
        <v>3410000</v>
      </c>
      <c r="AG292" s="51">
        <f ca="1">IF(NOTA[ID_H]="","",INDEX(NOTA[TANGGAL],MATCH(,INDIRECT(ADDRESS(ROW(NOTA[TANGGAL]),COLUMN(NOTA[TANGGAL]))&amp;":"&amp;ADDRESS(ROW(),COLUMN(NOTA[TANGGAL]))),-1)))</f>
        <v>44937</v>
      </c>
      <c r="AH292" s="65" t="str">
        <f ca="1">IF(NOTA[[#This Row],[NAMA BARANG]]="","",INDEX(NOTA[SUPPLIER],MATCH(,INDIRECT(ADDRESS(ROW(NOTA[ID]),COLUMN(NOTA[ID]))&amp;":"&amp;ADDRESS(ROW(),COLUMN(NOTA[ID]))),-1)))</f>
        <v>ATALI MAKMUR</v>
      </c>
      <c r="AI292" s="65" t="str">
        <f ca="1">IF(NOTA[[#This Row],[ID_H]]="","",IF(NOTA[[#This Row],[FAKTUR]]="",INDIRECT(ADDRESS(ROW()-1,COLUMN())),NOTA[[#This Row],[FAKTUR]]))</f>
        <v>ARTO MORO</v>
      </c>
      <c r="AJ292" s="38" t="str">
        <f ca="1">IF(NOTA[[#This Row],[ID]]="","",COUNTIF(NOTA[ID_H],NOTA[[#This Row],[ID_H]]))</f>
        <v/>
      </c>
      <c r="AK292" s="38">
        <f ca="1">IF(NOTA[[#This Row],[TGL.NOTA]]="",IF(NOTA[[#This Row],[SUPPLIER_H]]="","",AK291),MONTH(NOTA[[#This Row],[TGL.NOTA]]))</f>
        <v>1</v>
      </c>
      <c r="AL29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M292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N292" s="184">
        <f>IF(NOTA[[#This Row],[CONCAT1]]="","",MATCH(NOTA[[#This Row],[CONCAT1]],[1]!db[NB NOTA_C],0)+1)</f>
        <v>687</v>
      </c>
    </row>
    <row r="293" spans="1:40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Row],[CEK_EXP]]&lt;D292,"err","")</f>
        <v/>
      </c>
      <c r="D293" s="50">
        <f>IF(NOTA[[#This Row],[TANGGAL]]="",D292,NOTA[[#This Row],[TANGGAL]])</f>
        <v>44937</v>
      </c>
      <c r="E293" s="50">
        <f ca="1">IF(NOTA[[#This Row],[NAMA BARANG]]="","",INDEX(NOTA[ID],MATCH(,INDIRECT(ADDRESS(ROW(NOTA[ID]),COLUMN(NOTA[ID]))&amp;":"&amp;ADDRESS(ROW(),COLUMN(NOTA[ID]))),-1)))</f>
        <v>56</v>
      </c>
      <c r="F293" s="23"/>
      <c r="G293" s="26"/>
      <c r="H293" s="26"/>
      <c r="I293" s="31"/>
      <c r="J293" s="26"/>
      <c r="K293" s="51"/>
      <c r="L293" s="26"/>
      <c r="M293" s="26" t="s">
        <v>449</v>
      </c>
      <c r="N293" s="39">
        <v>2</v>
      </c>
      <c r="O293" s="26">
        <v>24</v>
      </c>
      <c r="P293" s="26" t="s">
        <v>104</v>
      </c>
      <c r="Q293" s="49">
        <v>97000</v>
      </c>
      <c r="R293" s="52"/>
      <c r="S293" s="39" t="s">
        <v>448</v>
      </c>
      <c r="T293" s="53">
        <v>0.125</v>
      </c>
      <c r="U293" s="53">
        <v>0.05</v>
      </c>
      <c r="V293" s="54"/>
      <c r="W293" s="37"/>
      <c r="X293" s="54">
        <f>IF(NOTA[[#This Row],[HARGA/ CTN]]="",NOTA[[#This Row],[JUMLAH_H]],NOTA[[#This Row],[HARGA/ CTN]]*IF(NOTA[[#This Row],[C]]="",0,NOTA[[#This Row],[C]]))</f>
        <v>2328000</v>
      </c>
      <c r="Y293" s="54">
        <f>IF(NOTA[[#This Row],[JUMLAH]]="","",NOTA[[#This Row],[JUMLAH]]*NOTA[[#This Row],[DISC 1]])</f>
        <v>291000</v>
      </c>
      <c r="Z293" s="54">
        <f>IF(NOTA[[#This Row],[JUMLAH]]="","",(NOTA[[#This Row],[JUMLAH]]-NOTA[[#This Row],[DISC 1-]])*NOTA[[#This Row],[DISC 2]])</f>
        <v>101850</v>
      </c>
      <c r="AA293" s="54">
        <f>IF(NOTA[[#This Row],[JUMLAH]]="","",NOTA[[#This Row],[DISC 1-]]+NOTA[[#This Row],[DISC 2-]])</f>
        <v>392850</v>
      </c>
      <c r="AB293" s="54">
        <f>IF(NOTA[[#This Row],[JUMLAH]]="","",NOTA[[#This Row],[JUMLAH]]-NOTA[[#This Row],[DISC]])</f>
        <v>1935150</v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293" s="54">
        <f>IF(OR(NOTA[[#This Row],[QTY]]="",NOTA[[#This Row],[HARGA SATUAN]]="",),"",NOTA[[#This Row],[QTY]]*NOTA[[#This Row],[HARGA SATUAN]])</f>
        <v>2328000</v>
      </c>
      <c r="AG293" s="51">
        <f ca="1">IF(NOTA[ID_H]="","",INDEX(NOTA[TANGGAL],MATCH(,INDIRECT(ADDRESS(ROW(NOTA[TANGGAL]),COLUMN(NOTA[TANGGAL]))&amp;":"&amp;ADDRESS(ROW(),COLUMN(NOTA[TANGGAL]))),-1)))</f>
        <v>44937</v>
      </c>
      <c r="AH293" s="65" t="str">
        <f ca="1">IF(NOTA[[#This Row],[NAMA BARANG]]="","",INDEX(NOTA[SUPPLIER],MATCH(,INDIRECT(ADDRESS(ROW(NOTA[ID]),COLUMN(NOTA[ID]))&amp;":"&amp;ADDRESS(ROW(),COLUMN(NOTA[ID]))),-1)))</f>
        <v>ATALI MAKMUR</v>
      </c>
      <c r="AI293" s="65" t="str">
        <f ca="1">IF(NOTA[[#This Row],[ID_H]]="","",IF(NOTA[[#This Row],[FAKTUR]]="",INDIRECT(ADDRESS(ROW()-1,COLUMN())),NOTA[[#This Row],[FAKTUR]]))</f>
        <v>ARTO MORO</v>
      </c>
      <c r="AJ293" s="38" t="str">
        <f ca="1">IF(NOTA[[#This Row],[ID]]="","",COUNTIF(NOTA[ID_H],NOTA[[#This Row],[ID_H]]))</f>
        <v/>
      </c>
      <c r="AK293" s="38">
        <f ca="1">IF(NOTA[[#This Row],[TGL.NOTA]]="",IF(NOTA[[#This Row],[SUPPLIER_H]]="","",AK292),MONTH(NOTA[[#This Row],[TGL.NOTA]]))</f>
        <v>1</v>
      </c>
      <c r="AL293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M293" s="38" t="str">
        <f>IF(NOTA[C]="",NOTA[[#This Row],[CONCAT1]]&amp;NOTA[[#This Row],[HARGA SATUAN]],NOTA[[#This Row],[CONCAT1]]&amp;NOTA[[#This Row],[HARGA/ CTN_H]]&amp;NOTA[[#This Row],[DISC 1]]&amp;NOTA[[#This Row],[DISC 2]])</f>
        <v>hdstaplerhd12n13jk11640000.1250.05</v>
      </c>
      <c r="AN293" s="184">
        <f>IF(NOTA[[#This Row],[CONCAT1]]="","",MATCH(NOTA[[#This Row],[CONCAT1]],[1]!db[NB NOTA_C],0)+1)</f>
        <v>972</v>
      </c>
    </row>
    <row r="294" spans="1:40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Row],[CEK_EXP]]&lt;D293,"err","")</f>
        <v/>
      </c>
      <c r="D294" s="50">
        <f>IF(NOTA[[#This Row],[TANGGAL]]="",D293,NOTA[[#This Row],[TANGGAL]])</f>
        <v>44937</v>
      </c>
      <c r="E294" s="50">
        <f ca="1">IF(NOTA[[#This Row],[NAMA BARANG]]="","",INDEX(NOTA[ID],MATCH(,INDIRECT(ADDRESS(ROW(NOTA[ID]),COLUMN(NOTA[ID]))&amp;":"&amp;ADDRESS(ROW(),COLUMN(NOTA[ID]))),-1)))</f>
        <v>56</v>
      </c>
      <c r="F294" s="23"/>
      <c r="G294" s="26"/>
      <c r="H294" s="26"/>
      <c r="I294" s="31"/>
      <c r="J294" s="26"/>
      <c r="K294" s="51"/>
      <c r="L294" s="26"/>
      <c r="M294" s="26" t="s">
        <v>450</v>
      </c>
      <c r="N294" s="39">
        <v>2</v>
      </c>
      <c r="O294" s="26">
        <v>12</v>
      </c>
      <c r="P294" s="26" t="s">
        <v>104</v>
      </c>
      <c r="Q294" s="49">
        <v>187000</v>
      </c>
      <c r="R294" s="52"/>
      <c r="S294" s="39" t="s">
        <v>448</v>
      </c>
      <c r="T294" s="53">
        <v>0.125</v>
      </c>
      <c r="U294" s="53">
        <v>0.05</v>
      </c>
      <c r="V294" s="54"/>
      <c r="W294" s="37"/>
      <c r="X294" s="54">
        <f>IF(NOTA[[#This Row],[HARGA/ CTN]]="",NOTA[[#This Row],[JUMLAH_H]],NOTA[[#This Row],[HARGA/ CTN]]*IF(NOTA[[#This Row],[C]]="",0,NOTA[[#This Row],[C]]))</f>
        <v>2244000</v>
      </c>
      <c r="Y294" s="54">
        <f>IF(NOTA[[#This Row],[JUMLAH]]="","",NOTA[[#This Row],[JUMLAH]]*NOTA[[#This Row],[DISC 1]])</f>
        <v>280500</v>
      </c>
      <c r="Z294" s="54">
        <f>IF(NOTA[[#This Row],[JUMLAH]]="","",(NOTA[[#This Row],[JUMLAH]]-NOTA[[#This Row],[DISC 1-]])*NOTA[[#This Row],[DISC 2]])</f>
        <v>98175</v>
      </c>
      <c r="AA294" s="54">
        <f>IF(NOTA[[#This Row],[JUMLAH]]="","",NOTA[[#This Row],[DISC 1-]]+NOTA[[#This Row],[DISC 2-]])</f>
        <v>378675</v>
      </c>
      <c r="AB294" s="54">
        <f>IF(NOTA[[#This Row],[JUMLAH]]="","",NOTA[[#This Row],[JUMLAH]]-NOTA[[#This Row],[DISC]])</f>
        <v>1865325</v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F294" s="54">
        <f>IF(OR(NOTA[[#This Row],[QTY]]="",NOTA[[#This Row],[HARGA SATUAN]]="",),"",NOTA[[#This Row],[QTY]]*NOTA[[#This Row],[HARGA SATUAN]])</f>
        <v>2244000</v>
      </c>
      <c r="AG294" s="51">
        <f ca="1">IF(NOTA[ID_H]="","",INDEX(NOTA[TANGGAL],MATCH(,INDIRECT(ADDRESS(ROW(NOTA[TANGGAL]),COLUMN(NOTA[TANGGAL]))&amp;":"&amp;ADDRESS(ROW(),COLUMN(NOTA[TANGGAL]))),-1)))</f>
        <v>44937</v>
      </c>
      <c r="AH294" s="65" t="str">
        <f ca="1">IF(NOTA[[#This Row],[NAMA BARANG]]="","",INDEX(NOTA[SUPPLIER],MATCH(,INDIRECT(ADDRESS(ROW(NOTA[ID]),COLUMN(NOTA[ID]))&amp;":"&amp;ADDRESS(ROW(),COLUMN(NOTA[ID]))),-1)))</f>
        <v>ATALI MAKMUR</v>
      </c>
      <c r="AI294" s="65" t="str">
        <f ca="1">IF(NOTA[[#This Row],[ID_H]]="","",IF(NOTA[[#This Row],[FAKTUR]]="",INDIRECT(ADDRESS(ROW()-1,COLUMN())),NOTA[[#This Row],[FAKTUR]]))</f>
        <v>ARTO MORO</v>
      </c>
      <c r="AJ294" s="38" t="str">
        <f ca="1">IF(NOTA[[#This Row],[ID]]="","",COUNTIF(NOTA[ID_H],NOTA[[#This Row],[ID_H]]))</f>
        <v/>
      </c>
      <c r="AK294" s="38">
        <f ca="1">IF(NOTA[[#This Row],[TGL.NOTA]]="",IF(NOTA[[#This Row],[SUPPLIER_H]]="","",AK293),MONTH(NOTA[[#This Row],[TGL.NOTA]]))</f>
        <v>1</v>
      </c>
      <c r="AL294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M294" s="38" t="str">
        <f>IF(NOTA[C]="",NOTA[[#This Row],[CONCAT1]]&amp;NOTA[[#This Row],[HARGA SATUAN]],NOTA[[#This Row],[CONCAT1]]&amp;NOTA[[#This Row],[HARGA/ CTN_H]]&amp;NOTA[[#This Row],[DISC 1]]&amp;NOTA[[#This Row],[DISC 2]])</f>
        <v>staplerhd12n24jk11220000.1250.05</v>
      </c>
      <c r="AN294" s="184">
        <f>IF(NOTA[[#This Row],[CONCAT1]]="","",MATCH(NOTA[[#This Row],[CONCAT1]],[1]!db[NB NOTA_C],0)+1)</f>
        <v>1987</v>
      </c>
    </row>
    <row r="295" spans="1:40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Row],[CEK_EXP]]&lt;D294,"err","")</f>
        <v/>
      </c>
      <c r="D295" s="50">
        <f>IF(NOTA[[#This Row],[TANGGAL]]="",D294,NOTA[[#This Row],[TANGGAL]])</f>
        <v>44937</v>
      </c>
      <c r="E295" s="50">
        <f ca="1">IF(NOTA[[#This Row],[NAMA BARANG]]="","",INDEX(NOTA[ID],MATCH(,INDIRECT(ADDRESS(ROW(NOTA[ID]),COLUMN(NOTA[ID]))&amp;":"&amp;ADDRESS(ROW(),COLUMN(NOTA[ID]))),-1)))</f>
        <v>56</v>
      </c>
      <c r="F295" s="23"/>
      <c r="G295" s="26"/>
      <c r="H295" s="26"/>
      <c r="I295" s="31"/>
      <c r="J295" s="26"/>
      <c r="K295" s="51"/>
      <c r="L295" s="26"/>
      <c r="M295" s="26" t="s">
        <v>451</v>
      </c>
      <c r="N295" s="39">
        <v>7</v>
      </c>
      <c r="O295" s="26">
        <v>140</v>
      </c>
      <c r="P295" s="26" t="s">
        <v>116</v>
      </c>
      <c r="Q295" s="49">
        <v>85200</v>
      </c>
      <c r="R295" s="52"/>
      <c r="S295" s="39" t="s">
        <v>452</v>
      </c>
      <c r="T295" s="53">
        <v>0.125</v>
      </c>
      <c r="U295" s="53">
        <v>0.05</v>
      </c>
      <c r="V295" s="54"/>
      <c r="W295" s="37"/>
      <c r="X295" s="54">
        <f>IF(NOTA[[#This Row],[HARGA/ CTN]]="",NOTA[[#This Row],[JUMLAH_H]],NOTA[[#This Row],[HARGA/ CTN]]*IF(NOTA[[#This Row],[C]]="",0,NOTA[[#This Row],[C]]))</f>
        <v>11928000</v>
      </c>
      <c r="Y295" s="54">
        <f>IF(NOTA[[#This Row],[JUMLAH]]="","",NOTA[[#This Row],[JUMLAH]]*NOTA[[#This Row],[DISC 1]])</f>
        <v>1491000</v>
      </c>
      <c r="Z295" s="54">
        <f>IF(NOTA[[#This Row],[JUMLAH]]="","",(NOTA[[#This Row],[JUMLAH]]-NOTA[[#This Row],[DISC 1-]])*NOTA[[#This Row],[DISC 2]])</f>
        <v>521850</v>
      </c>
      <c r="AA295" s="54">
        <f>IF(NOTA[[#This Row],[JUMLAH]]="","",NOTA[[#This Row],[DISC 1-]]+NOTA[[#This Row],[DISC 2-]])</f>
        <v>2012850</v>
      </c>
      <c r="AB295" s="54">
        <f>IF(NOTA[[#This Row],[JUMLAH]]="","",NOTA[[#This Row],[JUMLAH]]-NOTA[[#This Row],[DISC]])</f>
        <v>9915150</v>
      </c>
      <c r="AC2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6469875</v>
      </c>
      <c r="AD2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31870125</v>
      </c>
      <c r="AE295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95" s="54">
        <f>IF(OR(NOTA[[#This Row],[QTY]]="",NOTA[[#This Row],[HARGA SATUAN]]="",),"",NOTA[[#This Row],[QTY]]*NOTA[[#This Row],[HARGA SATUAN]])</f>
        <v>11928000</v>
      </c>
      <c r="AG295" s="51">
        <f ca="1">IF(NOTA[ID_H]="","",INDEX(NOTA[TANGGAL],MATCH(,INDIRECT(ADDRESS(ROW(NOTA[TANGGAL]),COLUMN(NOTA[TANGGAL]))&amp;":"&amp;ADDRESS(ROW(),COLUMN(NOTA[TANGGAL]))),-1)))</f>
        <v>44937</v>
      </c>
      <c r="AH295" s="65" t="str">
        <f ca="1">IF(NOTA[[#This Row],[NAMA BARANG]]="","",INDEX(NOTA[SUPPLIER],MATCH(,INDIRECT(ADDRESS(ROW(NOTA[ID]),COLUMN(NOTA[ID]))&amp;":"&amp;ADDRESS(ROW(),COLUMN(NOTA[ID]))),-1)))</f>
        <v>ATALI MAKMUR</v>
      </c>
      <c r="AI295" s="65" t="str">
        <f ca="1">IF(NOTA[[#This Row],[ID_H]]="","",IF(NOTA[[#This Row],[FAKTUR]]="",INDIRECT(ADDRESS(ROW()-1,COLUMN())),NOTA[[#This Row],[FAKTUR]]))</f>
        <v>ARTO MORO</v>
      </c>
      <c r="AJ295" s="38" t="str">
        <f ca="1">IF(NOTA[[#This Row],[ID]]="","",COUNTIF(NOTA[ID_H],NOTA[[#This Row],[ID_H]]))</f>
        <v/>
      </c>
      <c r="AK295" s="38">
        <f ca="1">IF(NOTA[[#This Row],[TGL.NOTA]]="",IF(NOTA[[#This Row],[SUPPLIER_H]]="","",AK294),MONTH(NOTA[[#This Row],[TGL.NOTA]]))</f>
        <v>1</v>
      </c>
      <c r="AL29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M295" s="38" t="str">
        <f>IF(NOTA[C]="",NOTA[[#This Row],[CONCAT1]]&amp;NOTA[[#This Row],[HARGA SATUAN]],NOTA[[#This Row],[CONCAT1]]&amp;NOTA[[#This Row],[HARGA/ CTN_H]]&amp;NOTA[[#This Row],[DISC 1]]&amp;NOTA[[#This Row],[DISC 2]])</f>
        <v>staplerhd10jk17040000.1250.05</v>
      </c>
      <c r="AN295" s="184">
        <f>IF(NOTA[[#This Row],[CONCAT1]]="","",MATCH(NOTA[[#This Row],[CONCAT1]],[1]!db[NB NOTA_C],0)+1)</f>
        <v>1984</v>
      </c>
    </row>
    <row r="296" spans="1:40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Row],[CEK_EXP]]&lt;D295,"err","")</f>
        <v/>
      </c>
      <c r="D296" s="50">
        <f>IF(NOTA[[#This Row],[TANGGAL]]="",D295,NOTA[[#This Row],[TANGGAL]])</f>
        <v>44937</v>
      </c>
      <c r="E296" s="50" t="str">
        <f ca="1">IF(NOTA[[#This Row],[NAMA BARANG]]="","",INDEX(NOTA[ID],MATCH(,INDIRECT(ADDRESS(ROW(NOTA[ID]),COLUMN(NOTA[ID]))&amp;":"&amp;ADDRESS(ROW(),COLUMN(NOTA[ID]))),-1)))</f>
        <v/>
      </c>
      <c r="F296" s="23"/>
      <c r="G296" s="26"/>
      <c r="H296" s="26"/>
      <c r="I296" s="31"/>
      <c r="J296" s="26"/>
      <c r="K296" s="51"/>
      <c r="L296" s="26"/>
      <c r="M296" s="26"/>
      <c r="N296" s="39"/>
      <c r="O296" s="26"/>
      <c r="P296" s="26"/>
      <c r="Q296" s="49"/>
      <c r="R296" s="52"/>
      <c r="S296" s="39"/>
      <c r="T296" s="53"/>
      <c r="U296" s="53"/>
      <c r="V296" s="54"/>
      <c r="W296" s="37"/>
      <c r="X296" s="54" t="str">
        <f>IF(NOTA[[#This Row],[HARGA/ CTN]]="",NOTA[[#This Row],[JUMLAH_H]],NOTA[[#This Row],[HARGA/ CTN]]*IF(NOTA[[#This Row],[C]]="",0,NOTA[[#This Row],[C]]))</f>
        <v/>
      </c>
      <c r="Y296" s="54" t="str">
        <f>IF(NOTA[[#This Row],[JUMLAH]]="","",NOTA[[#This Row],[JUMLAH]]*NOTA[[#This Row],[DISC 1]])</f>
        <v/>
      </c>
      <c r="Z296" s="54" t="str">
        <f>IF(NOTA[[#This Row],[JUMLAH]]="","",(NOTA[[#This Row],[JUMLAH]]-NOTA[[#This Row],[DISC 1-]])*NOTA[[#This Row],[DISC 2]])</f>
        <v/>
      </c>
      <c r="AA296" s="54" t="str">
        <f>IF(NOTA[[#This Row],[JUMLAH]]="","",NOTA[[#This Row],[DISC 1-]]+NOTA[[#This Row],[DISC 2-]])</f>
        <v/>
      </c>
      <c r="AB296" s="54" t="str">
        <f>IF(NOTA[[#This Row],[JUMLAH]]="","",NOTA[[#This Row],[JUMLAH]]-NOTA[[#This Row],[DISC]])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54" t="str">
        <f>IF(OR(NOTA[[#This Row],[QTY]]="",NOTA[[#This Row],[HARGA SATUAN]]="",),"",NOTA[[#This Row],[QTY]]*NOTA[[#This Row],[HARGA SATUAN]])</f>
        <v/>
      </c>
      <c r="AG296" s="51" t="str">
        <f ca="1">IF(NOTA[ID_H]="","",INDEX(NOTA[TANGGAL],MATCH(,INDIRECT(ADDRESS(ROW(NOTA[TANGGAL]),COLUMN(NOTA[TANGGAL]))&amp;":"&amp;ADDRESS(ROW(),COLUMN(NOTA[TANGGAL]))),-1)))</f>
        <v/>
      </c>
      <c r="AH296" s="65" t="str">
        <f ca="1">IF(NOTA[[#This Row],[NAMA BARANG]]="","",INDEX(NOTA[SUPPLIER],MATCH(,INDIRECT(ADDRESS(ROW(NOTA[ID]),COLUMN(NOTA[ID]))&amp;":"&amp;ADDRESS(ROW(),COLUMN(NOTA[ID]))),-1)))</f>
        <v/>
      </c>
      <c r="AI296" s="65" t="str">
        <f ca="1">IF(NOTA[[#This Row],[ID_H]]="","",IF(NOTA[[#This Row],[FAKTUR]]="",INDIRECT(ADDRESS(ROW()-1,COLUMN())),NOTA[[#This Row],[FAKTUR]]))</f>
        <v/>
      </c>
      <c r="AJ296" s="38" t="str">
        <f ca="1">IF(NOTA[[#This Row],[ID]]="","",COUNTIF(NOTA[ID_H],NOTA[[#This Row],[ID_H]]))</f>
        <v/>
      </c>
      <c r="AK296" s="38" t="str">
        <f ca="1">IF(NOTA[[#This Row],[TGL.NOTA]]="",IF(NOTA[[#This Row],[SUPPLIER_H]]="","",AK295),MONTH(NOTA[[#This Row],[TGL.NOTA]]))</f>
        <v/>
      </c>
      <c r="AL296" s="38" t="str">
        <f>LOWER(SUBSTITUTE(SUBSTITUTE(SUBSTITUTE(SUBSTITUTE(SUBSTITUTE(SUBSTITUTE(SUBSTITUTE(SUBSTITUTE(SUBSTITUTE(NOTA[NAMA BARANG]," ",),".",""),"-",""),"(",""),")",""),",",""),"/",""),"""",""),"+",""))</f>
        <v/>
      </c>
      <c r="AM296" s="38" t="str">
        <f>IF(NOTA[C]="",NOTA[[#This Row],[CONCAT1]]&amp;NOTA[[#This Row],[HARGA SATUAN]],NOTA[[#This Row],[CONCAT1]]&amp;NOTA[[#This Row],[HARGA/ CTN_H]]&amp;NOTA[[#This Row],[DISC 1]]&amp;NOTA[[#This Row],[DISC 2]])</f>
        <v/>
      </c>
      <c r="AN296" s="184" t="str">
        <f>IF(NOTA[[#This Row],[CONCAT1]]="","",MATCH(NOTA[[#This Row],[CONCAT1]],[1]!db[NB NOTA_C],0)+1)</f>
        <v/>
      </c>
    </row>
    <row r="297" spans="1:40" ht="20.100000000000001" customHeight="1" x14ac:dyDescent="0.25">
      <c r="A297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KEN_1101_542-9</v>
      </c>
      <c r="C297" s="50" t="str">
        <f>IF(NOTA[[#This Row],[CEK_EXP]]&lt;D296,"err","")</f>
        <v/>
      </c>
      <c r="D297" s="50">
        <f>IF(NOTA[[#This Row],[TANGGAL]]="",D296,NOTA[[#This Row],[TANGGAL]])</f>
        <v>44937</v>
      </c>
      <c r="E297" s="50">
        <f ca="1">IF(NOTA[[#This Row],[NAMA BARANG]]="","",INDEX(NOTA[ID],MATCH(,INDIRECT(ADDRESS(ROW(NOTA[ID]),COLUMN(NOTA[ID]))&amp;":"&amp;ADDRESS(ROW(),COLUMN(NOTA[ID]))),-1)))</f>
        <v>57</v>
      </c>
      <c r="F297" s="23"/>
      <c r="G297" s="26" t="s">
        <v>23</v>
      </c>
      <c r="H297" s="26" t="s">
        <v>24</v>
      </c>
      <c r="I297" s="31" t="s">
        <v>453</v>
      </c>
      <c r="J297" s="26" t="s">
        <v>458</v>
      </c>
      <c r="K297" s="51">
        <v>44935</v>
      </c>
      <c r="L297" s="26"/>
      <c r="M297" s="26" t="s">
        <v>336</v>
      </c>
      <c r="N297" s="39">
        <v>5</v>
      </c>
      <c r="O297" s="26"/>
      <c r="P297" s="26"/>
      <c r="Q297" s="49"/>
      <c r="R297" s="52">
        <v>5616000</v>
      </c>
      <c r="S297" s="39" t="s">
        <v>117</v>
      </c>
      <c r="T297" s="53">
        <v>0.17</v>
      </c>
      <c r="U297" s="53"/>
      <c r="V297" s="54"/>
      <c r="W297" s="37"/>
      <c r="X297" s="54">
        <f>IF(NOTA[[#This Row],[HARGA/ CTN]]="",NOTA[[#This Row],[JUMLAH_H]],NOTA[[#This Row],[HARGA/ CTN]]*IF(NOTA[[#This Row],[C]]="",0,NOTA[[#This Row],[C]]))</f>
        <v>28080000</v>
      </c>
      <c r="Y297" s="54">
        <f>IF(NOTA[[#This Row],[JUMLAH]]="","",NOTA[[#This Row],[JUMLAH]]*NOTA[[#This Row],[DISC 1]])</f>
        <v>4773600</v>
      </c>
      <c r="Z297" s="54">
        <f>IF(NOTA[[#This Row],[JUMLAH]]="","",(NOTA[[#This Row],[JUMLAH]]-NOTA[[#This Row],[DISC 1-]])*NOTA[[#This Row],[DISC 2]])</f>
        <v>0</v>
      </c>
      <c r="AA297" s="54">
        <f>IF(NOTA[[#This Row],[JUMLAH]]="","",NOTA[[#This Row],[DISC 1-]]+NOTA[[#This Row],[DISC 2-]])</f>
        <v>4773600</v>
      </c>
      <c r="AB297" s="54">
        <f>IF(NOTA[[#This Row],[JUMLAH]]="","",NOTA[[#This Row],[JUMLAH]]-NOTA[[#This Row],[DISC]])</f>
        <v>23306400</v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97" s="54" t="str">
        <f>IF(OR(NOTA[[#This Row],[QTY]]="",NOTA[[#This Row],[HARGA SATUAN]]="",),"",NOTA[[#This Row],[QTY]]*NOTA[[#This Row],[HARGA SATUAN]])</f>
        <v/>
      </c>
      <c r="AG297" s="51">
        <f ca="1">IF(NOTA[ID_H]="","",INDEX(NOTA[TANGGAL],MATCH(,INDIRECT(ADDRESS(ROW(NOTA[TANGGAL]),COLUMN(NOTA[TANGGAL]))&amp;":"&amp;ADDRESS(ROW(),COLUMN(NOTA[TANGGAL]))),-1)))</f>
        <v>44937</v>
      </c>
      <c r="AH297" s="65" t="str">
        <f ca="1">IF(NOTA[[#This Row],[NAMA BARANG]]="","",INDEX(NOTA[SUPPLIER],MATCH(,INDIRECT(ADDRESS(ROW(NOTA[ID]),COLUMN(NOTA[ID]))&amp;":"&amp;ADDRESS(ROW(),COLUMN(NOTA[ID]))),-1)))</f>
        <v>KENKO SINAR INDONESIA</v>
      </c>
      <c r="AI297" s="65" t="str">
        <f ca="1">IF(NOTA[[#This Row],[ID_H]]="","",IF(NOTA[[#This Row],[FAKTUR]]="",INDIRECT(ADDRESS(ROW()-1,COLUMN())),NOTA[[#This Row],[FAKTUR]]))</f>
        <v>ARTO MORO</v>
      </c>
      <c r="AJ297" s="38">
        <f ca="1">IF(NOTA[[#This Row],[ID]]="","",COUNTIF(NOTA[ID_H],NOTA[[#This Row],[ID_H]]))</f>
        <v>9</v>
      </c>
      <c r="AK297" s="38">
        <f>IF(NOTA[[#This Row],[TGL.NOTA]]="",IF(NOTA[[#This Row],[SUPPLIER_H]]="","",AK296),MONTH(NOTA[[#This Row],[TGL.NOTA]]))</f>
        <v>1</v>
      </c>
      <c r="AL29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97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N297" s="184">
        <f>IF(NOTA[[#This Row],[CONCAT1]]="","",MATCH(NOTA[[#This Row],[CONCAT1]],[1]!db[NB NOTA_C],0)+1)</f>
        <v>1153</v>
      </c>
    </row>
    <row r="298" spans="1:40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Row],[CEK_EXP]]&lt;D297,"err","")</f>
        <v/>
      </c>
      <c r="D298" s="50">
        <f>IF(NOTA[[#This Row],[TANGGAL]]="",D297,NOTA[[#This Row],[TANGGAL]])</f>
        <v>44937</v>
      </c>
      <c r="E298" s="50">
        <f ca="1">IF(NOTA[[#This Row],[NAMA BARANG]]="","",INDEX(NOTA[ID],MATCH(,INDIRECT(ADDRESS(ROW(NOTA[ID]),COLUMN(NOTA[ID]))&amp;":"&amp;ADDRESS(ROW(),COLUMN(NOTA[ID]))),-1)))</f>
        <v>57</v>
      </c>
      <c r="F298" s="23"/>
      <c r="G298" s="26"/>
      <c r="H298" s="26"/>
      <c r="I298" s="31"/>
      <c r="J298" s="26"/>
      <c r="K298" s="51"/>
      <c r="L298" s="26"/>
      <c r="M298" s="26" t="s">
        <v>127</v>
      </c>
      <c r="N298" s="39">
        <v>3</v>
      </c>
      <c r="O298" s="26"/>
      <c r="P298" s="26"/>
      <c r="Q298" s="49"/>
      <c r="R298" s="52">
        <v>1860000</v>
      </c>
      <c r="S298" s="39" t="s">
        <v>119</v>
      </c>
      <c r="T298" s="53">
        <v>0.17</v>
      </c>
      <c r="U298" s="53"/>
      <c r="V298" s="54"/>
      <c r="W298" s="37"/>
      <c r="X298" s="54">
        <f>IF(NOTA[[#This Row],[HARGA/ CTN]]="",NOTA[[#This Row],[JUMLAH_H]],NOTA[[#This Row],[HARGA/ CTN]]*IF(NOTA[[#This Row],[C]]="",0,NOTA[[#This Row],[C]]))</f>
        <v>5580000</v>
      </c>
      <c r="Y298" s="54">
        <f>IF(NOTA[[#This Row],[JUMLAH]]="","",NOTA[[#This Row],[JUMLAH]]*NOTA[[#This Row],[DISC 1]])</f>
        <v>948600.00000000012</v>
      </c>
      <c r="Z298" s="54">
        <f>IF(NOTA[[#This Row],[JUMLAH]]="","",(NOTA[[#This Row],[JUMLAH]]-NOTA[[#This Row],[DISC 1-]])*NOTA[[#This Row],[DISC 2]])</f>
        <v>0</v>
      </c>
      <c r="AA298" s="54">
        <f>IF(NOTA[[#This Row],[JUMLAH]]="","",NOTA[[#This Row],[DISC 1-]]+NOTA[[#This Row],[DISC 2-]])</f>
        <v>948600.00000000012</v>
      </c>
      <c r="AB298" s="54">
        <f>IF(NOTA[[#This Row],[JUMLAH]]="","",NOTA[[#This Row],[JUMLAH]]-NOTA[[#This Row],[DISC]])</f>
        <v>4631400</v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98" s="54" t="str">
        <f>IF(OR(NOTA[[#This Row],[QTY]]="",NOTA[[#This Row],[HARGA SATUAN]]="",),"",NOTA[[#This Row],[QTY]]*NOTA[[#This Row],[HARGA SATUAN]])</f>
        <v/>
      </c>
      <c r="AG298" s="51">
        <f ca="1">IF(NOTA[ID_H]="","",INDEX(NOTA[TANGGAL],MATCH(,INDIRECT(ADDRESS(ROW(NOTA[TANGGAL]),COLUMN(NOTA[TANGGAL]))&amp;":"&amp;ADDRESS(ROW(),COLUMN(NOTA[TANGGAL]))),-1)))</f>
        <v>44937</v>
      </c>
      <c r="AH298" s="65" t="str">
        <f ca="1">IF(NOTA[[#This Row],[NAMA BARANG]]="","",INDEX(NOTA[SUPPLIER],MATCH(,INDIRECT(ADDRESS(ROW(NOTA[ID]),COLUMN(NOTA[ID]))&amp;":"&amp;ADDRESS(ROW(),COLUMN(NOTA[ID]))),-1)))</f>
        <v>KENKO SINAR INDONESIA</v>
      </c>
      <c r="AI298" s="65" t="str">
        <f ca="1">IF(NOTA[[#This Row],[ID_H]]="","",IF(NOTA[[#This Row],[FAKTUR]]="",INDIRECT(ADDRESS(ROW()-1,COLUMN())),NOTA[[#This Row],[FAKTUR]]))</f>
        <v>ARTO MORO</v>
      </c>
      <c r="AJ298" s="38" t="str">
        <f ca="1">IF(NOTA[[#This Row],[ID]]="","",COUNTIF(NOTA[ID_H],NOTA[[#This Row],[ID_H]]))</f>
        <v/>
      </c>
      <c r="AK298" s="38">
        <f ca="1">IF(NOTA[[#This Row],[TGL.NOTA]]="",IF(NOTA[[#This Row],[SUPPLIER_H]]="","",AK297),MONTH(NOTA[[#This Row],[TGL.NOTA]]))</f>
        <v>1</v>
      </c>
      <c r="AL29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98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N298" s="184">
        <f>IF(NOTA[[#This Row],[CONCAT1]]="","",MATCH(NOTA[[#This Row],[CONCAT1]],[1]!db[NB NOTA_C],0)+1)</f>
        <v>1292</v>
      </c>
    </row>
    <row r="299" spans="1:40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Row],[CEK_EXP]]&lt;D298,"err","")</f>
        <v/>
      </c>
      <c r="D299" s="50">
        <f>IF(NOTA[[#This Row],[TANGGAL]]="",D298,NOTA[[#This Row],[TANGGAL]])</f>
        <v>44937</v>
      </c>
      <c r="E299" s="50">
        <f ca="1">IF(NOTA[[#This Row],[NAMA BARANG]]="","",INDEX(NOTA[ID],MATCH(,INDIRECT(ADDRESS(ROW(NOTA[ID]),COLUMN(NOTA[ID]))&amp;":"&amp;ADDRESS(ROW(),COLUMN(NOTA[ID]))),-1)))</f>
        <v>57</v>
      </c>
      <c r="F299" s="23"/>
      <c r="G299" s="26"/>
      <c r="H299" s="26"/>
      <c r="I299" s="31"/>
      <c r="J299" s="26"/>
      <c r="K299" s="51"/>
      <c r="L299" s="26"/>
      <c r="M299" s="26" t="s">
        <v>357</v>
      </c>
      <c r="N299" s="39">
        <v>2</v>
      </c>
      <c r="O299" s="26"/>
      <c r="P299" s="26"/>
      <c r="Q299" s="49"/>
      <c r="R299" s="52">
        <v>2280000</v>
      </c>
      <c r="S299" s="39" t="s">
        <v>366</v>
      </c>
      <c r="T299" s="53">
        <v>0.17</v>
      </c>
      <c r="U299" s="53"/>
      <c r="V299" s="54"/>
      <c r="W299" s="37"/>
      <c r="X299" s="54">
        <f>IF(NOTA[[#This Row],[HARGA/ CTN]]="",NOTA[[#This Row],[JUMLAH_H]],NOTA[[#This Row],[HARGA/ CTN]]*IF(NOTA[[#This Row],[C]]="",0,NOTA[[#This Row],[C]]))</f>
        <v>4560000</v>
      </c>
      <c r="Y299" s="54">
        <f>IF(NOTA[[#This Row],[JUMLAH]]="","",NOTA[[#This Row],[JUMLAH]]*NOTA[[#This Row],[DISC 1]])</f>
        <v>775200</v>
      </c>
      <c r="Z299" s="54">
        <f>IF(NOTA[[#This Row],[JUMLAH]]="","",(NOTA[[#This Row],[JUMLAH]]-NOTA[[#This Row],[DISC 1-]])*NOTA[[#This Row],[DISC 2]])</f>
        <v>0</v>
      </c>
      <c r="AA299" s="54">
        <f>IF(NOTA[[#This Row],[JUMLAH]]="","",NOTA[[#This Row],[DISC 1-]]+NOTA[[#This Row],[DISC 2-]])</f>
        <v>775200</v>
      </c>
      <c r="AB299" s="54">
        <f>IF(NOTA[[#This Row],[JUMLAH]]="","",NOTA[[#This Row],[JUMLAH]]-NOTA[[#This Row],[DISC]])</f>
        <v>3784800</v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99" s="54" t="str">
        <f>IF(OR(NOTA[[#This Row],[QTY]]="",NOTA[[#This Row],[HARGA SATUAN]]="",),"",NOTA[[#This Row],[QTY]]*NOTA[[#This Row],[HARGA SATUAN]])</f>
        <v/>
      </c>
      <c r="AG299" s="51">
        <f ca="1">IF(NOTA[ID_H]="","",INDEX(NOTA[TANGGAL],MATCH(,INDIRECT(ADDRESS(ROW(NOTA[TANGGAL]),COLUMN(NOTA[TANGGAL]))&amp;":"&amp;ADDRESS(ROW(),COLUMN(NOTA[TANGGAL]))),-1)))</f>
        <v>44937</v>
      </c>
      <c r="AH299" s="65" t="str">
        <f ca="1">IF(NOTA[[#This Row],[NAMA BARANG]]="","",INDEX(NOTA[SUPPLIER],MATCH(,INDIRECT(ADDRESS(ROW(NOTA[ID]),COLUMN(NOTA[ID]))&amp;":"&amp;ADDRESS(ROW(),COLUMN(NOTA[ID]))),-1)))</f>
        <v>KENKO SINAR INDONESIA</v>
      </c>
      <c r="AI299" s="65" t="str">
        <f ca="1">IF(NOTA[[#This Row],[ID_H]]="","",IF(NOTA[[#This Row],[FAKTUR]]="",INDIRECT(ADDRESS(ROW()-1,COLUMN())),NOTA[[#This Row],[FAKTUR]]))</f>
        <v>ARTO MORO</v>
      </c>
      <c r="AJ299" s="38" t="str">
        <f ca="1">IF(NOTA[[#This Row],[ID]]="","",COUNTIF(NOTA[ID_H],NOTA[[#This Row],[ID_H]]))</f>
        <v/>
      </c>
      <c r="AK299" s="38">
        <f ca="1">IF(NOTA[[#This Row],[TGL.NOTA]]="",IF(NOTA[[#This Row],[SUPPLIER_H]]="","",AK298),MONTH(NOTA[[#This Row],[TGL.NOTA]]))</f>
        <v>1</v>
      </c>
      <c r="AL29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299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N299" s="184">
        <f>IF(NOTA[[#This Row],[CONCAT1]]="","",MATCH(NOTA[[#This Row],[CONCAT1]],[1]!db[NB NOTA_C],0)+1)</f>
        <v>1298</v>
      </c>
    </row>
    <row r="300" spans="1:40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Row],[CEK_EXP]]&lt;D299,"err","")</f>
        <v/>
      </c>
      <c r="D300" s="50">
        <f>IF(NOTA[[#This Row],[TANGGAL]]="",D299,NOTA[[#This Row],[TANGGAL]])</f>
        <v>44937</v>
      </c>
      <c r="E300" s="50">
        <f ca="1">IF(NOTA[[#This Row],[NAMA BARANG]]="","",INDEX(NOTA[ID],MATCH(,INDIRECT(ADDRESS(ROW(NOTA[ID]),COLUMN(NOTA[ID]))&amp;":"&amp;ADDRESS(ROW(),COLUMN(NOTA[ID]))),-1)))</f>
        <v>57</v>
      </c>
      <c r="F300" s="80"/>
      <c r="G300" s="26"/>
      <c r="H300" s="26"/>
      <c r="I300" s="31"/>
      <c r="J300" s="26"/>
      <c r="K300" s="81"/>
      <c r="L300" s="82"/>
      <c r="M300" s="26" t="s">
        <v>120</v>
      </c>
      <c r="N300" s="83">
        <v>2</v>
      </c>
      <c r="O300" s="82"/>
      <c r="P300" s="26"/>
      <c r="Q300" s="84"/>
      <c r="R300" s="85">
        <v>2880000</v>
      </c>
      <c r="S300" s="39" t="s">
        <v>121</v>
      </c>
      <c r="T300" s="86">
        <v>0.17</v>
      </c>
      <c r="U300" s="86"/>
      <c r="V300" s="87"/>
      <c r="W300" s="37"/>
      <c r="X300" s="54">
        <f>IF(NOTA[[#This Row],[HARGA/ CTN]]="",NOTA[[#This Row],[JUMLAH_H]],NOTA[[#This Row],[HARGA/ CTN]]*IF(NOTA[[#This Row],[C]]="",0,NOTA[[#This Row],[C]]))</f>
        <v>5760000</v>
      </c>
      <c r="Y300" s="54">
        <f>IF(NOTA[[#This Row],[JUMLAH]]="","",NOTA[[#This Row],[JUMLAH]]*NOTA[[#This Row],[DISC 1]])</f>
        <v>979200.00000000012</v>
      </c>
      <c r="Z300" s="54">
        <f>IF(NOTA[[#This Row],[JUMLAH]]="","",(NOTA[[#This Row],[JUMLAH]]-NOTA[[#This Row],[DISC 1-]])*NOTA[[#This Row],[DISC 2]])</f>
        <v>0</v>
      </c>
      <c r="AA300" s="54">
        <f>IF(NOTA[[#This Row],[JUMLAH]]="","",NOTA[[#This Row],[DISC 1-]]+NOTA[[#This Row],[DISC 2-]])</f>
        <v>979200.00000000012</v>
      </c>
      <c r="AB300" s="54">
        <f>IF(NOTA[[#This Row],[JUMLAH]]="","",NOTA[[#This Row],[JUMLAH]]-NOTA[[#This Row],[DISC]])</f>
        <v>4780800</v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00" s="54" t="str">
        <f>IF(OR(NOTA[[#This Row],[QTY]]="",NOTA[[#This Row],[HARGA SATUAN]]="",),"",NOTA[[#This Row],[QTY]]*NOTA[[#This Row],[HARGA SATUAN]])</f>
        <v/>
      </c>
      <c r="AG300" s="51">
        <f ca="1">IF(NOTA[ID_H]="","",INDEX(NOTA[TANGGAL],MATCH(,INDIRECT(ADDRESS(ROW(NOTA[TANGGAL]),COLUMN(NOTA[TANGGAL]))&amp;":"&amp;ADDRESS(ROW(),COLUMN(NOTA[TANGGAL]))),-1)))</f>
        <v>44937</v>
      </c>
      <c r="AH300" s="65" t="str">
        <f ca="1">IF(NOTA[[#This Row],[NAMA BARANG]]="","",INDEX(NOTA[SUPPLIER],MATCH(,INDIRECT(ADDRESS(ROW(NOTA[ID]),COLUMN(NOTA[ID]))&amp;":"&amp;ADDRESS(ROW(),COLUMN(NOTA[ID]))),-1)))</f>
        <v>KENKO SINAR INDONESIA</v>
      </c>
      <c r="AI300" s="65" t="str">
        <f ca="1">IF(NOTA[[#This Row],[ID_H]]="","",IF(NOTA[[#This Row],[FAKTUR]]="",INDIRECT(ADDRESS(ROW()-1,COLUMN())),NOTA[[#This Row],[FAKTUR]]))</f>
        <v>ARTO MORO</v>
      </c>
      <c r="AJ300" s="38" t="str">
        <f ca="1">IF(NOTA[[#This Row],[ID]]="","",COUNTIF(NOTA[ID_H],NOTA[[#This Row],[ID_H]]))</f>
        <v/>
      </c>
      <c r="AK300" s="38">
        <f ca="1">IF(NOTA[[#This Row],[TGL.NOTA]]="",IF(NOTA[[#This Row],[SUPPLIER_H]]="","",AK299),MONTH(NOTA[[#This Row],[TGL.NOTA]]))</f>
        <v>1</v>
      </c>
      <c r="AL30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300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N300" s="184">
        <f>IF(NOTA[[#This Row],[CONCAT1]]="","",MATCH(NOTA[[#This Row],[CONCAT1]],[1]!db[NB NOTA_C],0)+1)</f>
        <v>1124</v>
      </c>
    </row>
    <row r="301" spans="1:40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Row],[CEK_EXP]]&lt;D300,"err","")</f>
        <v/>
      </c>
      <c r="D301" s="50">
        <f>IF(NOTA[[#This Row],[TANGGAL]]="",D300,NOTA[[#This Row],[TANGGAL]])</f>
        <v>44937</v>
      </c>
      <c r="E301" s="50">
        <f ca="1">IF(NOTA[[#This Row],[NAMA BARANG]]="","",INDEX(NOTA[ID],MATCH(,INDIRECT(ADDRESS(ROW(NOTA[ID]),COLUMN(NOTA[ID]))&amp;":"&amp;ADDRESS(ROW(),COLUMN(NOTA[ID]))),-1)))</f>
        <v>57</v>
      </c>
      <c r="F301" s="80"/>
      <c r="G301" s="82"/>
      <c r="H301" s="82"/>
      <c r="I301" s="88"/>
      <c r="J301" s="82"/>
      <c r="K301" s="81"/>
      <c r="L301" s="82"/>
      <c r="M301" s="26" t="s">
        <v>166</v>
      </c>
      <c r="N301" s="83">
        <v>5</v>
      </c>
      <c r="O301" s="82"/>
      <c r="P301" s="26"/>
      <c r="Q301" s="84"/>
      <c r="R301" s="85">
        <v>3110400</v>
      </c>
      <c r="S301" s="39" t="s">
        <v>117</v>
      </c>
      <c r="T301" s="86">
        <v>0.17</v>
      </c>
      <c r="U301" s="86"/>
      <c r="V301" s="87"/>
      <c r="W301" s="37"/>
      <c r="X301" s="54">
        <f>IF(NOTA[[#This Row],[HARGA/ CTN]]="",NOTA[[#This Row],[JUMLAH_H]],NOTA[[#This Row],[HARGA/ CTN]]*IF(NOTA[[#This Row],[C]]="",0,NOTA[[#This Row],[C]]))</f>
        <v>15552000</v>
      </c>
      <c r="Y301" s="54">
        <f>IF(NOTA[[#This Row],[JUMLAH]]="","",NOTA[[#This Row],[JUMLAH]]*NOTA[[#This Row],[DISC 1]])</f>
        <v>2643840</v>
      </c>
      <c r="Z301" s="54">
        <f>IF(NOTA[[#This Row],[JUMLAH]]="","",(NOTA[[#This Row],[JUMLAH]]-NOTA[[#This Row],[DISC 1-]])*NOTA[[#This Row],[DISC 2]])</f>
        <v>0</v>
      </c>
      <c r="AA301" s="54">
        <f>IF(NOTA[[#This Row],[JUMLAH]]="","",NOTA[[#This Row],[DISC 1-]]+NOTA[[#This Row],[DISC 2-]])</f>
        <v>2643840</v>
      </c>
      <c r="AB301" s="54">
        <f>IF(NOTA[[#This Row],[JUMLAH]]="","",NOTA[[#This Row],[JUMLAH]]-NOTA[[#This Row],[DISC]])</f>
        <v>12908160</v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1" s="54" t="str">
        <f>IF(OR(NOTA[[#This Row],[QTY]]="",NOTA[[#This Row],[HARGA SATUAN]]="",),"",NOTA[[#This Row],[QTY]]*NOTA[[#This Row],[HARGA SATUAN]])</f>
        <v/>
      </c>
      <c r="AG301" s="51">
        <f ca="1">IF(NOTA[ID_H]="","",INDEX(NOTA[TANGGAL],MATCH(,INDIRECT(ADDRESS(ROW(NOTA[TANGGAL]),COLUMN(NOTA[TANGGAL]))&amp;":"&amp;ADDRESS(ROW(),COLUMN(NOTA[TANGGAL]))),-1)))</f>
        <v>44937</v>
      </c>
      <c r="AH301" s="65" t="str">
        <f ca="1">IF(NOTA[[#This Row],[NAMA BARANG]]="","",INDEX(NOTA[SUPPLIER],MATCH(,INDIRECT(ADDRESS(ROW(NOTA[ID]),COLUMN(NOTA[ID]))&amp;":"&amp;ADDRESS(ROW(),COLUMN(NOTA[ID]))),-1)))</f>
        <v>KENKO SINAR INDONESIA</v>
      </c>
      <c r="AI301" s="65" t="str">
        <f ca="1">IF(NOTA[[#This Row],[ID_H]]="","",IF(NOTA[[#This Row],[FAKTUR]]="",INDIRECT(ADDRESS(ROW()-1,COLUMN())),NOTA[[#This Row],[FAKTUR]]))</f>
        <v>ARTO MORO</v>
      </c>
      <c r="AJ301" s="38" t="str">
        <f ca="1">IF(NOTA[[#This Row],[ID]]="","",COUNTIF(NOTA[ID_H],NOTA[[#This Row],[ID_H]]))</f>
        <v/>
      </c>
      <c r="AK301" s="38">
        <f ca="1">IF(NOTA[[#This Row],[TGL.NOTA]]="",IF(NOTA[[#This Row],[SUPPLIER_H]]="","",AK300),MONTH(NOTA[[#This Row],[TGL.NOTA]]))</f>
        <v>1</v>
      </c>
      <c r="AL301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301" s="38" t="str">
        <f>IF(NOTA[C]="",NOTA[[#This Row],[CONCAT1]]&amp;NOTA[[#This Row],[HARGA SATUAN]],NOTA[[#This Row],[CONCAT1]]&amp;NOTA[[#This Row],[HARGA/ CTN_H]]&amp;NOTA[[#This Row],[DISC 1]]&amp;NOTA[[#This Row],[DISC 2]])</f>
        <v>kenkogelpenke303tgeltriangularblack31104000.17</v>
      </c>
      <c r="AN301" s="184">
        <f>IF(NOTA[[#This Row],[CONCAT1]]="","",MATCH(NOTA[[#This Row],[CONCAT1]],[1]!db[NB NOTA_C],0)+1)</f>
        <v>1172</v>
      </c>
    </row>
    <row r="302" spans="1:40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Row],[CEK_EXP]]&lt;D301,"err","")</f>
        <v/>
      </c>
      <c r="D302" s="50">
        <f>IF(NOTA[[#This Row],[TANGGAL]]="",D301,NOTA[[#This Row],[TANGGAL]])</f>
        <v>44937</v>
      </c>
      <c r="E302" s="50">
        <f ca="1">IF(NOTA[[#This Row],[NAMA BARANG]]="","",INDEX(NOTA[ID],MATCH(,INDIRECT(ADDRESS(ROW(NOTA[ID]),COLUMN(NOTA[ID]))&amp;":"&amp;ADDRESS(ROW(),COLUMN(NOTA[ID]))),-1)))</f>
        <v>57</v>
      </c>
      <c r="F302" s="80"/>
      <c r="G302" s="26"/>
      <c r="H302" s="26"/>
      <c r="I302" s="31"/>
      <c r="J302" s="26"/>
      <c r="K302" s="81"/>
      <c r="L302" s="26"/>
      <c r="M302" s="26" t="s">
        <v>349</v>
      </c>
      <c r="N302" s="83">
        <v>1</v>
      </c>
      <c r="O302" s="82"/>
      <c r="P302" s="26"/>
      <c r="Q302" s="84"/>
      <c r="R302" s="85">
        <v>1500000</v>
      </c>
      <c r="S302" s="39" t="s">
        <v>361</v>
      </c>
      <c r="T302" s="86">
        <v>0.17</v>
      </c>
      <c r="U302" s="86"/>
      <c r="V302" s="87"/>
      <c r="W302" s="37"/>
      <c r="X302" s="54">
        <f>IF(NOTA[[#This Row],[HARGA/ CTN]]="",NOTA[[#This Row],[JUMLAH_H]],NOTA[[#This Row],[HARGA/ CTN]]*IF(NOTA[[#This Row],[C]]="",0,NOTA[[#This Row],[C]]))</f>
        <v>1500000</v>
      </c>
      <c r="Y302" s="54">
        <f>IF(NOTA[[#This Row],[JUMLAH]]="","",NOTA[[#This Row],[JUMLAH]]*NOTA[[#This Row],[DISC 1]])</f>
        <v>255000.00000000003</v>
      </c>
      <c r="Z302" s="54">
        <f>IF(NOTA[[#This Row],[JUMLAH]]="","",(NOTA[[#This Row],[JUMLAH]]-NOTA[[#This Row],[DISC 1-]])*NOTA[[#This Row],[DISC 2]])</f>
        <v>0</v>
      </c>
      <c r="AA302" s="54">
        <f>IF(NOTA[[#This Row],[JUMLAH]]="","",NOTA[[#This Row],[DISC 1-]]+NOTA[[#This Row],[DISC 2-]])</f>
        <v>255000.00000000003</v>
      </c>
      <c r="AB302" s="54">
        <f>IF(NOTA[[#This Row],[JUMLAH]]="","",NOTA[[#This Row],[JUMLAH]]-NOTA[[#This Row],[DISC]])</f>
        <v>1245000</v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02" s="54" t="str">
        <f>IF(OR(NOTA[[#This Row],[QTY]]="",NOTA[[#This Row],[HARGA SATUAN]]="",),"",NOTA[[#This Row],[QTY]]*NOTA[[#This Row],[HARGA SATUAN]])</f>
        <v/>
      </c>
      <c r="AG302" s="51">
        <f ca="1">IF(NOTA[ID_H]="","",INDEX(NOTA[TANGGAL],MATCH(,INDIRECT(ADDRESS(ROW(NOTA[TANGGAL]),COLUMN(NOTA[TANGGAL]))&amp;":"&amp;ADDRESS(ROW(),COLUMN(NOTA[TANGGAL]))),-1)))</f>
        <v>44937</v>
      </c>
      <c r="AH302" s="65" t="str">
        <f ca="1">IF(NOTA[[#This Row],[NAMA BARANG]]="","",INDEX(NOTA[SUPPLIER],MATCH(,INDIRECT(ADDRESS(ROW(NOTA[ID]),COLUMN(NOTA[ID]))&amp;":"&amp;ADDRESS(ROW(),COLUMN(NOTA[ID]))),-1)))</f>
        <v>KENKO SINAR INDONESIA</v>
      </c>
      <c r="AI302" s="65" t="str">
        <f ca="1">IF(NOTA[[#This Row],[ID_H]]="","",IF(NOTA[[#This Row],[FAKTUR]]="",INDIRECT(ADDRESS(ROW()-1,COLUMN())),NOTA[[#This Row],[FAKTUR]]))</f>
        <v>ARTO MORO</v>
      </c>
      <c r="AJ302" s="38" t="str">
        <f ca="1">IF(NOTA[[#This Row],[ID]]="","",COUNTIF(NOTA[ID_H],NOTA[[#This Row],[ID_H]]))</f>
        <v/>
      </c>
      <c r="AK302" s="38">
        <f ca="1">IF(NOTA[[#This Row],[TGL.NOTA]]="",IF(NOTA[[#This Row],[SUPPLIER_H]]="","",AK301),MONTH(NOTA[[#This Row],[TGL.NOTA]]))</f>
        <v>1</v>
      </c>
      <c r="AL30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302" s="38" t="str">
        <f>IF(NOTA[C]="",NOTA[[#This Row],[CONCAT1]]&amp;NOTA[[#This Row],[HARGA SATUAN]],NOTA[[#This Row],[CONCAT1]]&amp;NOTA[[#This Row],[HARGA/ CTN_H]]&amp;NOTA[[#This Row],[DISC 1]]&amp;NOTA[[#This Row],[DISC 2]])</f>
        <v>kenkoerasererb20sqblack15000000.17</v>
      </c>
      <c r="AN302" s="184">
        <f>IF(NOTA[[#This Row],[CONCAT1]]="","",MATCH(NOTA[[#This Row],[CONCAT1]],[1]!db[NB NOTA_C],0)+1)</f>
        <v>1144</v>
      </c>
    </row>
    <row r="303" spans="1:40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Row],[CEK_EXP]]&lt;D302,"err","")</f>
        <v/>
      </c>
      <c r="D303" s="50">
        <f>IF(NOTA[[#This Row],[TANGGAL]]="",D302,NOTA[[#This Row],[TANGGAL]])</f>
        <v>44937</v>
      </c>
      <c r="E303" s="50">
        <f ca="1">IF(NOTA[[#This Row],[NAMA BARANG]]="","",INDEX(NOTA[ID],MATCH(,INDIRECT(ADDRESS(ROW(NOTA[ID]),COLUMN(NOTA[ID]))&amp;":"&amp;ADDRESS(ROW(),COLUMN(NOTA[ID]))),-1)))</f>
        <v>57</v>
      </c>
      <c r="F303" s="80"/>
      <c r="G303" s="82"/>
      <c r="H303" s="82"/>
      <c r="I303" s="88"/>
      <c r="J303" s="26"/>
      <c r="K303" s="81"/>
      <c r="L303" s="38"/>
      <c r="M303" s="26" t="s">
        <v>345</v>
      </c>
      <c r="N303" s="83">
        <v>1</v>
      </c>
      <c r="O303" s="82"/>
      <c r="P303" s="26"/>
      <c r="Q303" s="84"/>
      <c r="R303" s="85">
        <v>1500000</v>
      </c>
      <c r="S303" s="39" t="s">
        <v>361</v>
      </c>
      <c r="T303" s="86">
        <v>0.17</v>
      </c>
      <c r="U303" s="86"/>
      <c r="V303" s="87"/>
      <c r="W303" s="37"/>
      <c r="X303" s="54">
        <f>IF(NOTA[[#This Row],[HARGA/ CTN]]="",NOTA[[#This Row],[JUMLAH_H]],NOTA[[#This Row],[HARGA/ CTN]]*IF(NOTA[[#This Row],[C]]="",0,NOTA[[#This Row],[C]]))</f>
        <v>1500000</v>
      </c>
      <c r="Y303" s="54">
        <f>IF(NOTA[[#This Row],[JUMLAH]]="","",NOTA[[#This Row],[JUMLAH]]*NOTA[[#This Row],[DISC 1]])</f>
        <v>255000.00000000003</v>
      </c>
      <c r="Z303" s="54">
        <f>IF(NOTA[[#This Row],[JUMLAH]]="","",(NOTA[[#This Row],[JUMLAH]]-NOTA[[#This Row],[DISC 1-]])*NOTA[[#This Row],[DISC 2]])</f>
        <v>0</v>
      </c>
      <c r="AA303" s="54">
        <f>IF(NOTA[[#This Row],[JUMLAH]]="","",NOTA[[#This Row],[DISC 1-]]+NOTA[[#This Row],[DISC 2-]])</f>
        <v>255000.00000000003</v>
      </c>
      <c r="AB303" s="54">
        <f>IF(NOTA[[#This Row],[JUMLAH]]="","",NOTA[[#This Row],[JUMLAH]]-NOTA[[#This Row],[DISC]])</f>
        <v>1245000</v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03" s="54" t="str">
        <f>IF(OR(NOTA[[#This Row],[QTY]]="",NOTA[[#This Row],[HARGA SATUAN]]="",),"",NOTA[[#This Row],[QTY]]*NOTA[[#This Row],[HARGA SATUAN]])</f>
        <v/>
      </c>
      <c r="AG303" s="51">
        <f ca="1">IF(NOTA[ID_H]="","",INDEX(NOTA[TANGGAL],MATCH(,INDIRECT(ADDRESS(ROW(NOTA[TANGGAL]),COLUMN(NOTA[TANGGAL]))&amp;":"&amp;ADDRESS(ROW(),COLUMN(NOTA[TANGGAL]))),-1)))</f>
        <v>44937</v>
      </c>
      <c r="AH303" s="65" t="str">
        <f ca="1">IF(NOTA[[#This Row],[NAMA BARANG]]="","",INDEX(NOTA[SUPPLIER],MATCH(,INDIRECT(ADDRESS(ROW(NOTA[ID]),COLUMN(NOTA[ID]))&amp;":"&amp;ADDRESS(ROW(),COLUMN(NOTA[ID]))),-1)))</f>
        <v>KENKO SINAR INDONESIA</v>
      </c>
      <c r="AI303" s="65" t="str">
        <f ca="1">IF(NOTA[[#This Row],[ID_H]]="","",IF(NOTA[[#This Row],[FAKTUR]]="",INDIRECT(ADDRESS(ROW()-1,COLUMN())),NOTA[[#This Row],[FAKTUR]]))</f>
        <v>ARTO MORO</v>
      </c>
      <c r="AJ303" s="38" t="str">
        <f ca="1">IF(NOTA[[#This Row],[ID]]="","",COUNTIF(NOTA[ID_H],NOTA[[#This Row],[ID_H]]))</f>
        <v/>
      </c>
      <c r="AK303" s="38">
        <f ca="1">IF(NOTA[[#This Row],[TGL.NOTA]]="",IF(NOTA[[#This Row],[SUPPLIER_H]]="","",AK302),MONTH(NOTA[[#This Row],[TGL.NOTA]]))</f>
        <v>1</v>
      </c>
      <c r="AL303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303" s="38" t="str">
        <f>IF(NOTA[C]="",NOTA[[#This Row],[CONCAT1]]&amp;NOTA[[#This Row],[HARGA SATUAN]],NOTA[[#This Row],[CONCAT1]]&amp;NOTA[[#This Row],[HARGA/ CTN_H]]&amp;NOTA[[#This Row],[DISC 1]]&amp;NOTA[[#This Row],[DISC 2]])</f>
        <v>kenkoerasererw20sqwhite15000000.17</v>
      </c>
      <c r="AN303" s="184">
        <f>IF(NOTA[[#This Row],[CONCAT1]]="","",MATCH(NOTA[[#This Row],[CONCAT1]],[1]!db[NB NOTA_C],0)+1)</f>
        <v>1315</v>
      </c>
    </row>
    <row r="304" spans="1:40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Row],[CEK_EXP]]&lt;D303,"err","")</f>
        <v/>
      </c>
      <c r="D304" s="50">
        <f>IF(NOTA[[#This Row],[TANGGAL]]="",D303,NOTA[[#This Row],[TANGGAL]])</f>
        <v>44937</v>
      </c>
      <c r="E304" s="50">
        <f ca="1">IF(NOTA[[#This Row],[NAMA BARANG]]="","",INDEX(NOTA[ID],MATCH(,INDIRECT(ADDRESS(ROW(NOTA[ID]),COLUMN(NOTA[ID]))&amp;":"&amp;ADDRESS(ROW(),COLUMN(NOTA[ID]))),-1)))</f>
        <v>57</v>
      </c>
      <c r="F304" s="80"/>
      <c r="G304" s="26"/>
      <c r="H304" s="26"/>
      <c r="I304" s="31"/>
      <c r="J304" s="82"/>
      <c r="K304" s="81"/>
      <c r="L304" s="82"/>
      <c r="M304" s="26" t="s">
        <v>350</v>
      </c>
      <c r="N304" s="83">
        <v>2</v>
      </c>
      <c r="O304" s="82"/>
      <c r="P304" s="26"/>
      <c r="Q304" s="84"/>
      <c r="R304" s="85">
        <v>1375000</v>
      </c>
      <c r="S304" s="39" t="s">
        <v>361</v>
      </c>
      <c r="T304" s="86">
        <v>0.17</v>
      </c>
      <c r="U304" s="86"/>
      <c r="V304" s="87"/>
      <c r="W304" s="37"/>
      <c r="X304" s="54">
        <f>IF(NOTA[[#This Row],[HARGA/ CTN]]="",NOTA[[#This Row],[JUMLAH_H]],NOTA[[#This Row],[HARGA/ CTN]]*IF(NOTA[[#This Row],[C]]="",0,NOTA[[#This Row],[C]]))</f>
        <v>2750000</v>
      </c>
      <c r="Y304" s="54">
        <f>IF(NOTA[[#This Row],[JUMLAH]]="","",NOTA[[#This Row],[JUMLAH]]*NOTA[[#This Row],[DISC 1]])</f>
        <v>467500.00000000006</v>
      </c>
      <c r="Z304" s="54">
        <f>IF(NOTA[[#This Row],[JUMLAH]]="","",(NOTA[[#This Row],[JUMLAH]]-NOTA[[#This Row],[DISC 1-]])*NOTA[[#This Row],[DISC 2]])</f>
        <v>0</v>
      </c>
      <c r="AA304" s="54">
        <f>IF(NOTA[[#This Row],[JUMLAH]]="","",NOTA[[#This Row],[DISC 1-]]+NOTA[[#This Row],[DISC 2-]])</f>
        <v>467500.00000000006</v>
      </c>
      <c r="AB304" s="54">
        <f>IF(NOTA[[#This Row],[JUMLAH]]="","",NOTA[[#This Row],[JUMLAH]]-NOTA[[#This Row],[DISC]])</f>
        <v>2282500</v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04" s="54" t="str">
        <f>IF(OR(NOTA[[#This Row],[QTY]]="",NOTA[[#This Row],[HARGA SATUAN]]="",),"",NOTA[[#This Row],[QTY]]*NOTA[[#This Row],[HARGA SATUAN]])</f>
        <v/>
      </c>
      <c r="AG304" s="51">
        <f ca="1">IF(NOTA[ID_H]="","",INDEX(NOTA[TANGGAL],MATCH(,INDIRECT(ADDRESS(ROW(NOTA[TANGGAL]),COLUMN(NOTA[TANGGAL]))&amp;":"&amp;ADDRESS(ROW(),COLUMN(NOTA[TANGGAL]))),-1)))</f>
        <v>44937</v>
      </c>
      <c r="AH304" s="65" t="str">
        <f ca="1">IF(NOTA[[#This Row],[NAMA BARANG]]="","",INDEX(NOTA[SUPPLIER],MATCH(,INDIRECT(ADDRESS(ROW(NOTA[ID]),COLUMN(NOTA[ID]))&amp;":"&amp;ADDRESS(ROW(),COLUMN(NOTA[ID]))),-1)))</f>
        <v>KENKO SINAR INDONESIA</v>
      </c>
      <c r="AI304" s="65" t="str">
        <f ca="1">IF(NOTA[[#This Row],[ID_H]]="","",IF(NOTA[[#This Row],[FAKTUR]]="",INDIRECT(ADDRESS(ROW()-1,COLUMN())),NOTA[[#This Row],[FAKTUR]]))</f>
        <v>ARTO MORO</v>
      </c>
      <c r="AJ304" s="38" t="str">
        <f ca="1">IF(NOTA[[#This Row],[ID]]="","",COUNTIF(NOTA[ID_H],NOTA[[#This Row],[ID_H]]))</f>
        <v/>
      </c>
      <c r="AK304" s="38">
        <f ca="1">IF(NOTA[[#This Row],[TGL.NOTA]]="",IF(NOTA[[#This Row],[SUPPLIER_H]]="","",AK303),MONTH(NOTA[[#This Row],[TGL.NOTA]]))</f>
        <v>1</v>
      </c>
      <c r="AL304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M304" s="38" t="str">
        <f>IF(NOTA[C]="",NOTA[[#This Row],[CONCAT1]]&amp;NOTA[[#This Row],[HARGA SATUAN]],NOTA[[#This Row],[CONCAT1]]&amp;NOTA[[#This Row],[HARGA/ CTN_H]]&amp;NOTA[[#This Row],[DISC 1]]&amp;NOTA[[#This Row],[DISC 2]])</f>
        <v>kenkoerasererb40sqblack13750000.17</v>
      </c>
      <c r="AN304" s="184">
        <f>IF(NOTA[[#This Row],[CONCAT1]]="","",MATCH(NOTA[[#This Row],[CONCAT1]],[1]!db[NB NOTA_C],0)+1)</f>
        <v>1145</v>
      </c>
    </row>
    <row r="305" spans="1:40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Row],[CEK_EXP]]&lt;D304,"err","")</f>
        <v/>
      </c>
      <c r="D305" s="50">
        <f>IF(NOTA[[#This Row],[TANGGAL]]="",D304,NOTA[[#This Row],[TANGGAL]])</f>
        <v>44937</v>
      </c>
      <c r="E305" s="50">
        <f ca="1">IF(NOTA[[#This Row],[NAMA BARANG]]="","",INDEX(NOTA[ID],MATCH(,INDIRECT(ADDRESS(ROW(NOTA[ID]),COLUMN(NOTA[ID]))&amp;":"&amp;ADDRESS(ROW(),COLUMN(NOTA[ID]))),-1)))</f>
        <v>57</v>
      </c>
      <c r="F305" s="80"/>
      <c r="G305" s="82"/>
      <c r="H305" s="82"/>
      <c r="I305" s="88"/>
      <c r="J305" s="82"/>
      <c r="K305" s="81"/>
      <c r="L305" s="82"/>
      <c r="M305" s="26" t="s">
        <v>342</v>
      </c>
      <c r="N305" s="83">
        <v>1</v>
      </c>
      <c r="O305" s="82"/>
      <c r="P305" s="26"/>
      <c r="Q305" s="84"/>
      <c r="R305" s="85">
        <v>1069200</v>
      </c>
      <c r="S305" s="39" t="s">
        <v>373</v>
      </c>
      <c r="T305" s="86">
        <v>0.17</v>
      </c>
      <c r="U305" s="86"/>
      <c r="V305" s="87"/>
      <c r="W305" s="37"/>
      <c r="X305" s="54">
        <f>IF(NOTA[[#This Row],[HARGA/ CTN]]="",NOTA[[#This Row],[JUMLAH_H]],NOTA[[#This Row],[HARGA/ CTN]]*IF(NOTA[[#This Row],[C]]="",0,NOTA[[#This Row],[C]]))</f>
        <v>1069200</v>
      </c>
      <c r="Y305" s="54">
        <f>IF(NOTA[[#This Row],[JUMLAH]]="","",NOTA[[#This Row],[JUMLAH]]*NOTA[[#This Row],[DISC 1]])</f>
        <v>181764</v>
      </c>
      <c r="Z305" s="54">
        <f>IF(NOTA[[#This Row],[JUMLAH]]="","",(NOTA[[#This Row],[JUMLAH]]-NOTA[[#This Row],[DISC 1-]])*NOTA[[#This Row],[DISC 2]])</f>
        <v>0</v>
      </c>
      <c r="AA305" s="54">
        <f>IF(NOTA[[#This Row],[JUMLAH]]="","",NOTA[[#This Row],[DISC 1-]]+NOTA[[#This Row],[DISC 2-]])</f>
        <v>181764</v>
      </c>
      <c r="AB305" s="54">
        <f>IF(NOTA[[#This Row],[JUMLAH]]="","",NOTA[[#This Row],[JUMLAH]]-NOTA[[#This Row],[DISC]])</f>
        <v>887436</v>
      </c>
      <c r="AC3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11279704</v>
      </c>
      <c r="AD3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55071496</v>
      </c>
      <c r="AE305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305" s="54" t="str">
        <f>IF(OR(NOTA[[#This Row],[QTY]]="",NOTA[[#This Row],[HARGA SATUAN]]="",),"",NOTA[[#This Row],[QTY]]*NOTA[[#This Row],[HARGA SATUAN]])</f>
        <v/>
      </c>
      <c r="AG305" s="51">
        <f ca="1">IF(NOTA[ID_H]="","",INDEX(NOTA[TANGGAL],MATCH(,INDIRECT(ADDRESS(ROW(NOTA[TANGGAL]),COLUMN(NOTA[TANGGAL]))&amp;":"&amp;ADDRESS(ROW(),COLUMN(NOTA[TANGGAL]))),-1)))</f>
        <v>44937</v>
      </c>
      <c r="AH305" s="65" t="str">
        <f ca="1">IF(NOTA[[#This Row],[NAMA BARANG]]="","",INDEX(NOTA[SUPPLIER],MATCH(,INDIRECT(ADDRESS(ROW(NOTA[ID]),COLUMN(NOTA[ID]))&amp;":"&amp;ADDRESS(ROW(),COLUMN(NOTA[ID]))),-1)))</f>
        <v>KENKO SINAR INDONESIA</v>
      </c>
      <c r="AI305" s="65" t="str">
        <f ca="1">IF(NOTA[[#This Row],[ID_H]]="","",IF(NOTA[[#This Row],[FAKTUR]]="",INDIRECT(ADDRESS(ROW()-1,COLUMN())),NOTA[[#This Row],[FAKTUR]]))</f>
        <v>ARTO MORO</v>
      </c>
      <c r="AJ305" s="38" t="str">
        <f ca="1">IF(NOTA[[#This Row],[ID]]="","",COUNTIF(NOTA[ID_H],NOTA[[#This Row],[ID_H]]))</f>
        <v/>
      </c>
      <c r="AK305" s="38">
        <f ca="1">IF(NOTA[[#This Row],[TGL.NOTA]]="",IF(NOTA[[#This Row],[SUPPLIER_H]]="","",AK304),MONTH(NOTA[[#This Row],[TGL.NOTA]]))</f>
        <v>1</v>
      </c>
      <c r="AL305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M305" s="38" t="str">
        <f>IF(NOTA[C]="",NOTA[[#This Row],[CONCAT1]]&amp;NOTA[[#This Row],[HARGA SATUAN]],NOTA[[#This Row],[CONCAT1]]&amp;NOTA[[#This Row],[HARGA/ CTN_H]]&amp;NOTA[[#This Row],[DISC 1]]&amp;NOTA[[#This Row],[DISC 2]])</f>
        <v>kenkostamppadno010692000.17</v>
      </c>
      <c r="AN305" s="184">
        <f>IF(NOTA[[#This Row],[CONCAT1]]="","",MATCH(NOTA[[#This Row],[CONCAT1]],[1]!db[NB NOTA_C],0)+1)</f>
        <v>1287</v>
      </c>
    </row>
    <row r="306" spans="1:40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Row],[CEK_EXP]]&lt;D305,"err","")</f>
        <v/>
      </c>
      <c r="D306" s="50">
        <f>IF(NOTA[[#This Row],[TANGGAL]]="",D305,NOTA[[#This Row],[TANGGAL]])</f>
        <v>44937</v>
      </c>
      <c r="E306" s="50" t="str">
        <f ca="1">IF(NOTA[[#This Row],[NAMA BARANG]]="","",INDEX(NOTA[ID],MATCH(,INDIRECT(ADDRESS(ROW(NOTA[ID]),COLUMN(NOTA[ID]))&amp;":"&amp;ADDRESS(ROW(),COLUMN(NOTA[ID]))),-1)))</f>
        <v/>
      </c>
      <c r="F306" s="80"/>
      <c r="G306" s="82"/>
      <c r="H306" s="82"/>
      <c r="I306" s="88"/>
      <c r="J306" s="82"/>
      <c r="K306" s="81"/>
      <c r="L306" s="82"/>
      <c r="M306" s="26"/>
      <c r="N306" s="83"/>
      <c r="O306" s="82"/>
      <c r="P306" s="26"/>
      <c r="Q306" s="84"/>
      <c r="R306" s="85"/>
      <c r="S306" s="39"/>
      <c r="T306" s="86"/>
      <c r="U306" s="86"/>
      <c r="V306" s="87"/>
      <c r="W306" s="37"/>
      <c r="X306" s="54" t="str">
        <f>IF(NOTA[[#This Row],[HARGA/ CTN]]="",NOTA[[#This Row],[JUMLAH_H]],NOTA[[#This Row],[HARGA/ CTN]]*IF(NOTA[[#This Row],[C]]="",0,NOTA[[#This Row],[C]]))</f>
        <v/>
      </c>
      <c r="Y306" s="54" t="str">
        <f>IF(NOTA[[#This Row],[JUMLAH]]="","",NOTA[[#This Row],[JUMLAH]]*NOTA[[#This Row],[DISC 1]])</f>
        <v/>
      </c>
      <c r="Z306" s="54" t="str">
        <f>IF(NOTA[[#This Row],[JUMLAH]]="","",(NOTA[[#This Row],[JUMLAH]]-NOTA[[#This Row],[DISC 1-]])*NOTA[[#This Row],[DISC 2]])</f>
        <v/>
      </c>
      <c r="AA306" s="54" t="str">
        <f>IF(NOTA[[#This Row],[JUMLAH]]="","",NOTA[[#This Row],[DISC 1-]]+NOTA[[#This Row],[DISC 2-]])</f>
        <v/>
      </c>
      <c r="AB306" s="54" t="str">
        <f>IF(NOTA[[#This Row],[JUMLAH]]="","",NOTA[[#This Row],[JUMLAH]]-NOTA[[#This Row],[DISC]])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54" t="str">
        <f>IF(OR(NOTA[[#This Row],[QTY]]="",NOTA[[#This Row],[HARGA SATUAN]]="",),"",NOTA[[#This Row],[QTY]]*NOTA[[#This Row],[HARGA SATUAN]])</f>
        <v/>
      </c>
      <c r="AG306" s="51" t="str">
        <f ca="1">IF(NOTA[ID_H]="","",INDEX(NOTA[TANGGAL],MATCH(,INDIRECT(ADDRESS(ROW(NOTA[TANGGAL]),COLUMN(NOTA[TANGGAL]))&amp;":"&amp;ADDRESS(ROW(),COLUMN(NOTA[TANGGAL]))),-1)))</f>
        <v/>
      </c>
      <c r="AH306" s="65" t="str">
        <f ca="1">IF(NOTA[[#This Row],[NAMA BARANG]]="","",INDEX(NOTA[SUPPLIER],MATCH(,INDIRECT(ADDRESS(ROW(NOTA[ID]),COLUMN(NOTA[ID]))&amp;":"&amp;ADDRESS(ROW(),COLUMN(NOTA[ID]))),-1)))</f>
        <v/>
      </c>
      <c r="AI306" s="65" t="str">
        <f ca="1">IF(NOTA[[#This Row],[ID_H]]="","",IF(NOTA[[#This Row],[FAKTUR]]="",INDIRECT(ADDRESS(ROW()-1,COLUMN())),NOTA[[#This Row],[FAKTUR]]))</f>
        <v/>
      </c>
      <c r="AJ306" s="38" t="str">
        <f ca="1">IF(NOTA[[#This Row],[ID]]="","",COUNTIF(NOTA[ID_H],NOTA[[#This Row],[ID_H]]))</f>
        <v/>
      </c>
      <c r="AK306" s="38" t="str">
        <f ca="1">IF(NOTA[[#This Row],[TGL.NOTA]]="",IF(NOTA[[#This Row],[SUPPLIER_H]]="","",AK305),MONTH(NOTA[[#This Row],[TGL.NOTA]]))</f>
        <v/>
      </c>
      <c r="AL306" s="38" t="str">
        <f>LOWER(SUBSTITUTE(SUBSTITUTE(SUBSTITUTE(SUBSTITUTE(SUBSTITUTE(SUBSTITUTE(SUBSTITUTE(SUBSTITUTE(SUBSTITUTE(NOTA[NAMA BARANG]," ",),".",""),"-",""),"(",""),")",""),",",""),"/",""),"""",""),"+",""))</f>
        <v/>
      </c>
      <c r="AM306" s="38" t="str">
        <f>IF(NOTA[C]="",NOTA[[#This Row],[CONCAT1]]&amp;NOTA[[#This Row],[HARGA SATUAN]],NOTA[[#This Row],[CONCAT1]]&amp;NOTA[[#This Row],[HARGA/ CTN_H]]&amp;NOTA[[#This Row],[DISC 1]]&amp;NOTA[[#This Row],[DISC 2]])</f>
        <v/>
      </c>
      <c r="AN306" s="184" t="str">
        <f>IF(NOTA[[#This Row],[CONCAT1]]="","",MATCH(NOTA[[#This Row],[CONCAT1]],[1]!db[NB NOTA_C],0)+1)</f>
        <v/>
      </c>
    </row>
    <row r="307" spans="1:40" ht="20.100000000000001" customHeight="1" x14ac:dyDescent="0.25">
      <c r="A30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KEN_1101_528-2</v>
      </c>
      <c r="C307" s="50" t="str">
        <f>IF(NOTA[[#This Row],[CEK_EXP]]&lt;D306,"err","")</f>
        <v/>
      </c>
      <c r="D307" s="50">
        <f>IF(NOTA[[#This Row],[TANGGAL]]="",D306,NOTA[[#This Row],[TANGGAL]])</f>
        <v>44937</v>
      </c>
      <c r="E307" s="50">
        <f ca="1">IF(NOTA[[#This Row],[NAMA BARANG]]="","",INDEX(NOTA[ID],MATCH(,INDIRECT(ADDRESS(ROW(NOTA[ID]),COLUMN(NOTA[ID]))&amp;":"&amp;ADDRESS(ROW(),COLUMN(NOTA[ID]))),-1)))</f>
        <v>58</v>
      </c>
      <c r="F307" s="23"/>
      <c r="G307" s="26" t="s">
        <v>23</v>
      </c>
      <c r="H307" s="26" t="s">
        <v>24</v>
      </c>
      <c r="I307" s="31" t="s">
        <v>454</v>
      </c>
      <c r="J307" s="26" t="s">
        <v>457</v>
      </c>
      <c r="K307" s="51">
        <v>44935</v>
      </c>
      <c r="L307" s="26"/>
      <c r="M307" s="26" t="s">
        <v>455</v>
      </c>
      <c r="N307" s="39">
        <v>5</v>
      </c>
      <c r="O307" s="26"/>
      <c r="P307" s="26"/>
      <c r="Q307" s="49"/>
      <c r="R307" s="52">
        <v>2052000</v>
      </c>
      <c r="S307" s="39" t="s">
        <v>118</v>
      </c>
      <c r="T307" s="53">
        <v>0.17</v>
      </c>
      <c r="U307" s="53"/>
      <c r="V307" s="54"/>
      <c r="W307" s="37"/>
      <c r="X307" s="54">
        <f>IF(NOTA[[#This Row],[HARGA/ CTN]]="",NOTA[[#This Row],[JUMLAH_H]],NOTA[[#This Row],[HARGA/ CTN]]*IF(NOTA[[#This Row],[C]]="",0,NOTA[[#This Row],[C]]))</f>
        <v>10260000</v>
      </c>
      <c r="Y307" s="54">
        <f>IF(NOTA[[#This Row],[JUMLAH]]="","",NOTA[[#This Row],[JUMLAH]]*NOTA[[#This Row],[DISC 1]])</f>
        <v>1744200.0000000002</v>
      </c>
      <c r="Z307" s="54">
        <f>IF(NOTA[[#This Row],[JUMLAH]]="","",(NOTA[[#This Row],[JUMLAH]]-NOTA[[#This Row],[DISC 1-]])*NOTA[[#This Row],[DISC 2]])</f>
        <v>0</v>
      </c>
      <c r="AA307" s="54">
        <f>IF(NOTA[[#This Row],[JUMLAH]]="","",NOTA[[#This Row],[DISC 1-]]+NOTA[[#This Row],[DISC 2-]])</f>
        <v>1744200.0000000002</v>
      </c>
      <c r="AB307" s="54">
        <f>IF(NOTA[[#This Row],[JUMLAH]]="","",NOTA[[#This Row],[JUMLAH]]-NOTA[[#This Row],[DISC]])</f>
        <v>8515800</v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07" s="54" t="str">
        <f>IF(OR(NOTA[[#This Row],[QTY]]="",NOTA[[#This Row],[HARGA SATUAN]]="",),"",NOTA[[#This Row],[QTY]]*NOTA[[#This Row],[HARGA SATUAN]])</f>
        <v/>
      </c>
      <c r="AG307" s="51">
        <f ca="1">IF(NOTA[ID_H]="","",INDEX(NOTA[TANGGAL],MATCH(,INDIRECT(ADDRESS(ROW(NOTA[TANGGAL]),COLUMN(NOTA[TANGGAL]))&amp;":"&amp;ADDRESS(ROW(),COLUMN(NOTA[TANGGAL]))),-1)))</f>
        <v>44937</v>
      </c>
      <c r="AH307" s="65" t="str">
        <f ca="1">IF(NOTA[[#This Row],[NAMA BARANG]]="","",INDEX(NOTA[SUPPLIER],MATCH(,INDIRECT(ADDRESS(ROW(NOTA[ID]),COLUMN(NOTA[ID]))&amp;":"&amp;ADDRESS(ROW(),COLUMN(NOTA[ID]))),-1)))</f>
        <v>KENKO SINAR INDONESIA</v>
      </c>
      <c r="AI307" s="65" t="str">
        <f ca="1">IF(NOTA[[#This Row],[ID_H]]="","",IF(NOTA[[#This Row],[FAKTUR]]="",INDIRECT(ADDRESS(ROW()-1,COLUMN())),NOTA[[#This Row],[FAKTUR]]))</f>
        <v>ARTO MORO</v>
      </c>
      <c r="AJ307" s="38">
        <f ca="1">IF(NOTA[[#This Row],[ID]]="","",COUNTIF(NOTA[ID_H],NOTA[[#This Row],[ID_H]]))</f>
        <v>2</v>
      </c>
      <c r="AK307" s="38">
        <f>IF(NOTA[[#This Row],[TGL.NOTA]]="",IF(NOTA[[#This Row],[SUPPLIER_H]]="","",AK306),MONTH(NOTA[[#This Row],[TGL.NOTA]]))</f>
        <v>1</v>
      </c>
      <c r="AL307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07" s="38" t="str">
        <f>IF(NOTA[C]="",NOTA[[#This Row],[CONCAT1]]&amp;NOTA[[#This Row],[HARGA SATUAN]],NOTA[[#This Row],[CONCAT1]]&amp;NOTA[[#This Row],[HARGA/ CTN_H]]&amp;NOTA[[#This Row],[DISC 1]]&amp;NOTA[[#This Row],[DISC 2]])</f>
        <v>kenkocorrectionfluidke823m20520000.17</v>
      </c>
      <c r="AN307" s="184">
        <f>IF(NOTA[[#This Row],[CONCAT1]]="","",MATCH(NOTA[[#This Row],[CONCAT1]],[1]!db[NB NOTA_C],0)+1)</f>
        <v>1106</v>
      </c>
    </row>
    <row r="308" spans="1:40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Row],[CEK_EXP]]&lt;D307,"err","")</f>
        <v/>
      </c>
      <c r="D308" s="50">
        <f>IF(NOTA[[#This Row],[TANGGAL]]="",D307,NOTA[[#This Row],[TANGGAL]])</f>
        <v>44937</v>
      </c>
      <c r="E308" s="50">
        <f ca="1">IF(NOTA[[#This Row],[NAMA BARANG]]="","",INDEX(NOTA[ID],MATCH(,INDIRECT(ADDRESS(ROW(NOTA[ID]),COLUMN(NOTA[ID]))&amp;":"&amp;ADDRESS(ROW(),COLUMN(NOTA[ID]))),-1)))</f>
        <v>58</v>
      </c>
      <c r="F308" s="23"/>
      <c r="G308" s="26"/>
      <c r="H308" s="26"/>
      <c r="I308" s="31"/>
      <c r="J308" s="26"/>
      <c r="K308" s="51"/>
      <c r="L308" s="26"/>
      <c r="M308" s="26" t="s">
        <v>456</v>
      </c>
      <c r="N308" s="39">
        <v>1</v>
      </c>
      <c r="O308" s="26"/>
      <c r="P308" s="26"/>
      <c r="Q308" s="49"/>
      <c r="R308" s="52">
        <v>804000</v>
      </c>
      <c r="S308" s="39" t="s">
        <v>119</v>
      </c>
      <c r="T308" s="53">
        <v>0.17</v>
      </c>
      <c r="U308" s="53"/>
      <c r="V308" s="54"/>
      <c r="W308" s="37"/>
      <c r="X308" s="54">
        <f>IF(NOTA[[#This Row],[HARGA/ CTN]]="",NOTA[[#This Row],[JUMLAH_H]],NOTA[[#This Row],[HARGA/ CTN]]*IF(NOTA[[#This Row],[C]]="",0,NOTA[[#This Row],[C]]))</f>
        <v>804000</v>
      </c>
      <c r="Y308" s="54">
        <f>IF(NOTA[[#This Row],[JUMLAH]]="","",NOTA[[#This Row],[JUMLAH]]*NOTA[[#This Row],[DISC 1]])</f>
        <v>136680</v>
      </c>
      <c r="Z308" s="54">
        <f>IF(NOTA[[#This Row],[JUMLAH]]="","",(NOTA[[#This Row],[JUMLAH]]-NOTA[[#This Row],[DISC 1-]])*NOTA[[#This Row],[DISC 2]])</f>
        <v>0</v>
      </c>
      <c r="AA308" s="54">
        <f>IF(NOTA[[#This Row],[JUMLAH]]="","",NOTA[[#This Row],[DISC 1-]]+NOTA[[#This Row],[DISC 2-]])</f>
        <v>136680</v>
      </c>
      <c r="AB308" s="54">
        <f>IF(NOTA[[#This Row],[JUMLAH]]="","",NOTA[[#This Row],[JUMLAH]]-NOTA[[#This Row],[DISC]])</f>
        <v>667320</v>
      </c>
      <c r="AC3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1880880.0000000002</v>
      </c>
      <c r="AD3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9183120</v>
      </c>
      <c r="AE308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308" s="54" t="str">
        <f>IF(OR(NOTA[[#This Row],[QTY]]="",NOTA[[#This Row],[HARGA SATUAN]]="",),"",NOTA[[#This Row],[QTY]]*NOTA[[#This Row],[HARGA SATUAN]])</f>
        <v/>
      </c>
      <c r="AG308" s="51">
        <f ca="1">IF(NOTA[ID_H]="","",INDEX(NOTA[TANGGAL],MATCH(,INDIRECT(ADDRESS(ROW(NOTA[TANGGAL]),COLUMN(NOTA[TANGGAL]))&amp;":"&amp;ADDRESS(ROW(),COLUMN(NOTA[TANGGAL]))),-1)))</f>
        <v>44937</v>
      </c>
      <c r="AH308" s="65" t="str">
        <f ca="1">IF(NOTA[[#This Row],[NAMA BARANG]]="","",INDEX(NOTA[SUPPLIER],MATCH(,INDIRECT(ADDRESS(ROW(NOTA[ID]),COLUMN(NOTA[ID]))&amp;":"&amp;ADDRESS(ROW(),COLUMN(NOTA[ID]))),-1)))</f>
        <v>KENKO SINAR INDONESIA</v>
      </c>
      <c r="AI308" s="65" t="str">
        <f ca="1">IF(NOTA[[#This Row],[ID_H]]="","",IF(NOTA[[#This Row],[FAKTUR]]="",INDIRECT(ADDRESS(ROW()-1,COLUMN())),NOTA[[#This Row],[FAKTUR]]))</f>
        <v>ARTO MORO</v>
      </c>
      <c r="AJ308" s="38" t="str">
        <f ca="1">IF(NOTA[[#This Row],[ID]]="","",COUNTIF(NOTA[ID_H],NOTA[[#This Row],[ID_H]]))</f>
        <v/>
      </c>
      <c r="AK308" s="38">
        <f ca="1">IF(NOTA[[#This Row],[TGL.NOTA]]="",IF(NOTA[[#This Row],[SUPPLIER_H]]="","",AK307),MONTH(NOTA[[#This Row],[TGL.NOTA]]))</f>
        <v>1</v>
      </c>
      <c r="AL308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308" s="38" t="str">
        <f>IF(NOTA[C]="",NOTA[[#This Row],[CONCAT1]]&amp;NOTA[[#This Row],[HARGA SATUAN]],NOTA[[#This Row],[CONCAT1]]&amp;NOTA[[#This Row],[HARGA/ CTN_H]]&amp;NOTA[[#This Row],[DISC 1]]&amp;NOTA[[#This Row],[DISC 2]])</f>
        <v>kenkopocketnotepn4048040000.17</v>
      </c>
      <c r="AN308" s="184">
        <f>IF(NOTA[[#This Row],[CONCAT1]]="","",MATCH(NOTA[[#This Row],[CONCAT1]],[1]!db[NB NOTA_C],0)+1)</f>
        <v>1252</v>
      </c>
    </row>
    <row r="309" spans="1:40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Row],[CEK_EXP]]&lt;D308,"err","")</f>
        <v/>
      </c>
      <c r="D309" s="50">
        <f>IF(NOTA[[#This Row],[TANGGAL]]="",D308,NOTA[[#This Row],[TANGGAL]])</f>
        <v>44937</v>
      </c>
      <c r="E309" s="50" t="str">
        <f ca="1">IF(NOTA[[#This Row],[NAMA BARANG]]="","",INDEX(NOTA[ID],MATCH(,INDIRECT(ADDRESS(ROW(NOTA[ID]),COLUMN(NOTA[ID]))&amp;":"&amp;ADDRESS(ROW(),COLUMN(NOTA[ID]))),-1)))</f>
        <v/>
      </c>
      <c r="F309" s="23"/>
      <c r="G309" s="26"/>
      <c r="H309" s="26"/>
      <c r="I309" s="31"/>
      <c r="J309" s="26"/>
      <c r="K309" s="51"/>
      <c r="L309" s="26"/>
      <c r="M309" s="26"/>
      <c r="N309" s="39"/>
      <c r="O309" s="26"/>
      <c r="P309" s="26"/>
      <c r="Q309" s="49"/>
      <c r="R309" s="52"/>
      <c r="S309" s="39"/>
      <c r="T309" s="53"/>
      <c r="U309" s="53"/>
      <c r="V309" s="54"/>
      <c r="W309" s="37"/>
      <c r="X309" s="54" t="str">
        <f>IF(NOTA[[#This Row],[HARGA/ CTN]]="",NOTA[[#This Row],[JUMLAH_H]],NOTA[[#This Row],[HARGA/ CTN]]*IF(NOTA[[#This Row],[C]]="",0,NOTA[[#This Row],[C]]))</f>
        <v/>
      </c>
      <c r="Y309" s="54" t="str">
        <f>IF(NOTA[[#This Row],[JUMLAH]]="","",NOTA[[#This Row],[JUMLAH]]*NOTA[[#This Row],[DISC 1]])</f>
        <v/>
      </c>
      <c r="Z309" s="54" t="str">
        <f>IF(NOTA[[#This Row],[JUMLAH]]="","",(NOTA[[#This Row],[JUMLAH]]-NOTA[[#This Row],[DISC 1-]])*NOTA[[#This Row],[DISC 2]])</f>
        <v/>
      </c>
      <c r="AA309" s="54" t="str">
        <f>IF(NOTA[[#This Row],[JUMLAH]]="","",NOTA[[#This Row],[DISC 1-]]+NOTA[[#This Row],[DISC 2-]])</f>
        <v/>
      </c>
      <c r="AB309" s="54" t="str">
        <f>IF(NOTA[[#This Row],[JUMLAH]]="","",NOTA[[#This Row],[JUMLAH]]-NOTA[[#This Row],[DISC]])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54" t="str">
        <f>IF(OR(NOTA[[#This Row],[QTY]]="",NOTA[[#This Row],[HARGA SATUAN]]="",),"",NOTA[[#This Row],[QTY]]*NOTA[[#This Row],[HARGA SATUAN]])</f>
        <v/>
      </c>
      <c r="AG309" s="51" t="str">
        <f ca="1">IF(NOTA[ID_H]="","",INDEX(NOTA[TANGGAL],MATCH(,INDIRECT(ADDRESS(ROW(NOTA[TANGGAL]),COLUMN(NOTA[TANGGAL]))&amp;":"&amp;ADDRESS(ROW(),COLUMN(NOTA[TANGGAL]))),-1)))</f>
        <v/>
      </c>
      <c r="AH309" s="65" t="str">
        <f ca="1">IF(NOTA[[#This Row],[NAMA BARANG]]="","",INDEX(NOTA[SUPPLIER],MATCH(,INDIRECT(ADDRESS(ROW(NOTA[ID]),COLUMN(NOTA[ID]))&amp;":"&amp;ADDRESS(ROW(),COLUMN(NOTA[ID]))),-1)))</f>
        <v/>
      </c>
      <c r="AI309" s="65" t="str">
        <f ca="1">IF(NOTA[[#This Row],[ID_H]]="","",IF(NOTA[[#This Row],[FAKTUR]]="",INDIRECT(ADDRESS(ROW()-1,COLUMN())),NOTA[[#This Row],[FAKTUR]]))</f>
        <v/>
      </c>
      <c r="AJ309" s="38" t="str">
        <f ca="1">IF(NOTA[[#This Row],[ID]]="","",COUNTIF(NOTA[ID_H],NOTA[[#This Row],[ID_H]]))</f>
        <v/>
      </c>
      <c r="AK309" s="38" t="str">
        <f ca="1">IF(NOTA[[#This Row],[TGL.NOTA]]="",IF(NOTA[[#This Row],[SUPPLIER_H]]="","",AK308),MONTH(NOTA[[#This Row],[TGL.NOTA]]))</f>
        <v/>
      </c>
      <c r="AL309" s="38" t="str">
        <f>LOWER(SUBSTITUTE(SUBSTITUTE(SUBSTITUTE(SUBSTITUTE(SUBSTITUTE(SUBSTITUTE(SUBSTITUTE(SUBSTITUTE(SUBSTITUTE(NOTA[NAMA BARANG]," ",),".",""),"-",""),"(",""),")",""),",",""),"/",""),"""",""),"+",""))</f>
        <v/>
      </c>
      <c r="AM309" s="38" t="str">
        <f>IF(NOTA[C]="",NOTA[[#This Row],[CONCAT1]]&amp;NOTA[[#This Row],[HARGA SATUAN]],NOTA[[#This Row],[CONCAT1]]&amp;NOTA[[#This Row],[HARGA/ CTN_H]]&amp;NOTA[[#This Row],[DISC 1]]&amp;NOTA[[#This Row],[DISC 2]])</f>
        <v/>
      </c>
      <c r="AN309" s="184" t="str">
        <f>IF(NOTA[[#This Row],[CONCAT1]]="","",MATCH(NOTA[[#This Row],[CONCAT1]],[1]!db[NB NOTA_C],0)+1)</f>
        <v/>
      </c>
    </row>
    <row r="310" spans="1:40" ht="20.100000000000001" customHeight="1" x14ac:dyDescent="0.25">
      <c r="A310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PPW_1101_I23-1</v>
      </c>
      <c r="C310" s="50" t="str">
        <f>IF(NOTA[[#This Row],[CEK_EXP]]&lt;D309,"err","")</f>
        <v/>
      </c>
      <c r="D310" s="50">
        <f>IF(NOTA[[#This Row],[TANGGAL]]="",D309,NOTA[[#This Row],[TANGGAL]])</f>
        <v>44937</v>
      </c>
      <c r="E310" s="50">
        <f ca="1">IF(NOTA[[#This Row],[NAMA BARANG]]="","",INDEX(NOTA[ID],MATCH(,INDIRECT(ADDRESS(ROW(NOTA[ID]),COLUMN(NOTA[ID]))&amp;":"&amp;ADDRESS(ROW(),COLUMN(NOTA[ID]))),-1)))</f>
        <v>59</v>
      </c>
      <c r="F310" s="23"/>
      <c r="G310" s="26" t="s">
        <v>460</v>
      </c>
      <c r="H310" s="26" t="s">
        <v>87</v>
      </c>
      <c r="I310" s="31" t="s">
        <v>461</v>
      </c>
      <c r="J310" s="26"/>
      <c r="K310" s="51">
        <v>44933</v>
      </c>
      <c r="L310" s="26"/>
      <c r="M310" s="26" t="s">
        <v>462</v>
      </c>
      <c r="N310" s="39">
        <v>2</v>
      </c>
      <c r="O310" s="26">
        <v>200</v>
      </c>
      <c r="P310" s="26" t="s">
        <v>116</v>
      </c>
      <c r="Q310" s="49">
        <v>21380</v>
      </c>
      <c r="R310" s="52"/>
      <c r="S310" s="39" t="s">
        <v>463</v>
      </c>
      <c r="T310" s="53">
        <v>0.2</v>
      </c>
      <c r="U310" s="53">
        <v>0.04</v>
      </c>
      <c r="V310" s="54"/>
      <c r="W310" s="37"/>
      <c r="X310" s="54">
        <f>IF(NOTA[[#This Row],[HARGA/ CTN]]="",NOTA[[#This Row],[JUMLAH_H]],NOTA[[#This Row],[HARGA/ CTN]]*IF(NOTA[[#This Row],[C]]="",0,NOTA[[#This Row],[C]]))</f>
        <v>4276000</v>
      </c>
      <c r="Y310" s="54">
        <f>IF(NOTA[[#This Row],[JUMLAH]]="","",NOTA[[#This Row],[JUMLAH]]*NOTA[[#This Row],[DISC 1]])</f>
        <v>855200</v>
      </c>
      <c r="Z310" s="54">
        <f>IF(NOTA[[#This Row],[JUMLAH]]="","",(NOTA[[#This Row],[JUMLAH]]-NOTA[[#This Row],[DISC 1-]])*NOTA[[#This Row],[DISC 2]])</f>
        <v>136832</v>
      </c>
      <c r="AA310" s="54">
        <f>IF(NOTA[[#This Row],[JUMLAH]]="","",NOTA[[#This Row],[DISC 1-]]+NOTA[[#This Row],[DISC 2-]])</f>
        <v>992032</v>
      </c>
      <c r="AB310" s="54">
        <f>IF(NOTA[[#This Row],[JUMLAH]]="","",NOTA[[#This Row],[JUMLAH]]-NOTA[[#This Row],[DISC]])</f>
        <v>3283968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D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E310" s="4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10" s="54">
        <f>IF(OR(NOTA[[#This Row],[QTY]]="",NOTA[[#This Row],[HARGA SATUAN]]="",),"",NOTA[[#This Row],[QTY]]*NOTA[[#This Row],[HARGA SATUAN]])</f>
        <v>4276000</v>
      </c>
      <c r="AG310" s="51">
        <f ca="1">IF(NOTA[ID_H]="","",INDEX(NOTA[TANGGAL],MATCH(,INDIRECT(ADDRESS(ROW(NOTA[TANGGAL]),COLUMN(NOTA[TANGGAL]))&amp;":"&amp;ADDRESS(ROW(),COLUMN(NOTA[TANGGAL]))),-1)))</f>
        <v>44937</v>
      </c>
      <c r="AH310" s="65" t="str">
        <f ca="1">IF(NOTA[[#This Row],[NAMA BARANG]]="","",INDEX(NOTA[SUPPLIER],MATCH(,INDIRECT(ADDRESS(ROW(NOTA[ID]),COLUMN(NOTA[ID]))&amp;":"&amp;ADDRESS(ROW(),COLUMN(NOTA[ID]))),-1)))</f>
        <v>PPW</v>
      </c>
      <c r="AI310" s="65" t="str">
        <f ca="1">IF(NOTA[[#This Row],[ID_H]]="","",IF(NOTA[[#This Row],[FAKTUR]]="",INDIRECT(ADDRESS(ROW()-1,COLUMN())),NOTA[[#This Row],[FAKTUR]]))</f>
        <v>UNTANA</v>
      </c>
      <c r="AJ310" s="38">
        <f ca="1">IF(NOTA[[#This Row],[ID]]="","",COUNTIF(NOTA[ID_H],NOTA[[#This Row],[ID_H]]))</f>
        <v>1</v>
      </c>
      <c r="AK310" s="38">
        <f>IF(NOTA[[#This Row],[TGL.NOTA]]="",IF(NOTA[[#This Row],[SUPPLIER_H]]="","",AK309),MONTH(NOTA[[#This Row],[TGL.NOTA]]))</f>
        <v>1</v>
      </c>
      <c r="AL310" s="38" t="str">
        <f>LOWER(SUBSTITUTE(SUBSTITUTE(SUBSTITUTE(SUBSTITUTE(SUBSTITUTE(SUBSTITUTE(SUBSTITUTE(SUBSTITUTE(SUBSTITUTE(NOTA[NAMA BARANG]," ",),".",""),"-",""),"(",""),")",""),",",""),"/",""),"""",""),"+",""))</f>
        <v>bt20cm</v>
      </c>
      <c r="AM310" s="38" t="str">
        <f>IF(NOTA[C]="",NOTA[[#This Row],[CONCAT1]]&amp;NOTA[[#This Row],[HARGA SATUAN]],NOTA[[#This Row],[CONCAT1]]&amp;NOTA[[#This Row],[HARGA/ CTN_H]]&amp;NOTA[[#This Row],[DISC 1]]&amp;NOTA[[#This Row],[DISC 2]])</f>
        <v>bt20cm21380000.20.04</v>
      </c>
      <c r="AN310" s="184">
        <f>IF(NOTA[[#This Row],[CONCAT1]]="","",MATCH(NOTA[[#This Row],[CONCAT1]],[1]!db[NB NOTA_C],0)+1)</f>
        <v>330</v>
      </c>
    </row>
    <row r="311" spans="1:40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Row],[CEK_EXP]]&lt;D310,"err","")</f>
        <v/>
      </c>
      <c r="D311" s="50">
        <f>IF(NOTA[[#This Row],[TANGGAL]]="",D310,NOTA[[#This Row],[TANGGAL]])</f>
        <v>44937</v>
      </c>
      <c r="E311" s="50" t="str">
        <f ca="1">IF(NOTA[[#This Row],[NAMA BARANG]]="","",INDEX(NOTA[ID],MATCH(,INDIRECT(ADDRESS(ROW(NOTA[ID]),COLUMN(NOTA[ID]))&amp;":"&amp;ADDRESS(ROW(),COLUMN(NOTA[ID]))),-1)))</f>
        <v/>
      </c>
      <c r="F311" s="23"/>
      <c r="G311" s="26"/>
      <c r="H311" s="26"/>
      <c r="I311" s="31"/>
      <c r="J311" s="26"/>
      <c r="K311" s="51"/>
      <c r="L311" s="26"/>
      <c r="M311" s="26"/>
      <c r="N311" s="39"/>
      <c r="O311" s="26"/>
      <c r="P311" s="26"/>
      <c r="Q311" s="49"/>
      <c r="R311" s="52"/>
      <c r="S311" s="39"/>
      <c r="T311" s="53"/>
      <c r="U311" s="53"/>
      <c r="V311" s="54"/>
      <c r="W311" s="37"/>
      <c r="X311" s="54" t="str">
        <f>IF(NOTA[[#This Row],[HARGA/ CTN]]="",NOTA[[#This Row],[JUMLAH_H]],NOTA[[#This Row],[HARGA/ CTN]]*IF(NOTA[[#This Row],[C]]="",0,NOTA[[#This Row],[C]]))</f>
        <v/>
      </c>
      <c r="Y311" s="54" t="str">
        <f>IF(NOTA[[#This Row],[JUMLAH]]="","",NOTA[[#This Row],[JUMLAH]]*NOTA[[#This Row],[DISC 1]])</f>
        <v/>
      </c>
      <c r="Z311" s="54" t="str">
        <f>IF(NOTA[[#This Row],[JUMLAH]]="","",(NOTA[[#This Row],[JUMLAH]]-NOTA[[#This Row],[DISC 1-]])*NOTA[[#This Row],[DISC 2]])</f>
        <v/>
      </c>
      <c r="AA311" s="54" t="str">
        <f>IF(NOTA[[#This Row],[JUMLAH]]="","",NOTA[[#This Row],[DISC 1-]]+NOTA[[#This Row],[DISC 2-]])</f>
        <v/>
      </c>
      <c r="AB311" s="54" t="str">
        <f>IF(NOTA[[#This Row],[JUMLAH]]="","",NOTA[[#This Row],[JUMLAH]]-NOTA[[#This Row],[DISC]])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4" t="str">
        <f>IF(OR(NOTA[[#This Row],[QTY]]="",NOTA[[#This Row],[HARGA SATUAN]]="",),"",NOTA[[#This Row],[QTY]]*NOTA[[#This Row],[HARGA SATUAN]])</f>
        <v/>
      </c>
      <c r="AG311" s="51" t="str">
        <f ca="1">IF(NOTA[ID_H]="","",INDEX(NOTA[TANGGAL],MATCH(,INDIRECT(ADDRESS(ROW(NOTA[TANGGAL]),COLUMN(NOTA[TANGGAL]))&amp;":"&amp;ADDRESS(ROW(),COLUMN(NOTA[TANGGAL]))),-1)))</f>
        <v/>
      </c>
      <c r="AH311" s="65" t="str">
        <f ca="1">IF(NOTA[[#This Row],[NAMA BARANG]]="","",INDEX(NOTA[SUPPLIER],MATCH(,INDIRECT(ADDRESS(ROW(NOTA[ID]),COLUMN(NOTA[ID]))&amp;":"&amp;ADDRESS(ROW(),COLUMN(NOTA[ID]))),-1)))</f>
        <v/>
      </c>
      <c r="AI311" s="65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IF(NOTA[C]="",NOTA[[#This Row],[CONCAT1]]&amp;NOTA[[#This Row],[HARGA SATUAN]],NOTA[[#This Row],[CONCAT1]]&amp;NOTA[[#This Row],[HARGA/ CTN_H]]&amp;NOTA[[#This Row],[DISC 1]]&amp;NOTA[[#This Row],[DISC 2]])</f>
        <v/>
      </c>
      <c r="AN311" s="184" t="str">
        <f>IF(NOTA[[#This Row],[CONCAT1]]="","",MATCH(NOTA[[#This Row],[CONCAT1]],[1]!db[NB NOTA_C],0)+1)</f>
        <v/>
      </c>
    </row>
    <row r="312" spans="1:40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PPW_1101_I23-1</v>
      </c>
      <c r="C312" s="50" t="str">
        <f>IF(NOTA[[#This Row],[CEK_EXP]]&lt;D311,"err","")</f>
        <v/>
      </c>
      <c r="D312" s="50">
        <f>IF(NOTA[[#This Row],[TANGGAL]]="",D311,NOTA[[#This Row],[TANGGAL]])</f>
        <v>44937</v>
      </c>
      <c r="E312" s="50">
        <f ca="1">IF(NOTA[[#This Row],[NAMA BARANG]]="","",INDEX(NOTA[ID],MATCH(,INDIRECT(ADDRESS(ROW(NOTA[ID]),COLUMN(NOTA[ID]))&amp;":"&amp;ADDRESS(ROW(),COLUMN(NOTA[ID]))),-1)))</f>
        <v>60</v>
      </c>
      <c r="F312" s="23"/>
      <c r="G312" s="26" t="s">
        <v>464</v>
      </c>
      <c r="H312" s="26" t="s">
        <v>87</v>
      </c>
      <c r="I312" s="31" t="s">
        <v>465</v>
      </c>
      <c r="J312" s="26"/>
      <c r="K312" s="51">
        <v>44933</v>
      </c>
      <c r="L312" s="26"/>
      <c r="M312" s="26" t="s">
        <v>466</v>
      </c>
      <c r="N312" s="39">
        <v>5</v>
      </c>
      <c r="O312" s="26">
        <v>500</v>
      </c>
      <c r="P312" s="26" t="s">
        <v>116</v>
      </c>
      <c r="Q312" s="49">
        <v>26780</v>
      </c>
      <c r="R312" s="52"/>
      <c r="S312" s="39" t="s">
        <v>463</v>
      </c>
      <c r="T312" s="53">
        <v>0.2</v>
      </c>
      <c r="U312" s="53">
        <v>0.04</v>
      </c>
      <c r="V312" s="54"/>
      <c r="W312" s="37"/>
      <c r="X312" s="54">
        <f>IF(NOTA[[#This Row],[HARGA/ CTN]]="",NOTA[[#This Row],[JUMLAH_H]],NOTA[[#This Row],[HARGA/ CTN]]*IF(NOTA[[#This Row],[C]]="",0,NOTA[[#This Row],[C]]))</f>
        <v>13390000</v>
      </c>
      <c r="Y312" s="54">
        <f>IF(NOTA[[#This Row],[JUMLAH]]="","",NOTA[[#This Row],[JUMLAH]]*NOTA[[#This Row],[DISC 1]])</f>
        <v>2678000</v>
      </c>
      <c r="Z312" s="54">
        <f>IF(NOTA[[#This Row],[JUMLAH]]="","",(NOTA[[#This Row],[JUMLAH]]-NOTA[[#This Row],[DISC 1-]])*NOTA[[#This Row],[DISC 2]])</f>
        <v>428480</v>
      </c>
      <c r="AA312" s="54">
        <f>IF(NOTA[[#This Row],[JUMLAH]]="","",NOTA[[#This Row],[DISC 1-]]+NOTA[[#This Row],[DISC 2-]])</f>
        <v>3106480</v>
      </c>
      <c r="AB312" s="54">
        <f>IF(NOTA[[#This Row],[JUMLAH]]="","",NOTA[[#This Row],[JUMLAH]]-NOTA[[#This Row],[DISC]])</f>
        <v>10283520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12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12" s="54">
        <f>IF(OR(NOTA[[#This Row],[QTY]]="",NOTA[[#This Row],[HARGA SATUAN]]="",),"",NOTA[[#This Row],[QTY]]*NOTA[[#This Row],[HARGA SATUAN]])</f>
        <v>13390000</v>
      </c>
      <c r="AG312" s="51">
        <f ca="1">IF(NOTA[ID_H]="","",INDEX(NOTA[TANGGAL],MATCH(,INDIRECT(ADDRESS(ROW(NOTA[TANGGAL]),COLUMN(NOTA[TANGGAL]))&amp;":"&amp;ADDRESS(ROW(),COLUMN(NOTA[TANGGAL]))),-1)))</f>
        <v>44937</v>
      </c>
      <c r="AH312" s="65" t="str">
        <f ca="1">IF(NOTA[[#This Row],[NAMA BARANG]]="","",INDEX(NOTA[SUPPLIER],MATCH(,INDIRECT(ADDRESS(ROW(NOTA[ID]),COLUMN(NOTA[ID]))&amp;":"&amp;ADDRESS(ROW(),COLUMN(NOTA[ID]))),-1)))</f>
        <v xml:space="preserve">PPW </v>
      </c>
      <c r="AI312" s="65" t="str">
        <f ca="1">IF(NOTA[[#This Row],[ID_H]]="","",IF(NOTA[[#This Row],[FAKTUR]]="",INDIRECT(ADDRESS(ROW()-1,COLUMN())),NOTA[[#This Row],[FAKTUR]]))</f>
        <v>UNTANA</v>
      </c>
      <c r="AJ312" s="38">
        <f ca="1">IF(NOTA[[#This Row],[ID]]="","",COUNTIF(NOTA[ID_H],NOTA[[#This Row],[ID_H]]))</f>
        <v>1</v>
      </c>
      <c r="AK312" s="38">
        <f>IF(NOTA[[#This Row],[TGL.NOTA]]="",IF(NOTA[[#This Row],[SUPPLIER_H]]="","",AK311),MONTH(NOTA[[#This Row],[TGL.NOTA]]))</f>
        <v>1</v>
      </c>
      <c r="AL312" s="38" t="str">
        <f>LOWER(SUBSTITUTE(SUBSTITUTE(SUBSTITUTE(SUBSTITUTE(SUBSTITUTE(SUBSTITUTE(SUBSTITUTE(SUBSTITUTE(SUBSTITUTE(NOTA[NAMA BARANG]," ",),".",""),"-",""),"(",""),")",""),",",""),"/",""),"""",""),"+",""))</f>
        <v>bt30cm</v>
      </c>
      <c r="AM312" s="38" t="str">
        <f>IF(NOTA[C]="",NOTA[[#This Row],[CONCAT1]]&amp;NOTA[[#This Row],[HARGA SATUAN]],NOTA[[#This Row],[CONCAT1]]&amp;NOTA[[#This Row],[HARGA/ CTN_H]]&amp;NOTA[[#This Row],[DISC 1]]&amp;NOTA[[#This Row],[DISC 2]])</f>
        <v>bt30cm26780000.20.04</v>
      </c>
      <c r="AN312" s="184">
        <f>IF(NOTA[[#This Row],[CONCAT1]]="","",MATCH(NOTA[[#This Row],[CONCAT1]],[1]!db[NB NOTA_C],0)+1)</f>
        <v>331</v>
      </c>
    </row>
    <row r="313" spans="1:40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Row],[CEK_EXP]]&lt;D312,"err","")</f>
        <v/>
      </c>
      <c r="D313" s="50">
        <f>IF(NOTA[[#This Row],[TANGGAL]]="",D312,NOTA[[#This Row],[TANGGAL]])</f>
        <v>44937</v>
      </c>
      <c r="E313" s="50" t="str">
        <f ca="1">IF(NOTA[[#This Row],[NAMA BARANG]]="","",INDEX(NOTA[ID],MATCH(,INDIRECT(ADDRESS(ROW(NOTA[ID]),COLUMN(NOTA[ID]))&amp;":"&amp;ADDRESS(ROW(),COLUMN(NOTA[ID]))),-1)))</f>
        <v/>
      </c>
      <c r="F313" s="23"/>
      <c r="G313" s="26"/>
      <c r="H313" s="26"/>
      <c r="I313" s="31"/>
      <c r="J313" s="26"/>
      <c r="K313" s="51"/>
      <c r="L313" s="26"/>
      <c r="M313" s="26"/>
      <c r="N313" s="39"/>
      <c r="O313" s="26"/>
      <c r="P313" s="26"/>
      <c r="Q313" s="49"/>
      <c r="R313" s="52"/>
      <c r="S313" s="39"/>
      <c r="T313" s="53"/>
      <c r="U313" s="53"/>
      <c r="V313" s="54"/>
      <c r="W313" s="37"/>
      <c r="X313" s="54" t="str">
        <f>IF(NOTA[[#This Row],[HARGA/ CTN]]="",NOTA[[#This Row],[JUMLAH_H]],NOTA[[#This Row],[HARGA/ CTN]]*IF(NOTA[[#This Row],[C]]="",0,NOTA[[#This Row],[C]]))</f>
        <v/>
      </c>
      <c r="Y313" s="54" t="str">
        <f>IF(NOTA[[#This Row],[JUMLAH]]="","",NOTA[[#This Row],[JUMLAH]]*NOTA[[#This Row],[DISC 1]])</f>
        <v/>
      </c>
      <c r="Z313" s="54" t="str">
        <f>IF(NOTA[[#This Row],[JUMLAH]]="","",(NOTA[[#This Row],[JUMLAH]]-NOTA[[#This Row],[DISC 1-]])*NOTA[[#This Row],[DISC 2]])</f>
        <v/>
      </c>
      <c r="AA313" s="54" t="str">
        <f>IF(NOTA[[#This Row],[JUMLAH]]="","",NOTA[[#This Row],[DISC 1-]]+NOTA[[#This Row],[DISC 2-]])</f>
        <v/>
      </c>
      <c r="AB313" s="54" t="str">
        <f>IF(NOTA[[#This Row],[JUMLAH]]="","",NOTA[[#This Row],[JUMLAH]]-NOTA[[#This Row],[DISC]])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54" t="str">
        <f>IF(OR(NOTA[[#This Row],[QTY]]="",NOTA[[#This Row],[HARGA SATUAN]]="",),"",NOTA[[#This Row],[QTY]]*NOTA[[#This Row],[HARGA SATUAN]])</f>
        <v/>
      </c>
      <c r="AG313" s="51" t="str">
        <f ca="1">IF(NOTA[ID_H]="","",INDEX(NOTA[TANGGAL],MATCH(,INDIRECT(ADDRESS(ROW(NOTA[TANGGAL]),COLUMN(NOTA[TANGGAL]))&amp;":"&amp;ADDRESS(ROW(),COLUMN(NOTA[TANGGAL]))),-1)))</f>
        <v/>
      </c>
      <c r="AH313" s="65" t="str">
        <f ca="1">IF(NOTA[[#This Row],[NAMA BARANG]]="","",INDEX(NOTA[SUPPLIER],MATCH(,INDIRECT(ADDRESS(ROW(NOTA[ID]),COLUMN(NOTA[ID]))&amp;":"&amp;ADDRESS(ROW(),COLUMN(NOTA[ID]))),-1)))</f>
        <v/>
      </c>
      <c r="AI313" s="65" t="str">
        <f ca="1">IF(NOTA[[#This Row],[ID_H]]="","",IF(NOTA[[#This Row],[FAKTUR]]="",INDIRECT(ADDRESS(ROW()-1,COLUMN())),NOTA[[#This Row],[FAKTUR]]))</f>
        <v/>
      </c>
      <c r="AJ313" s="38" t="str">
        <f ca="1">IF(NOTA[[#This Row],[ID]]="","",COUNTIF(NOTA[ID_H],NOTA[[#This Row],[ID_H]]))</f>
        <v/>
      </c>
      <c r="AK313" s="38" t="str">
        <f ca="1">IF(NOTA[[#This Row],[TGL.NOTA]]="",IF(NOTA[[#This Row],[SUPPLIER_H]]="","",AK312),MONTH(NOTA[[#This Row],[TGL.NOTA]]))</f>
        <v/>
      </c>
      <c r="AL313" s="38" t="str">
        <f>LOWER(SUBSTITUTE(SUBSTITUTE(SUBSTITUTE(SUBSTITUTE(SUBSTITUTE(SUBSTITUTE(SUBSTITUTE(SUBSTITUTE(SUBSTITUTE(NOTA[NAMA BARANG]," ",),".",""),"-",""),"(",""),")",""),",",""),"/",""),"""",""),"+",""))</f>
        <v/>
      </c>
      <c r="AM313" s="38" t="str">
        <f>IF(NOTA[C]="",NOTA[[#This Row],[CONCAT1]]&amp;NOTA[[#This Row],[HARGA SATUAN]],NOTA[[#This Row],[CONCAT1]]&amp;NOTA[[#This Row],[HARGA/ CTN_H]]&amp;NOTA[[#This Row],[DISC 1]]&amp;NOTA[[#This Row],[DISC 2]])</f>
        <v/>
      </c>
      <c r="AN313" s="184" t="str">
        <f>IF(NOTA[[#This Row],[CONCAT1]]="","",MATCH(NOTA[[#This Row],[CONCAT1]],[1]!db[NB NOTA_C],0)+1)</f>
        <v/>
      </c>
    </row>
    <row r="314" spans="1:40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PPW_1101_I22-1</v>
      </c>
      <c r="C314" s="50" t="str">
        <f>IF(NOTA[[#This Row],[CEK_EXP]]&lt;D313,"err","")</f>
        <v/>
      </c>
      <c r="D314" s="50">
        <f>IF(NOTA[[#This Row],[TANGGAL]]="",D313,NOTA[[#This Row],[TANGGAL]])</f>
        <v>44937</v>
      </c>
      <c r="E314" s="50">
        <f ca="1">IF(NOTA[[#This Row],[NAMA BARANG]]="","",INDEX(NOTA[ID],MATCH(,INDIRECT(ADDRESS(ROW(NOTA[ID]),COLUMN(NOTA[ID]))&amp;":"&amp;ADDRESS(ROW(),COLUMN(NOTA[ID]))),-1)))</f>
        <v>61</v>
      </c>
      <c r="F314" s="23"/>
      <c r="G314" s="26" t="s">
        <v>460</v>
      </c>
      <c r="H314" s="26" t="s">
        <v>87</v>
      </c>
      <c r="I314" s="31" t="s">
        <v>467</v>
      </c>
      <c r="J314" s="26"/>
      <c r="K314" s="51">
        <v>44888</v>
      </c>
      <c r="L314" s="26"/>
      <c r="M314" s="26" t="s">
        <v>462</v>
      </c>
      <c r="N314" s="39">
        <v>1</v>
      </c>
      <c r="O314" s="26">
        <v>100</v>
      </c>
      <c r="P314" s="26" t="s">
        <v>116</v>
      </c>
      <c r="Q314" s="49">
        <v>21380</v>
      </c>
      <c r="R314" s="52"/>
      <c r="S314" s="39" t="s">
        <v>468</v>
      </c>
      <c r="T314" s="53">
        <v>0.2</v>
      </c>
      <c r="U314" s="53">
        <v>0.04</v>
      </c>
      <c r="V314" s="54"/>
      <c r="W314" s="37"/>
      <c r="X314" s="54">
        <f>IF(NOTA[[#This Row],[HARGA/ CTN]]="",NOTA[[#This Row],[JUMLAH_H]],NOTA[[#This Row],[HARGA/ CTN]]*IF(NOTA[[#This Row],[C]]="",0,NOTA[[#This Row],[C]]))</f>
        <v>2138000</v>
      </c>
      <c r="Y314" s="54">
        <f>IF(NOTA[[#This Row],[JUMLAH]]="","",NOTA[[#This Row],[JUMLAH]]*NOTA[[#This Row],[DISC 1]])</f>
        <v>427600</v>
      </c>
      <c r="Z314" s="54">
        <f>IF(NOTA[[#This Row],[JUMLAH]]="","",(NOTA[[#This Row],[JUMLAH]]-NOTA[[#This Row],[DISC 1-]])*NOTA[[#This Row],[DISC 2]])</f>
        <v>68416</v>
      </c>
      <c r="AA314" s="54">
        <f>IF(NOTA[[#This Row],[JUMLAH]]="","",NOTA[[#This Row],[DISC 1-]]+NOTA[[#This Row],[DISC 2-]])</f>
        <v>496016</v>
      </c>
      <c r="AB314" s="54">
        <f>IF(NOTA[[#This Row],[JUMLAH]]="","",NOTA[[#This Row],[JUMLAH]]-NOTA[[#This Row],[DISC]])</f>
        <v>1641984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496016</v>
      </c>
      <c r="AD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1641984</v>
      </c>
      <c r="AE314" s="4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14" s="54">
        <f>IF(OR(NOTA[[#This Row],[QTY]]="",NOTA[[#This Row],[HARGA SATUAN]]="",),"",NOTA[[#This Row],[QTY]]*NOTA[[#This Row],[HARGA SATUAN]])</f>
        <v>2138000</v>
      </c>
      <c r="AG314" s="51">
        <f ca="1">IF(NOTA[ID_H]="","",INDEX(NOTA[TANGGAL],MATCH(,INDIRECT(ADDRESS(ROW(NOTA[TANGGAL]),COLUMN(NOTA[TANGGAL]))&amp;":"&amp;ADDRESS(ROW(),COLUMN(NOTA[TANGGAL]))),-1)))</f>
        <v>44937</v>
      </c>
      <c r="AH314" s="65" t="str">
        <f ca="1">IF(NOTA[[#This Row],[NAMA BARANG]]="","",INDEX(NOTA[SUPPLIER],MATCH(,INDIRECT(ADDRESS(ROW(NOTA[ID]),COLUMN(NOTA[ID]))&amp;":"&amp;ADDRESS(ROW(),COLUMN(NOTA[ID]))),-1)))</f>
        <v>PPW</v>
      </c>
      <c r="AI314" s="65" t="str">
        <f ca="1">IF(NOTA[[#This Row],[ID_H]]="","",IF(NOTA[[#This Row],[FAKTUR]]="",INDIRECT(ADDRESS(ROW()-1,COLUMN())),NOTA[[#This Row],[FAKTUR]]))</f>
        <v>UNTANA</v>
      </c>
      <c r="AJ314" s="38">
        <f ca="1">IF(NOTA[[#This Row],[ID]]="","",COUNTIF(NOTA[ID_H],NOTA[[#This Row],[ID_H]]))</f>
        <v>1</v>
      </c>
      <c r="AK314" s="38">
        <f>IF(NOTA[[#This Row],[TGL.NOTA]]="",IF(NOTA[[#This Row],[SUPPLIER_H]]="","",AK313),MONTH(NOTA[[#This Row],[TGL.NOTA]]))</f>
        <v>11</v>
      </c>
      <c r="AL314" s="38" t="str">
        <f>LOWER(SUBSTITUTE(SUBSTITUTE(SUBSTITUTE(SUBSTITUTE(SUBSTITUTE(SUBSTITUTE(SUBSTITUTE(SUBSTITUTE(SUBSTITUTE(NOTA[NAMA BARANG]," ",),".",""),"-",""),"(",""),")",""),",",""),"/",""),"""",""),"+",""))</f>
        <v>bt20cm</v>
      </c>
      <c r="AM314" s="38" t="str">
        <f>IF(NOTA[C]="",NOTA[[#This Row],[CONCAT1]]&amp;NOTA[[#This Row],[HARGA SATUAN]],NOTA[[#This Row],[CONCAT1]]&amp;NOTA[[#This Row],[HARGA/ CTN_H]]&amp;NOTA[[#This Row],[DISC 1]]&amp;NOTA[[#This Row],[DISC 2]])</f>
        <v>bt20cm21380000.20.04</v>
      </c>
      <c r="AN314" s="184">
        <f>IF(NOTA[[#This Row],[CONCAT1]]="","",MATCH(NOTA[[#This Row],[CONCAT1]],[1]!db[NB NOTA_C],0)+1)</f>
        <v>330</v>
      </c>
    </row>
    <row r="315" spans="1:40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Row],[CEK_EXP]]&lt;D314,"err","")</f>
        <v/>
      </c>
      <c r="D315" s="50">
        <f>IF(NOTA[[#This Row],[TANGGAL]]="",D314,NOTA[[#This Row],[TANGGAL]])</f>
        <v>44937</v>
      </c>
      <c r="E315" s="50" t="str">
        <f ca="1">IF(NOTA[[#This Row],[NAMA BARANG]]="","",INDEX(NOTA[ID],MATCH(,INDIRECT(ADDRESS(ROW(NOTA[ID]),COLUMN(NOTA[ID]))&amp;":"&amp;ADDRESS(ROW(),COLUMN(NOTA[ID]))),-1)))</f>
        <v/>
      </c>
      <c r="F315" s="23"/>
      <c r="G315" s="26"/>
      <c r="H315" s="26"/>
      <c r="I315" s="31"/>
      <c r="J315" s="26"/>
      <c r="K315" s="51"/>
      <c r="L315" s="26"/>
      <c r="M315" s="26"/>
      <c r="N315" s="39"/>
      <c r="O315" s="26"/>
      <c r="P315" s="26"/>
      <c r="Q315" s="49"/>
      <c r="R315" s="52"/>
      <c r="S315" s="39"/>
      <c r="T315" s="53"/>
      <c r="U315" s="53"/>
      <c r="V315" s="54"/>
      <c r="W315" s="37"/>
      <c r="X315" s="54" t="str">
        <f>IF(NOTA[[#This Row],[HARGA/ CTN]]="",NOTA[[#This Row],[JUMLAH_H]],NOTA[[#This Row],[HARGA/ CTN]]*IF(NOTA[[#This Row],[C]]="",0,NOTA[[#This Row],[C]]))</f>
        <v/>
      </c>
      <c r="Y315" s="54" t="str">
        <f>IF(NOTA[[#This Row],[JUMLAH]]="","",NOTA[[#This Row],[JUMLAH]]*NOTA[[#This Row],[DISC 1]])</f>
        <v/>
      </c>
      <c r="Z315" s="54" t="str">
        <f>IF(NOTA[[#This Row],[JUMLAH]]="","",(NOTA[[#This Row],[JUMLAH]]-NOTA[[#This Row],[DISC 1-]])*NOTA[[#This Row],[DISC 2]])</f>
        <v/>
      </c>
      <c r="AA315" s="54" t="str">
        <f>IF(NOTA[[#This Row],[JUMLAH]]="","",NOTA[[#This Row],[DISC 1-]]+NOTA[[#This Row],[DISC 2-]])</f>
        <v/>
      </c>
      <c r="AB315" s="54" t="str">
        <f>IF(NOTA[[#This Row],[JUMLAH]]="","",NOTA[[#This Row],[JUMLAH]]-NOTA[[#This Row],[DISC]])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54" t="str">
        <f>IF(OR(NOTA[[#This Row],[QTY]]="",NOTA[[#This Row],[HARGA SATUAN]]="",),"",NOTA[[#This Row],[QTY]]*NOTA[[#This Row],[HARGA SATUAN]])</f>
        <v/>
      </c>
      <c r="AG315" s="51" t="str">
        <f ca="1">IF(NOTA[ID_H]="","",INDEX(NOTA[TANGGAL],MATCH(,INDIRECT(ADDRESS(ROW(NOTA[TANGGAL]),COLUMN(NOTA[TANGGAL]))&amp;":"&amp;ADDRESS(ROW(),COLUMN(NOTA[TANGGAL]))),-1)))</f>
        <v/>
      </c>
      <c r="AH315" s="65" t="str">
        <f ca="1">IF(NOTA[[#This Row],[NAMA BARANG]]="","",INDEX(NOTA[SUPPLIER],MATCH(,INDIRECT(ADDRESS(ROW(NOTA[ID]),COLUMN(NOTA[ID]))&amp;":"&amp;ADDRESS(ROW(),COLUMN(NOTA[ID]))),-1)))</f>
        <v/>
      </c>
      <c r="AI315" s="65" t="str">
        <f ca="1">IF(NOTA[[#This Row],[ID_H]]="","",IF(NOTA[[#This Row],[FAKTUR]]="",INDIRECT(ADDRESS(ROW()-1,COLUMN())),NOTA[[#This Row],[FAKTUR]]))</f>
        <v/>
      </c>
      <c r="AJ315" s="38" t="str">
        <f ca="1">IF(NOTA[[#This Row],[ID]]="","",COUNTIF(NOTA[ID_H],NOTA[[#This Row],[ID_H]]))</f>
        <v/>
      </c>
      <c r="AK315" s="38" t="str">
        <f ca="1">IF(NOTA[[#This Row],[TGL.NOTA]]="",IF(NOTA[[#This Row],[SUPPLIER_H]]="","",AK314),MONTH(NOTA[[#This Row],[TGL.NOTA]]))</f>
        <v/>
      </c>
      <c r="AL315" s="38" t="str">
        <f>LOWER(SUBSTITUTE(SUBSTITUTE(SUBSTITUTE(SUBSTITUTE(SUBSTITUTE(SUBSTITUTE(SUBSTITUTE(SUBSTITUTE(SUBSTITUTE(NOTA[NAMA BARANG]," ",),".",""),"-",""),"(",""),")",""),",",""),"/",""),"""",""),"+",""))</f>
        <v/>
      </c>
      <c r="AM315" s="38" t="str">
        <f>IF(NOTA[C]="",NOTA[[#This Row],[CONCAT1]]&amp;NOTA[[#This Row],[HARGA SATUAN]],NOTA[[#This Row],[CONCAT1]]&amp;NOTA[[#This Row],[HARGA/ CTN_H]]&amp;NOTA[[#This Row],[DISC 1]]&amp;NOTA[[#This Row],[DISC 2]])</f>
        <v/>
      </c>
      <c r="AN315" s="184" t="str">
        <f>IF(NOTA[[#This Row],[CONCAT1]]="","",MATCH(NOTA[[#This Row],[CONCAT1]],[1]!db[NB NOTA_C],0)+1)</f>
        <v/>
      </c>
    </row>
    <row r="316" spans="1:40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GRA_1101_126-1</v>
      </c>
      <c r="C316" s="50" t="str">
        <f>IF(NOTA[[#This Row],[CEK_EXP]]&lt;D315,"err","")</f>
        <v/>
      </c>
      <c r="D316" s="50">
        <f>IF(NOTA[[#This Row],[TANGGAL]]="",D315,NOTA[[#This Row],[TANGGAL]])</f>
        <v>44937</v>
      </c>
      <c r="E316" s="50">
        <f ca="1">IF(NOTA[[#This Row],[NAMA BARANG]]="","",INDEX(NOTA[ID],MATCH(,INDIRECT(ADDRESS(ROW(NOTA[ID]),COLUMN(NOTA[ID]))&amp;":"&amp;ADDRESS(ROW(),COLUMN(NOTA[ID]))),-1)))</f>
        <v>62</v>
      </c>
      <c r="F316" s="23"/>
      <c r="G316" s="26" t="s">
        <v>86</v>
      </c>
      <c r="H316" s="26" t="s">
        <v>87</v>
      </c>
      <c r="I316" s="31" t="s">
        <v>469</v>
      </c>
      <c r="J316" s="26"/>
      <c r="K316" s="51">
        <v>44935</v>
      </c>
      <c r="L316" s="26"/>
      <c r="M316" s="26" t="s">
        <v>470</v>
      </c>
      <c r="N316" s="39">
        <v>15</v>
      </c>
      <c r="O316" s="26">
        <f>200*15</f>
        <v>3000</v>
      </c>
      <c r="P316" s="26" t="s">
        <v>598</v>
      </c>
      <c r="Q316" s="49">
        <f>600000*15/3000</f>
        <v>3000</v>
      </c>
      <c r="R316" s="52">
        <v>600000</v>
      </c>
      <c r="S316" s="39" t="s">
        <v>471</v>
      </c>
      <c r="T316" s="53"/>
      <c r="U316" s="53"/>
      <c r="V316" s="54"/>
      <c r="W316" s="37"/>
      <c r="X316" s="54">
        <f>IF(NOTA[[#This Row],[HARGA/ CTN]]="",NOTA[[#This Row],[JUMLAH_H]],NOTA[[#This Row],[HARGA/ CTN]]*IF(NOTA[[#This Row],[C]]="",0,NOTA[[#This Row],[C]]))</f>
        <v>9000000</v>
      </c>
      <c r="Y316" s="54">
        <f>IF(NOTA[[#This Row],[JUMLAH]]="","",NOTA[[#This Row],[JUMLAH]]*NOTA[[#This Row],[DISC 1]])</f>
        <v>0</v>
      </c>
      <c r="Z316" s="54">
        <f>IF(NOTA[[#This Row],[JUMLAH]]="","",(NOTA[[#This Row],[JUMLAH]]-NOTA[[#This Row],[DISC 1-]])*NOTA[[#This Row],[DISC 2]])</f>
        <v>0</v>
      </c>
      <c r="AA316" s="54">
        <f>IF(NOTA[[#This Row],[JUMLAH]]="","",NOTA[[#This Row],[DISC 1-]]+NOTA[[#This Row],[DISC 2-]])</f>
        <v>0</v>
      </c>
      <c r="AB316" s="54">
        <f>IF(NOTA[[#This Row],[JUMLAH]]="","",NOTA[[#This Row],[JUMLAH]]-NOTA[[#This Row],[DISC]])</f>
        <v>9000000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316" s="4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316" s="54">
        <f>IF(OR(NOTA[[#This Row],[QTY]]="",NOTA[[#This Row],[HARGA SATUAN]]="",),"",NOTA[[#This Row],[QTY]]*NOTA[[#This Row],[HARGA SATUAN]])</f>
        <v>9000000</v>
      </c>
      <c r="AG316" s="51">
        <f ca="1">IF(NOTA[ID_H]="","",INDEX(NOTA[TANGGAL],MATCH(,INDIRECT(ADDRESS(ROW(NOTA[TANGGAL]),COLUMN(NOTA[TANGGAL]))&amp;":"&amp;ADDRESS(ROW(),COLUMN(NOTA[TANGGAL]))),-1)))</f>
        <v>44937</v>
      </c>
      <c r="AH316" s="65" t="str">
        <f ca="1">IF(NOTA[[#This Row],[NAMA BARANG]]="","",INDEX(NOTA[SUPPLIER],MATCH(,INDIRECT(ADDRESS(ROW(NOTA[ID]),COLUMN(NOTA[ID]))&amp;":"&amp;ADDRESS(ROW(),COLUMN(NOTA[ID]))),-1)))</f>
        <v>GRAFINDO</v>
      </c>
      <c r="AI316" s="65" t="str">
        <f ca="1">IF(NOTA[[#This Row],[ID_H]]="","",IF(NOTA[[#This Row],[FAKTUR]]="",INDIRECT(ADDRESS(ROW()-1,COLUMN())),NOTA[[#This Row],[FAKTUR]]))</f>
        <v>UNTANA</v>
      </c>
      <c r="AJ316" s="38">
        <f ca="1">IF(NOTA[[#This Row],[ID]]="","",COUNTIF(NOTA[ID_H],NOTA[[#This Row],[ID_H]]))</f>
        <v>1</v>
      </c>
      <c r="AK316" s="38">
        <f>IF(NOTA[[#This Row],[TGL.NOTA]]="",IF(NOTA[[#This Row],[SUPPLIER_H]]="","",AK315),MONTH(NOTA[[#This Row],[TGL.NOTA]]))</f>
        <v>1</v>
      </c>
      <c r="AL316" s="38" t="str">
        <f>LOWER(SUBSTITUTE(SUBSTITUTE(SUBSTITUTE(SUBSTITUTE(SUBSTITUTE(SUBSTITUTE(SUBSTITUTE(SUBSTITUTE(SUBSTITUTE(NOTA[NAMA BARANG]," ",),".",""),"-",""),"(",""),")",""),",",""),"/",""),"""",""),"+",""))</f>
        <v>isolasifancy</v>
      </c>
      <c r="AM316" s="38" t="str">
        <f>IF(NOTA[C]="",NOTA[[#This Row],[CONCAT1]]&amp;NOTA[[#This Row],[HARGA SATUAN]],NOTA[[#This Row],[CONCAT1]]&amp;NOTA[[#This Row],[HARGA/ CTN_H]]&amp;NOTA[[#This Row],[DISC 1]]&amp;NOTA[[#This Row],[DISC 2]])</f>
        <v>isolasifancy600000</v>
      </c>
      <c r="AN316" s="184">
        <f>IF(NOTA[[#This Row],[CONCAT1]]="","",MATCH(NOTA[[#This Row],[CONCAT1]],[1]!db[NB NOTA_C],0)+1)</f>
        <v>2240</v>
      </c>
    </row>
    <row r="317" spans="1:40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Row],[CEK_EXP]]&lt;D316,"err","")</f>
        <v/>
      </c>
      <c r="D317" s="50">
        <f>IF(NOTA[[#This Row],[TANGGAL]]="",D316,NOTA[[#This Row],[TANGGAL]])</f>
        <v>44937</v>
      </c>
      <c r="E317" s="50" t="str">
        <f ca="1">IF(NOTA[[#This Row],[NAMA BARANG]]="","",INDEX(NOTA[ID],MATCH(,INDIRECT(ADDRESS(ROW(NOTA[ID]),COLUMN(NOTA[ID]))&amp;":"&amp;ADDRESS(ROW(),COLUMN(NOTA[ID]))),-1)))</f>
        <v/>
      </c>
      <c r="F317" s="23"/>
      <c r="G317" s="26"/>
      <c r="H317" s="26"/>
      <c r="I317" s="31"/>
      <c r="J317" s="26"/>
      <c r="K317" s="51"/>
      <c r="L317" s="26"/>
      <c r="M317" s="26"/>
      <c r="N317" s="39"/>
      <c r="O317" s="26"/>
      <c r="P317" s="26"/>
      <c r="Q317" s="49"/>
      <c r="R317" s="52"/>
      <c r="S317" s="39"/>
      <c r="T317" s="53"/>
      <c r="U317" s="53"/>
      <c r="V317" s="54"/>
      <c r="W317" s="37"/>
      <c r="X317" s="54" t="str">
        <f>IF(NOTA[[#This Row],[HARGA/ CTN]]="",NOTA[[#This Row],[JUMLAH_H]],NOTA[[#This Row],[HARGA/ CTN]]*IF(NOTA[[#This Row],[C]]="",0,NOTA[[#This Row],[C]]))</f>
        <v/>
      </c>
      <c r="Y317" s="54" t="str">
        <f>IF(NOTA[[#This Row],[JUMLAH]]="","",NOTA[[#This Row],[JUMLAH]]*NOTA[[#This Row],[DISC 1]])</f>
        <v/>
      </c>
      <c r="Z317" s="54" t="str">
        <f>IF(NOTA[[#This Row],[JUMLAH]]="","",(NOTA[[#This Row],[JUMLAH]]-NOTA[[#This Row],[DISC 1-]])*NOTA[[#This Row],[DISC 2]])</f>
        <v/>
      </c>
      <c r="AA317" s="54" t="str">
        <f>IF(NOTA[[#This Row],[JUMLAH]]="","",NOTA[[#This Row],[DISC 1-]]+NOTA[[#This Row],[DISC 2-]])</f>
        <v/>
      </c>
      <c r="AB317" s="54" t="str">
        <f>IF(NOTA[[#This Row],[JUMLAH]]="","",NOTA[[#This Row],[JUMLAH]]-NOTA[[#This Row],[DISC]])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54" t="str">
        <f>IF(OR(NOTA[[#This Row],[QTY]]="",NOTA[[#This Row],[HARGA SATUAN]]="",),"",NOTA[[#This Row],[QTY]]*NOTA[[#This Row],[HARGA SATUAN]])</f>
        <v/>
      </c>
      <c r="AG317" s="51" t="str">
        <f ca="1">IF(NOTA[ID_H]="","",INDEX(NOTA[TANGGAL],MATCH(,INDIRECT(ADDRESS(ROW(NOTA[TANGGAL]),COLUMN(NOTA[TANGGAL]))&amp;":"&amp;ADDRESS(ROW(),COLUMN(NOTA[TANGGAL]))),-1)))</f>
        <v/>
      </c>
      <c r="AH317" s="65" t="str">
        <f ca="1">IF(NOTA[[#This Row],[NAMA BARANG]]="","",INDEX(NOTA[SUPPLIER],MATCH(,INDIRECT(ADDRESS(ROW(NOTA[ID]),COLUMN(NOTA[ID]))&amp;":"&amp;ADDRESS(ROW(),COLUMN(NOTA[ID]))),-1)))</f>
        <v/>
      </c>
      <c r="AI317" s="65" t="str">
        <f ca="1">IF(NOTA[[#This Row],[ID_H]]="","",IF(NOTA[[#This Row],[FAKTUR]]="",INDIRECT(ADDRESS(ROW()-1,COLUMN())),NOTA[[#This Row],[FAKTUR]]))</f>
        <v/>
      </c>
      <c r="AJ317" s="38" t="str">
        <f ca="1">IF(NOTA[[#This Row],[ID]]="","",COUNTIF(NOTA[ID_H],NOTA[[#This Row],[ID_H]]))</f>
        <v/>
      </c>
      <c r="AK317" s="38" t="str">
        <f ca="1">IF(NOTA[[#This Row],[TGL.NOTA]]="",IF(NOTA[[#This Row],[SUPPLIER_H]]="","",AK316),MONTH(NOTA[[#This Row],[TGL.NOTA]]))</f>
        <v/>
      </c>
      <c r="AL317" s="38" t="str">
        <f>LOWER(SUBSTITUTE(SUBSTITUTE(SUBSTITUTE(SUBSTITUTE(SUBSTITUTE(SUBSTITUTE(SUBSTITUTE(SUBSTITUTE(SUBSTITUTE(NOTA[NAMA BARANG]," ",),".",""),"-",""),"(",""),")",""),",",""),"/",""),"""",""),"+",""))</f>
        <v/>
      </c>
      <c r="AM317" s="38" t="str">
        <f>IF(NOTA[C]="",NOTA[[#This Row],[CONCAT1]]&amp;NOTA[[#This Row],[HARGA SATUAN]],NOTA[[#This Row],[CONCAT1]]&amp;NOTA[[#This Row],[HARGA/ CTN_H]]&amp;NOTA[[#This Row],[DISC 1]]&amp;NOTA[[#This Row],[DISC 2]])</f>
        <v/>
      </c>
      <c r="AN317" s="184" t="str">
        <f>IF(NOTA[[#This Row],[CONCAT1]]="","",MATCH(NOTA[[#This Row],[CONCAT1]],[1]!db[NB NOTA_C],0)+1)</f>
        <v/>
      </c>
    </row>
    <row r="318" spans="1:40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SBS_1101_-2</v>
      </c>
      <c r="C318" s="50" t="str">
        <f>IF(NOTA[[#This Row],[CEK_EXP]]&lt;D317,"err","")</f>
        <v/>
      </c>
      <c r="D318" s="50">
        <f>IF(NOTA[[#This Row],[TANGGAL]]="",D317,NOTA[[#This Row],[TANGGAL]])</f>
        <v>44937</v>
      </c>
      <c r="E318" s="50">
        <f ca="1">IF(NOTA[[#This Row],[NAMA BARANG]]="","",INDEX(NOTA[ID],MATCH(,INDIRECT(ADDRESS(ROW(NOTA[ID]),COLUMN(NOTA[ID]))&amp;":"&amp;ADDRESS(ROW(),COLUMN(NOTA[ID]))),-1)))</f>
        <v>63</v>
      </c>
      <c r="F318" s="23"/>
      <c r="G318" s="26" t="s">
        <v>101</v>
      </c>
      <c r="H318" s="26" t="s">
        <v>87</v>
      </c>
      <c r="I318" s="31"/>
      <c r="J318" s="26" t="s">
        <v>472</v>
      </c>
      <c r="K318" s="51">
        <v>44935</v>
      </c>
      <c r="L318" s="26"/>
      <c r="M318" s="26" t="s">
        <v>980</v>
      </c>
      <c r="N318" s="39">
        <v>5</v>
      </c>
      <c r="O318" s="26"/>
      <c r="P318" s="26"/>
      <c r="Q318" s="49"/>
      <c r="R318" s="52"/>
      <c r="S318" s="39"/>
      <c r="T318" s="53"/>
      <c r="U318" s="53"/>
      <c r="V318" s="54"/>
      <c r="W318" s="37" t="s">
        <v>88</v>
      </c>
      <c r="X318" s="54" t="str">
        <f>IF(NOTA[[#This Row],[HARGA/ CTN]]="",NOTA[[#This Row],[JUMLAH_H]],NOTA[[#This Row],[HARGA/ CTN]]*IF(NOTA[[#This Row],[C]]="",0,NOTA[[#This Row],[C]]))</f>
        <v/>
      </c>
      <c r="Y318" s="54" t="str">
        <f>IF(NOTA[[#This Row],[JUMLAH]]="","",NOTA[[#This Row],[JUMLAH]]*NOTA[[#This Row],[DISC 1]])</f>
        <v/>
      </c>
      <c r="Z318" s="54" t="str">
        <f>IF(NOTA[[#This Row],[JUMLAH]]="","",(NOTA[[#This Row],[JUMLAH]]-NOTA[[#This Row],[DISC 1-]])*NOTA[[#This Row],[DISC 2]])</f>
        <v/>
      </c>
      <c r="AA318" s="54" t="str">
        <f>IF(NOTA[[#This Row],[JUMLAH]]="","",NOTA[[#This Row],[DISC 1-]]+NOTA[[#This Row],[DISC 2-]])</f>
        <v/>
      </c>
      <c r="AB318" s="54" t="str">
        <f>IF(NOTA[[#This Row],[JUMLAH]]="","",NOTA[[#This Row],[JUMLAH]]-NOTA[[#This Row],[DISC]])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8" s="54" t="str">
        <f>IF(OR(NOTA[[#This Row],[QTY]]="",NOTA[[#This Row],[HARGA SATUAN]]="",),"",NOTA[[#This Row],[QTY]]*NOTA[[#This Row],[HARGA SATUAN]])</f>
        <v/>
      </c>
      <c r="AG318" s="51">
        <f ca="1">IF(NOTA[ID_H]="","",INDEX(NOTA[TANGGAL],MATCH(,INDIRECT(ADDRESS(ROW(NOTA[TANGGAL]),COLUMN(NOTA[TANGGAL]))&amp;":"&amp;ADDRESS(ROW(),COLUMN(NOTA[TANGGAL]))),-1)))</f>
        <v>44937</v>
      </c>
      <c r="AH318" s="65" t="str">
        <f ca="1">IF(NOTA[[#This Row],[NAMA BARANG]]="","",INDEX(NOTA[SUPPLIER],MATCH(,INDIRECT(ADDRESS(ROW(NOTA[ID]),COLUMN(NOTA[ID]))&amp;":"&amp;ADDRESS(ROW(),COLUMN(NOTA[ID]))),-1)))</f>
        <v>SBS</v>
      </c>
      <c r="AI318" s="65" t="str">
        <f ca="1">IF(NOTA[[#This Row],[ID_H]]="","",IF(NOTA[[#This Row],[FAKTUR]]="",INDIRECT(ADDRESS(ROW()-1,COLUMN())),NOTA[[#This Row],[FAKTUR]]))</f>
        <v>UNTANA</v>
      </c>
      <c r="AJ318" s="38">
        <f ca="1">IF(NOTA[[#This Row],[ID]]="","",COUNTIF(NOTA[ID_H],NOTA[[#This Row],[ID_H]]))</f>
        <v>2</v>
      </c>
      <c r="AK318" s="38">
        <f>IF(NOTA[[#This Row],[TGL.NOTA]]="",IF(NOTA[[#This Row],[SUPPLIER_H]]="","",AK317),MONTH(NOTA[[#This Row],[TGL.NOTA]]))</f>
        <v>1</v>
      </c>
      <c r="AL318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318" s="38" t="str">
        <f>IF(NOTA[C]="",NOTA[[#This Row],[CONCAT1]]&amp;NOTA[[#This Row],[HARGA SATUAN]],NOTA[[#This Row],[CONCAT1]]&amp;NOTA[[#This Row],[HARGA/ CTN_H]]&amp;NOTA[[#This Row],[DISC 1]]&amp;NOTA[[#This Row],[DISC 2]])</f>
        <v>paletgambarbiolaapelwarnawap2020</v>
      </c>
      <c r="AN318" s="184">
        <f>IF(NOTA[[#This Row],[CONCAT1]]="","",MATCH(NOTA[[#This Row],[CONCAT1]],[1]!db[NB NOTA_C],0)+1)</f>
        <v>1617</v>
      </c>
    </row>
    <row r="319" spans="1:40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Row],[CEK_EXP]]&lt;D318,"err","")</f>
        <v/>
      </c>
      <c r="D319" s="50">
        <f>IF(NOTA[[#This Row],[TANGGAL]]="",D318,NOTA[[#This Row],[TANGGAL]])</f>
        <v>44937</v>
      </c>
      <c r="E319" s="50">
        <f ca="1">IF(NOTA[[#This Row],[NAMA BARANG]]="","",INDEX(NOTA[ID],MATCH(,INDIRECT(ADDRESS(ROW(NOTA[ID]),COLUMN(NOTA[ID]))&amp;":"&amp;ADDRESS(ROW(),COLUMN(NOTA[ID]))),-1)))</f>
        <v>63</v>
      </c>
      <c r="F319" s="23"/>
      <c r="G319" s="26"/>
      <c r="H319" s="26"/>
      <c r="I319" s="31"/>
      <c r="J319" s="26"/>
      <c r="K319" s="51"/>
      <c r="L319" s="26"/>
      <c r="M319" s="26" t="s">
        <v>981</v>
      </c>
      <c r="N319" s="39">
        <v>5</v>
      </c>
      <c r="O319" s="26"/>
      <c r="P319" s="26"/>
      <c r="Q319" s="49"/>
      <c r="R319" s="52"/>
      <c r="S319" s="39"/>
      <c r="T319" s="53"/>
      <c r="U319" s="53"/>
      <c r="V319" s="54"/>
      <c r="W319" s="37" t="s">
        <v>88</v>
      </c>
      <c r="X319" s="54" t="str">
        <f>IF(NOTA[[#This Row],[HARGA/ CTN]]="",NOTA[[#This Row],[JUMLAH_H]],NOTA[[#This Row],[HARGA/ CTN]]*IF(NOTA[[#This Row],[C]]="",0,NOTA[[#This Row],[C]]))</f>
        <v/>
      </c>
      <c r="Y319" s="54" t="str">
        <f>IF(NOTA[[#This Row],[JUMLAH]]="","",NOTA[[#This Row],[JUMLAH]]*NOTA[[#This Row],[DISC 1]])</f>
        <v/>
      </c>
      <c r="Z319" s="54" t="str">
        <f>IF(NOTA[[#This Row],[JUMLAH]]="","",(NOTA[[#This Row],[JUMLAH]]-NOTA[[#This Row],[DISC 1-]])*NOTA[[#This Row],[DISC 2]])</f>
        <v/>
      </c>
      <c r="AA319" s="54" t="str">
        <f>IF(NOTA[[#This Row],[JUMLAH]]="","",NOTA[[#This Row],[DISC 1-]]+NOTA[[#This Row],[DISC 2-]])</f>
        <v/>
      </c>
      <c r="AB319" s="54" t="str">
        <f>IF(NOTA[[#This Row],[JUMLAH]]="","",NOTA[[#This Row],[JUMLAH]]-NOTA[[#This Row],[DISC]])</f>
        <v/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9" s="54" t="str">
        <f>IF(OR(NOTA[[#This Row],[QTY]]="",NOTA[[#This Row],[HARGA SATUAN]]="",),"",NOTA[[#This Row],[QTY]]*NOTA[[#This Row],[HARGA SATUAN]])</f>
        <v/>
      </c>
      <c r="AG319" s="51">
        <f ca="1">IF(NOTA[ID_H]="","",INDEX(NOTA[TANGGAL],MATCH(,INDIRECT(ADDRESS(ROW(NOTA[TANGGAL]),COLUMN(NOTA[TANGGAL]))&amp;":"&amp;ADDRESS(ROW(),COLUMN(NOTA[TANGGAL]))),-1)))</f>
        <v>44937</v>
      </c>
      <c r="AH319" s="65" t="str">
        <f ca="1">IF(NOTA[[#This Row],[NAMA BARANG]]="","",INDEX(NOTA[SUPPLIER],MATCH(,INDIRECT(ADDRESS(ROW(NOTA[ID]),COLUMN(NOTA[ID]))&amp;":"&amp;ADDRESS(ROW(),COLUMN(NOTA[ID]))),-1)))</f>
        <v>SBS</v>
      </c>
      <c r="AI319" s="65" t="str">
        <f ca="1">IF(NOTA[[#This Row],[ID_H]]="","",IF(NOTA[[#This Row],[FAKTUR]]="",INDIRECT(ADDRESS(ROW()-1,COLUMN())),NOTA[[#This Row],[FAKTUR]]))</f>
        <v>UNTANA</v>
      </c>
      <c r="AJ319" s="38" t="str">
        <f ca="1">IF(NOTA[[#This Row],[ID]]="","",COUNTIF(NOTA[ID_H],NOTA[[#This Row],[ID_H]]))</f>
        <v/>
      </c>
      <c r="AK319" s="38">
        <f ca="1">IF(NOTA[[#This Row],[TGL.NOTA]]="",IF(NOTA[[#This Row],[SUPPLIER_H]]="","",AK318),MONTH(NOTA[[#This Row],[TGL.NOTA]]))</f>
        <v>1</v>
      </c>
      <c r="AL31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319" s="38" t="str">
        <f>IF(NOTA[C]="",NOTA[[#This Row],[CONCAT1]]&amp;NOTA[[#This Row],[HARGA SATUAN]],NOTA[[#This Row],[CONCAT1]]&amp;NOTA[[#This Row],[HARGA/ CTN_H]]&amp;NOTA[[#This Row],[DISC 1]]&amp;NOTA[[#This Row],[DISC 2]])</f>
        <v>paletgambarbiolaanggurwarnawag2010</v>
      </c>
      <c r="AN319" s="184">
        <f>IF(NOTA[[#This Row],[CONCAT1]]="","",MATCH(NOTA[[#This Row],[CONCAT1]],[1]!db[NB NOTA_C],0)+1)</f>
        <v>1616</v>
      </c>
    </row>
    <row r="320" spans="1:40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Row],[CEK_EXP]]&lt;D319,"err","")</f>
        <v/>
      </c>
      <c r="D320" s="50">
        <f>IF(NOTA[[#This Row],[TANGGAL]]="",D319,NOTA[[#This Row],[TANGGAL]])</f>
        <v>44937</v>
      </c>
      <c r="E320" s="50" t="str">
        <f ca="1">IF(NOTA[[#This Row],[NAMA BARANG]]="","",INDEX(NOTA[ID],MATCH(,INDIRECT(ADDRESS(ROW(NOTA[ID]),COLUMN(NOTA[ID]))&amp;":"&amp;ADDRESS(ROW(),COLUMN(NOTA[ID]))),-1)))</f>
        <v/>
      </c>
      <c r="F320" s="23"/>
      <c r="G320" s="26"/>
      <c r="H320" s="26"/>
      <c r="I320" s="31"/>
      <c r="J320" s="26"/>
      <c r="K320" s="51"/>
      <c r="L320" s="26"/>
      <c r="M320" s="26"/>
      <c r="N320" s="39"/>
      <c r="O320" s="26"/>
      <c r="P320" s="26"/>
      <c r="Q320" s="49"/>
      <c r="R320" s="52"/>
      <c r="S320" s="39"/>
      <c r="T320" s="53"/>
      <c r="U320" s="53"/>
      <c r="V320" s="54"/>
      <c r="W320" s="37"/>
      <c r="X320" s="54" t="str">
        <f>IF(NOTA[[#This Row],[HARGA/ CTN]]="",NOTA[[#This Row],[JUMLAH_H]],NOTA[[#This Row],[HARGA/ CTN]]*IF(NOTA[[#This Row],[C]]="",0,NOTA[[#This Row],[C]]))</f>
        <v/>
      </c>
      <c r="Y320" s="54" t="str">
        <f>IF(NOTA[[#This Row],[JUMLAH]]="","",NOTA[[#This Row],[JUMLAH]]*NOTA[[#This Row],[DISC 1]])</f>
        <v/>
      </c>
      <c r="Z320" s="54" t="str">
        <f>IF(NOTA[[#This Row],[JUMLAH]]="","",(NOTA[[#This Row],[JUMLAH]]-NOTA[[#This Row],[DISC 1-]])*NOTA[[#This Row],[DISC 2]])</f>
        <v/>
      </c>
      <c r="AA320" s="54" t="str">
        <f>IF(NOTA[[#This Row],[JUMLAH]]="","",NOTA[[#This Row],[DISC 1-]]+NOTA[[#This Row],[DISC 2-]])</f>
        <v/>
      </c>
      <c r="AB320" s="54" t="str">
        <f>IF(NOTA[[#This Row],[JUMLAH]]="","",NOTA[[#This Row],[JUMLAH]]-NOTA[[#This Row],[DISC]])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4" t="str">
        <f>IF(OR(NOTA[[#This Row],[QTY]]="",NOTA[[#This Row],[HARGA SATUAN]]="",),"",NOTA[[#This Row],[QTY]]*NOTA[[#This Row],[HARGA SATUAN]])</f>
        <v/>
      </c>
      <c r="AG320" s="51" t="str">
        <f ca="1">IF(NOTA[ID_H]="","",INDEX(NOTA[TANGGAL],MATCH(,INDIRECT(ADDRESS(ROW(NOTA[TANGGAL]),COLUMN(NOTA[TANGGAL]))&amp;":"&amp;ADDRESS(ROW(),COLUMN(NOTA[TANGGAL]))),-1)))</f>
        <v/>
      </c>
      <c r="AH320" s="65" t="str">
        <f ca="1">IF(NOTA[[#This Row],[NAMA BARANG]]="","",INDEX(NOTA[SUPPLIER],MATCH(,INDIRECT(ADDRESS(ROW(NOTA[ID]),COLUMN(NOTA[ID]))&amp;":"&amp;ADDRESS(ROW(),COLUMN(NOTA[ID]))),-1)))</f>
        <v/>
      </c>
      <c r="AI320" s="65" t="str">
        <f ca="1">IF(NOTA[[#This Row],[ID_H]]="","",IF(NOTA[[#This Row],[FAKTUR]]="",INDIRECT(ADDRESS(ROW()-1,COLUMN())),NOTA[[#This Row],[FAKTUR]]))</f>
        <v/>
      </c>
      <c r="AJ320" s="38" t="str">
        <f ca="1">IF(NOTA[[#This Row],[ID]]="","",COUNTIF(NOTA[ID_H],NOTA[[#This Row],[ID_H]]))</f>
        <v/>
      </c>
      <c r="AK320" s="38" t="str">
        <f ca="1">IF(NOTA[[#This Row],[TGL.NOTA]]="",IF(NOTA[[#This Row],[SUPPLIER_H]]="","",AK319),MONTH(NOTA[[#This Row],[TGL.NOTA]]))</f>
        <v/>
      </c>
      <c r="AL320" s="38" t="str">
        <f>LOWER(SUBSTITUTE(SUBSTITUTE(SUBSTITUTE(SUBSTITUTE(SUBSTITUTE(SUBSTITUTE(SUBSTITUTE(SUBSTITUTE(SUBSTITUTE(NOTA[NAMA BARANG]," ",),".",""),"-",""),"(",""),")",""),",",""),"/",""),"""",""),"+",""))</f>
        <v/>
      </c>
      <c r="AM320" s="38" t="str">
        <f>IF(NOTA[C]="",NOTA[[#This Row],[CONCAT1]]&amp;NOTA[[#This Row],[HARGA SATUAN]],NOTA[[#This Row],[CONCAT1]]&amp;NOTA[[#This Row],[HARGA/ CTN_H]]&amp;NOTA[[#This Row],[DISC 1]]&amp;NOTA[[#This Row],[DISC 2]])</f>
        <v/>
      </c>
      <c r="AN320" s="184" t="str">
        <f>IF(NOTA[[#This Row],[CONCAT1]]="","",MATCH(NOTA[[#This Row],[CONCAT1]],[1]!db[NB NOTA_C],0)+1)</f>
        <v/>
      </c>
    </row>
    <row r="321" spans="1:40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SIN_1201_EDY-1</v>
      </c>
      <c r="C321" s="50" t="str">
        <f>IF(NOTA[[#This Row],[CEK_EXP]]&lt;D320,"err","")</f>
        <v/>
      </c>
      <c r="D321" s="50">
        <f>IF(NOTA[[#This Row],[TANGGAL]]="",D320,NOTA[[#This Row],[TANGGAL]])</f>
        <v>44938</v>
      </c>
      <c r="E321" s="50">
        <f ca="1">IF(NOTA[[#This Row],[NAMA BARANG]]="","",INDEX(NOTA[ID],MATCH(,INDIRECT(ADDRESS(ROW(NOTA[ID]),COLUMN(NOTA[ID]))&amp;":"&amp;ADDRESS(ROW(),COLUMN(NOTA[ID]))),-1)))</f>
        <v>64</v>
      </c>
      <c r="F321" s="23">
        <v>44938</v>
      </c>
      <c r="G321" s="26" t="s">
        <v>473</v>
      </c>
      <c r="H321" s="26" t="s">
        <v>87</v>
      </c>
      <c r="I321" s="31" t="s">
        <v>474</v>
      </c>
      <c r="J321" s="26"/>
      <c r="K321" s="51">
        <v>44932</v>
      </c>
      <c r="L321" s="51"/>
      <c r="M321" s="26" t="s">
        <v>475</v>
      </c>
      <c r="N321" s="39">
        <v>20</v>
      </c>
      <c r="O321" s="26">
        <v>1920</v>
      </c>
      <c r="P321" s="26" t="s">
        <v>104</v>
      </c>
      <c r="Q321" s="49">
        <v>18500</v>
      </c>
      <c r="R321" s="52"/>
      <c r="S321" s="39"/>
      <c r="T321" s="53"/>
      <c r="U321" s="53"/>
      <c r="V321" s="54"/>
      <c r="W321" s="37" t="s">
        <v>476</v>
      </c>
      <c r="X321" s="54">
        <f>IF(NOTA[[#This Row],[HARGA/ CTN]]="",NOTA[[#This Row],[JUMLAH_H]],NOTA[[#This Row],[HARGA/ CTN]]*IF(NOTA[[#This Row],[C]]="",0,NOTA[[#This Row],[C]]))</f>
        <v>35520000</v>
      </c>
      <c r="Y321" s="54">
        <f>IF(NOTA[[#This Row],[JUMLAH]]="","",NOTA[[#This Row],[JUMLAH]]*NOTA[[#This Row],[DISC 1]])</f>
        <v>0</v>
      </c>
      <c r="Z321" s="54">
        <f>IF(NOTA[[#This Row],[JUMLAH]]="","",(NOTA[[#This Row],[JUMLAH]]-NOTA[[#This Row],[DISC 1-]])*NOTA[[#This Row],[DISC 2]])</f>
        <v>0</v>
      </c>
      <c r="AA321" s="54">
        <f>IF(NOTA[[#This Row],[JUMLAH]]="","",NOTA[[#This Row],[DISC 1-]]+NOTA[[#This Row],[DISC 2-]])</f>
        <v>0</v>
      </c>
      <c r="AB321" s="54">
        <f>IF(NOTA[[#This Row],[JUMLAH]]="","",NOTA[[#This Row],[JUMLAH]]-NOTA[[#This Row],[DISC]])</f>
        <v>35520000</v>
      </c>
      <c r="AC3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35520000</v>
      </c>
      <c r="AE321" s="4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21" s="54">
        <f>IF(OR(NOTA[[#This Row],[QTY]]="",NOTA[[#This Row],[HARGA SATUAN]]="",),"",NOTA[[#This Row],[QTY]]*NOTA[[#This Row],[HARGA SATUAN]])</f>
        <v>35520000</v>
      </c>
      <c r="AG321" s="51">
        <f ca="1">IF(NOTA[ID_H]="","",INDEX(NOTA[TANGGAL],MATCH(,INDIRECT(ADDRESS(ROW(NOTA[TANGGAL]),COLUMN(NOTA[TANGGAL]))&amp;":"&amp;ADDRESS(ROW(),COLUMN(NOTA[TANGGAL]))),-1)))</f>
        <v>44938</v>
      </c>
      <c r="AH321" s="65" t="str">
        <f ca="1">IF(NOTA[[#This Row],[NAMA BARANG]]="","",INDEX(NOTA[SUPPLIER],MATCH(,INDIRECT(ADDRESS(ROW(NOTA[ID]),COLUMN(NOTA[ID]))&amp;":"&amp;ADDRESS(ROW(),COLUMN(NOTA[ID]))),-1)))</f>
        <v>SINAR MAS</v>
      </c>
      <c r="AI321" s="65" t="str">
        <f ca="1">IF(NOTA[[#This Row],[ID_H]]="","",IF(NOTA[[#This Row],[FAKTUR]]="",INDIRECT(ADDRESS(ROW()-1,COLUMN())),NOTA[[#This Row],[FAKTUR]]))</f>
        <v>UNTANA</v>
      </c>
      <c r="AJ321" s="38">
        <f ca="1">IF(NOTA[[#This Row],[ID]]="","",COUNTIF(NOTA[ID_H],NOTA[[#This Row],[ID_H]]))</f>
        <v>1</v>
      </c>
      <c r="AK321" s="38">
        <f>IF(NOTA[[#This Row],[TGL.NOTA]]="",IF(NOTA[[#This Row],[SUPPLIER_H]]="","",AK320),MONTH(NOTA[[#This Row],[TGL.NOTA]]))</f>
        <v>1</v>
      </c>
      <c r="AL321" s="38" t="str">
        <f>LOWER(SUBSTITUTE(SUBSTITUTE(SUBSTITUTE(SUBSTITUTE(SUBSTITUTE(SUBSTITUTE(SUBSTITUTE(SUBSTITUTE(SUBSTITUTE(NOTA[NAMA BARANG]," ",),".",""),"-",""),"(",""),")",""),",",""),"/",""),"""",""),"+",""))</f>
        <v>pckode3ss3da2020d</v>
      </c>
      <c r="AM321" s="38" t="str">
        <f>IF(NOTA[C]="",NOTA[[#This Row],[CONCAT1]]&amp;NOTA[[#This Row],[HARGA SATUAN]],NOTA[[#This Row],[CONCAT1]]&amp;NOTA[[#This Row],[HARGA/ CTN_H]]&amp;NOTA[[#This Row],[DISC 1]]&amp;NOTA[[#This Row],[DISC 2]])</f>
        <v>pckode3ss3da2020d1776000</v>
      </c>
      <c r="AN321" s="184">
        <f>IF(NOTA[[#This Row],[CONCAT1]]="","",MATCH(NOTA[[#This Row],[CONCAT1]],[1]!db[NB NOTA_C],0)+1)</f>
        <v>2239</v>
      </c>
    </row>
    <row r="322" spans="1:40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Row],[CEK_EXP]]&lt;D321,"err","")</f>
        <v/>
      </c>
      <c r="D322" s="50">
        <f>IF(NOTA[[#This Row],[TANGGAL]]="",D321,NOTA[[#This Row],[TANGGAL]])</f>
        <v>44938</v>
      </c>
      <c r="E322" s="50" t="str">
        <f ca="1">IF(NOTA[[#This Row],[NAMA BARANG]]="","",INDEX(NOTA[ID],MATCH(,INDIRECT(ADDRESS(ROW(NOTA[ID]),COLUMN(NOTA[ID]))&amp;":"&amp;ADDRESS(ROW(),COLUMN(NOTA[ID]))),-1)))</f>
        <v/>
      </c>
      <c r="F322" s="23"/>
      <c r="G322" s="26"/>
      <c r="H322" s="26"/>
      <c r="I322" s="31"/>
      <c r="J322" s="26"/>
      <c r="K322" s="51"/>
      <c r="L322" s="26"/>
      <c r="M322" s="26"/>
      <c r="N322" s="39"/>
      <c r="O322" s="26"/>
      <c r="P322" s="26"/>
      <c r="Q322" s="49"/>
      <c r="R322" s="52"/>
      <c r="S322" s="39"/>
      <c r="T322" s="53"/>
      <c r="U322" s="53"/>
      <c r="V322" s="54"/>
      <c r="W322" s="37"/>
      <c r="X322" s="54" t="str">
        <f>IF(NOTA[[#This Row],[HARGA/ CTN]]="",NOTA[[#This Row],[JUMLAH_H]],NOTA[[#This Row],[HARGA/ CTN]]*IF(NOTA[[#This Row],[C]]="",0,NOTA[[#This Row],[C]]))</f>
        <v/>
      </c>
      <c r="Y322" s="54" t="str">
        <f>IF(NOTA[[#This Row],[JUMLAH]]="","",NOTA[[#This Row],[JUMLAH]]*NOTA[[#This Row],[DISC 1]])</f>
        <v/>
      </c>
      <c r="Z322" s="54" t="str">
        <f>IF(NOTA[[#This Row],[JUMLAH]]="","",(NOTA[[#This Row],[JUMLAH]]-NOTA[[#This Row],[DISC 1-]])*NOTA[[#This Row],[DISC 2]])</f>
        <v/>
      </c>
      <c r="AA322" s="54" t="str">
        <f>IF(NOTA[[#This Row],[JUMLAH]]="","",NOTA[[#This Row],[DISC 1-]]+NOTA[[#This Row],[DISC 2-]])</f>
        <v/>
      </c>
      <c r="AB322" s="54" t="str">
        <f>IF(NOTA[[#This Row],[JUMLAH]]="","",NOTA[[#This Row],[JUMLAH]]-NOTA[[#This Row],[DISC]])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54" t="str">
        <f>IF(OR(NOTA[[#This Row],[QTY]]="",NOTA[[#This Row],[HARGA SATUAN]]="",),"",NOTA[[#This Row],[QTY]]*NOTA[[#This Row],[HARGA SATUAN]])</f>
        <v/>
      </c>
      <c r="AG322" s="51" t="str">
        <f ca="1">IF(NOTA[ID_H]="","",INDEX(NOTA[TANGGAL],MATCH(,INDIRECT(ADDRESS(ROW(NOTA[TANGGAL]),COLUMN(NOTA[TANGGAL]))&amp;":"&amp;ADDRESS(ROW(),COLUMN(NOTA[TANGGAL]))),-1)))</f>
        <v/>
      </c>
      <c r="AH322" s="65" t="str">
        <f ca="1">IF(NOTA[[#This Row],[NAMA BARANG]]="","",INDEX(NOTA[SUPPLIER],MATCH(,INDIRECT(ADDRESS(ROW(NOTA[ID]),COLUMN(NOTA[ID]))&amp;":"&amp;ADDRESS(ROW(),COLUMN(NOTA[ID]))),-1)))</f>
        <v/>
      </c>
      <c r="AI322" s="65" t="str">
        <f ca="1">IF(NOTA[[#This Row],[ID_H]]="","",IF(NOTA[[#This Row],[FAKTUR]]="",INDIRECT(ADDRESS(ROW()-1,COLUMN())),NOTA[[#This Row],[FAKTUR]]))</f>
        <v/>
      </c>
      <c r="AJ322" s="38" t="str">
        <f ca="1">IF(NOTA[[#This Row],[ID]]="","",COUNTIF(NOTA[ID_H],NOTA[[#This Row],[ID_H]]))</f>
        <v/>
      </c>
      <c r="AK322" s="38" t="str">
        <f ca="1">IF(NOTA[[#This Row],[TGL.NOTA]]="",IF(NOTA[[#This Row],[SUPPLIER_H]]="","",AK321),MONTH(NOTA[[#This Row],[TGL.NOTA]]))</f>
        <v/>
      </c>
      <c r="AL322" s="38" t="str">
        <f>LOWER(SUBSTITUTE(SUBSTITUTE(SUBSTITUTE(SUBSTITUTE(SUBSTITUTE(SUBSTITUTE(SUBSTITUTE(SUBSTITUTE(SUBSTITUTE(NOTA[NAMA BARANG]," ",),".",""),"-",""),"(",""),")",""),",",""),"/",""),"""",""),"+",""))</f>
        <v/>
      </c>
      <c r="AM322" s="38" t="str">
        <f>IF(NOTA[C]="",NOTA[[#This Row],[CONCAT1]]&amp;NOTA[[#This Row],[HARGA SATUAN]],NOTA[[#This Row],[CONCAT1]]&amp;NOTA[[#This Row],[HARGA/ CTN_H]]&amp;NOTA[[#This Row],[DISC 1]]&amp;NOTA[[#This Row],[DISC 2]])</f>
        <v/>
      </c>
      <c r="AN322" s="184" t="str">
        <f>IF(NOTA[[#This Row],[CONCAT1]]="","",MATCH(NOTA[[#This Row],[CONCAT1]],[1]!db[NB NOTA_C],0)+1)</f>
        <v/>
      </c>
    </row>
    <row r="323" spans="1:40" ht="20.100000000000001" customHeight="1" x14ac:dyDescent="0.25">
      <c r="A323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ATA_1201_431-11</v>
      </c>
      <c r="C323" s="50" t="str">
        <f>IF(NOTA[[#This Row],[CEK_EXP]]&lt;D322,"err","")</f>
        <v/>
      </c>
      <c r="D323" s="50">
        <f>IF(NOTA[[#This Row],[TANGGAL]]="",D322,NOTA[[#This Row],[TANGGAL]])</f>
        <v>44938</v>
      </c>
      <c r="E323" s="50">
        <f ca="1">IF(NOTA[[#This Row],[NAMA BARANG]]="","",INDEX(NOTA[ID],MATCH(,INDIRECT(ADDRESS(ROW(NOTA[ID]),COLUMN(NOTA[ID]))&amp;":"&amp;ADDRESS(ROW(),COLUMN(NOTA[ID]))),-1)))</f>
        <v>65</v>
      </c>
      <c r="F323" s="23"/>
      <c r="G323" s="26" t="s">
        <v>25</v>
      </c>
      <c r="H323" s="26" t="s">
        <v>24</v>
      </c>
      <c r="I323" s="31" t="s">
        <v>477</v>
      </c>
      <c r="J323" s="26"/>
      <c r="K323" s="51">
        <v>44933</v>
      </c>
      <c r="L323" s="26"/>
      <c r="M323" s="26" t="s">
        <v>428</v>
      </c>
      <c r="N323" s="39">
        <v>10</v>
      </c>
      <c r="O323" s="26">
        <v>300</v>
      </c>
      <c r="P323" s="26" t="s">
        <v>274</v>
      </c>
      <c r="Q323" s="49">
        <v>104400</v>
      </c>
      <c r="R323" s="52"/>
      <c r="S323" s="39" t="s">
        <v>370</v>
      </c>
      <c r="T323" s="53">
        <v>0.125</v>
      </c>
      <c r="U323" s="53">
        <v>0.05</v>
      </c>
      <c r="V323" s="54"/>
      <c r="W323" s="37"/>
      <c r="X323" s="54">
        <f>IF(NOTA[[#This Row],[HARGA/ CTN]]="",NOTA[[#This Row],[JUMLAH_H]],NOTA[[#This Row],[HARGA/ CTN]]*IF(NOTA[[#This Row],[C]]="",0,NOTA[[#This Row],[C]]))</f>
        <v>31320000</v>
      </c>
      <c r="Y323" s="54">
        <f>IF(NOTA[[#This Row],[JUMLAH]]="","",NOTA[[#This Row],[JUMLAH]]*NOTA[[#This Row],[DISC 1]])</f>
        <v>3915000</v>
      </c>
      <c r="Z323" s="54">
        <f>IF(NOTA[[#This Row],[JUMLAH]]="","",(NOTA[[#This Row],[JUMLAH]]-NOTA[[#This Row],[DISC 1-]])*NOTA[[#This Row],[DISC 2]])</f>
        <v>1370250</v>
      </c>
      <c r="AA323" s="54">
        <f>IF(NOTA[[#This Row],[JUMLAH]]="","",NOTA[[#This Row],[DISC 1-]]+NOTA[[#This Row],[DISC 2-]])</f>
        <v>5285250</v>
      </c>
      <c r="AB323" s="54">
        <f>IF(NOTA[[#This Row],[JUMLAH]]="","",NOTA[[#This Row],[JUMLAH]]-NOTA[[#This Row],[DISC]])</f>
        <v>26034750</v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23" s="54">
        <f>IF(OR(NOTA[[#This Row],[QTY]]="",NOTA[[#This Row],[HARGA SATUAN]]="",),"",NOTA[[#This Row],[QTY]]*NOTA[[#This Row],[HARGA SATUAN]])</f>
        <v>31320000</v>
      </c>
      <c r="AG323" s="51">
        <f ca="1">IF(NOTA[ID_H]="","",INDEX(NOTA[TANGGAL],MATCH(,INDIRECT(ADDRESS(ROW(NOTA[TANGGAL]),COLUMN(NOTA[TANGGAL]))&amp;":"&amp;ADDRESS(ROW(),COLUMN(NOTA[TANGGAL]))),-1)))</f>
        <v>44938</v>
      </c>
      <c r="AH323" s="65" t="str">
        <f ca="1">IF(NOTA[[#This Row],[NAMA BARANG]]="","",INDEX(NOTA[SUPPLIER],MATCH(,INDIRECT(ADDRESS(ROW(NOTA[ID]),COLUMN(NOTA[ID]))&amp;":"&amp;ADDRESS(ROW(),COLUMN(NOTA[ID]))),-1)))</f>
        <v>ATALI MAKMUR</v>
      </c>
      <c r="AI323" s="65" t="str">
        <f ca="1">IF(NOTA[[#This Row],[ID_H]]="","",IF(NOTA[[#This Row],[FAKTUR]]="",INDIRECT(ADDRESS(ROW()-1,COLUMN())),NOTA[[#This Row],[FAKTUR]]))</f>
        <v>ARTO MORO</v>
      </c>
      <c r="AJ323" s="38">
        <f ca="1">IF(NOTA[[#This Row],[ID]]="","",COUNTIF(NOTA[ID_H],NOTA[[#This Row],[ID_H]]))</f>
        <v>11</v>
      </c>
      <c r="AK323" s="38">
        <f>IF(NOTA[[#This Row],[TGL.NOTA]]="",IF(NOTA[[#This Row],[SUPPLIER_H]]="","",AK322),MONTH(NOTA[[#This Row],[TGL.NOTA]]))</f>
        <v>1</v>
      </c>
      <c r="AL32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323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N323" s="184">
        <f>IF(NOTA[[#This Row],[CONCAT1]]="","",MATCH(NOTA[[#This Row],[CONCAT1]],[1]!db[NB NOTA_C],0)+1)</f>
        <v>1765</v>
      </c>
    </row>
    <row r="324" spans="1:40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Row],[CEK_EXP]]&lt;D323,"err","")</f>
        <v/>
      </c>
      <c r="D324" s="50">
        <f>IF(NOTA[[#This Row],[TANGGAL]]="",D323,NOTA[[#This Row],[TANGGAL]])</f>
        <v>44938</v>
      </c>
      <c r="E324" s="50">
        <f ca="1">IF(NOTA[[#This Row],[NAMA BARANG]]="","",INDEX(NOTA[ID],MATCH(,INDIRECT(ADDRESS(ROW(NOTA[ID]),COLUMN(NOTA[ID]))&amp;":"&amp;ADDRESS(ROW(),COLUMN(NOTA[ID]))),-1)))</f>
        <v>65</v>
      </c>
      <c r="F324" s="23"/>
      <c r="G324" s="26"/>
      <c r="H324" s="38"/>
      <c r="I324" s="26"/>
      <c r="J324" s="26"/>
      <c r="K324" s="51"/>
      <c r="L324" s="26"/>
      <c r="M324" s="26" t="s">
        <v>478</v>
      </c>
      <c r="N324" s="39">
        <v>1</v>
      </c>
      <c r="O324" s="26">
        <v>500</v>
      </c>
      <c r="P324" s="26" t="s">
        <v>131</v>
      </c>
      <c r="Q324" s="49">
        <v>1850</v>
      </c>
      <c r="R324" s="52"/>
      <c r="S324" s="39" t="s">
        <v>479</v>
      </c>
      <c r="T324" s="53">
        <v>0.125</v>
      </c>
      <c r="U324" s="53">
        <v>0.05</v>
      </c>
      <c r="V324" s="54"/>
      <c r="W324" s="37"/>
      <c r="X324" s="54">
        <f>IF(NOTA[[#This Row],[HARGA/ CTN]]="",NOTA[[#This Row],[JUMLAH_H]],NOTA[[#This Row],[HARGA/ CTN]]*IF(NOTA[[#This Row],[C]]="",0,NOTA[[#This Row],[C]]))</f>
        <v>925000</v>
      </c>
      <c r="Y324" s="54">
        <f>IF(NOTA[[#This Row],[JUMLAH]]="","",NOTA[[#This Row],[JUMLAH]]*NOTA[[#This Row],[DISC 1]])</f>
        <v>115625</v>
      </c>
      <c r="Z324" s="54">
        <f>IF(NOTA[[#This Row],[JUMLAH]]="","",(NOTA[[#This Row],[JUMLAH]]-NOTA[[#This Row],[DISC 1-]])*NOTA[[#This Row],[DISC 2]])</f>
        <v>40468.75</v>
      </c>
      <c r="AA324" s="54">
        <f>IF(NOTA[[#This Row],[JUMLAH]]="","",NOTA[[#This Row],[DISC 1-]]+NOTA[[#This Row],[DISC 2-]])</f>
        <v>156093.75</v>
      </c>
      <c r="AB324" s="54">
        <f>IF(NOTA[[#This Row],[JUMLAH]]="","",NOTA[[#This Row],[JUMLAH]]-NOTA[[#This Row],[DISC]])</f>
        <v>768906.25</v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324" s="54">
        <f>IF(OR(NOTA[[#This Row],[QTY]]="",NOTA[[#This Row],[HARGA SATUAN]]="",),"",NOTA[[#This Row],[QTY]]*NOTA[[#This Row],[HARGA SATUAN]])</f>
        <v>925000</v>
      </c>
      <c r="AG324" s="51">
        <f ca="1">IF(NOTA[ID_H]="","",INDEX(NOTA[TANGGAL],MATCH(,INDIRECT(ADDRESS(ROW(NOTA[TANGGAL]),COLUMN(NOTA[TANGGAL]))&amp;":"&amp;ADDRESS(ROW(),COLUMN(NOTA[TANGGAL]))),-1)))</f>
        <v>44938</v>
      </c>
      <c r="AH324" s="65" t="str">
        <f ca="1">IF(NOTA[[#This Row],[NAMA BARANG]]="","",INDEX(NOTA[SUPPLIER],MATCH(,INDIRECT(ADDRESS(ROW(NOTA[ID]),COLUMN(NOTA[ID]))&amp;":"&amp;ADDRESS(ROW(),COLUMN(NOTA[ID]))),-1)))</f>
        <v>ATALI MAKMUR</v>
      </c>
      <c r="AI324" s="65" t="str">
        <f ca="1">IF(NOTA[[#This Row],[ID_H]]="","",IF(NOTA[[#This Row],[FAKTUR]]="",INDIRECT(ADDRESS(ROW()-1,COLUMN())),NOTA[[#This Row],[FAKTUR]]))</f>
        <v>ARTO MORO</v>
      </c>
      <c r="AJ324" s="38" t="str">
        <f ca="1">IF(NOTA[[#This Row],[ID]]="","",COUNTIF(NOTA[ID_H],NOTA[[#This Row],[ID_H]]))</f>
        <v/>
      </c>
      <c r="AK324" s="38">
        <f ca="1">IF(NOTA[[#This Row],[TGL.NOTA]]="",IF(NOTA[[#This Row],[SUPPLIER_H]]="","",AK323),MONTH(NOTA[[#This Row],[TGL.NOTA]]))</f>
        <v>1</v>
      </c>
      <c r="AL324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M324" s="38" t="str">
        <f>IF(NOTA[C]="",NOTA[[#This Row],[CONCAT1]]&amp;NOTA[[#This Row],[HARGA SATUAN]],NOTA[[#This Row],[CONCAT1]]&amp;NOTA[[#This Row],[HARGA/ CTN_H]]&amp;NOTA[[#This Row],[DISC 1]]&amp;NOTA[[#This Row],[DISC 2]])</f>
        <v>trigonalclipno1jk9250000.1250.05</v>
      </c>
      <c r="AN324" s="184">
        <f>IF(NOTA[[#This Row],[CONCAT1]]="","",MATCH(NOTA[[#This Row],[CONCAT1]],[1]!db[NB NOTA_C],0)+1)</f>
        <v>2089</v>
      </c>
    </row>
    <row r="325" spans="1:40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Row],[CEK_EXP]]&lt;D324,"err","")</f>
        <v/>
      </c>
      <c r="D325" s="50">
        <f>IF(NOTA[[#This Row],[TANGGAL]]="",D324,NOTA[[#This Row],[TANGGAL]])</f>
        <v>44938</v>
      </c>
      <c r="E325" s="50">
        <f ca="1">IF(NOTA[[#This Row],[NAMA BARANG]]="","",INDEX(NOTA[ID],MATCH(,INDIRECT(ADDRESS(ROW(NOTA[ID]),COLUMN(NOTA[ID]))&amp;":"&amp;ADDRESS(ROW(),COLUMN(NOTA[ID]))),-1)))</f>
        <v>65</v>
      </c>
      <c r="F325" s="23"/>
      <c r="G325" s="26"/>
      <c r="H325" s="26"/>
      <c r="I325" s="31"/>
      <c r="J325" s="26"/>
      <c r="K325" s="51"/>
      <c r="L325" s="26"/>
      <c r="M325" s="26" t="s">
        <v>480</v>
      </c>
      <c r="N325" s="39">
        <v>1</v>
      </c>
      <c r="O325" s="26">
        <v>72</v>
      </c>
      <c r="P325" s="26" t="s">
        <v>104</v>
      </c>
      <c r="Q325" s="49">
        <v>34500</v>
      </c>
      <c r="R325" s="52"/>
      <c r="S325" s="39" t="s">
        <v>481</v>
      </c>
      <c r="T325" s="53">
        <v>0.125</v>
      </c>
      <c r="U325" s="53">
        <v>0.05</v>
      </c>
      <c r="V325" s="54"/>
      <c r="W325" s="37"/>
      <c r="X325" s="54">
        <f>IF(NOTA[[#This Row],[HARGA/ CTN]]="",NOTA[[#This Row],[JUMLAH_H]],NOTA[[#This Row],[HARGA/ CTN]]*IF(NOTA[[#This Row],[C]]="",0,NOTA[[#This Row],[C]]))</f>
        <v>2484000</v>
      </c>
      <c r="Y325" s="54">
        <f>IF(NOTA[[#This Row],[JUMLAH]]="","",NOTA[[#This Row],[JUMLAH]]*NOTA[[#This Row],[DISC 1]])</f>
        <v>310500</v>
      </c>
      <c r="Z325" s="54">
        <f>IF(NOTA[[#This Row],[JUMLAH]]="","",(NOTA[[#This Row],[JUMLAH]]-NOTA[[#This Row],[DISC 1-]])*NOTA[[#This Row],[DISC 2]])</f>
        <v>108675</v>
      </c>
      <c r="AA325" s="54">
        <f>IF(NOTA[[#This Row],[JUMLAH]]="","",NOTA[[#This Row],[DISC 1-]]+NOTA[[#This Row],[DISC 2-]])</f>
        <v>419175</v>
      </c>
      <c r="AB325" s="54">
        <f>IF(NOTA[[#This Row],[JUMLAH]]="","",NOTA[[#This Row],[JUMLAH]]-NOTA[[#This Row],[DISC]])</f>
        <v>2064825</v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25" s="54">
        <f>IF(OR(NOTA[[#This Row],[QTY]]="",NOTA[[#This Row],[HARGA SATUAN]]="",),"",NOTA[[#This Row],[QTY]]*NOTA[[#This Row],[HARGA SATUAN]])</f>
        <v>2484000</v>
      </c>
      <c r="AG325" s="51">
        <f ca="1">IF(NOTA[ID_H]="","",INDEX(NOTA[TANGGAL],MATCH(,INDIRECT(ADDRESS(ROW(NOTA[TANGGAL]),COLUMN(NOTA[TANGGAL]))&amp;":"&amp;ADDRESS(ROW(),COLUMN(NOTA[TANGGAL]))),-1)))</f>
        <v>44938</v>
      </c>
      <c r="AH325" s="65" t="str">
        <f ca="1">IF(NOTA[[#This Row],[NAMA BARANG]]="","",INDEX(NOTA[SUPPLIER],MATCH(,INDIRECT(ADDRESS(ROW(NOTA[ID]),COLUMN(NOTA[ID]))&amp;":"&amp;ADDRESS(ROW(),COLUMN(NOTA[ID]))),-1)))</f>
        <v>ATALI MAKMUR</v>
      </c>
      <c r="AI325" s="65" t="str">
        <f ca="1">IF(NOTA[[#This Row],[ID_H]]="","",IF(NOTA[[#This Row],[FAKTUR]]="",INDIRECT(ADDRESS(ROW()-1,COLUMN())),NOTA[[#This Row],[FAKTUR]]))</f>
        <v>ARTO MORO</v>
      </c>
      <c r="AJ325" s="38" t="str">
        <f ca="1">IF(NOTA[[#This Row],[ID]]="","",COUNTIF(NOTA[ID_H],NOTA[[#This Row],[ID_H]]))</f>
        <v/>
      </c>
      <c r="AK325" s="38">
        <f ca="1">IF(NOTA[[#This Row],[TGL.NOTA]]="",IF(NOTA[[#This Row],[SUPPLIER_H]]="","",AK324),MONTH(NOTA[[#This Row],[TGL.NOTA]]))</f>
        <v>1</v>
      </c>
      <c r="AL325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M325" s="38" t="str">
        <f>IF(NOTA[C]="",NOTA[[#This Row],[CONCAT1]]&amp;NOTA[[#This Row],[HARGA SATUAN]],NOTA[[#This Row],[CONCAT1]]&amp;NOTA[[#This Row],[HARGA/ CTN_H]]&amp;NOTA[[#This Row],[DISC 1]]&amp;NOTA[[#This Row],[DISC 2]])</f>
        <v>guntackergt700jk24840000.1250.05</v>
      </c>
      <c r="AN325" s="184">
        <f>IF(NOTA[[#This Row],[CONCAT1]]="","",MATCH(NOTA[[#This Row],[CONCAT1]],[1]!db[NB NOTA_C],0)+1)</f>
        <v>948</v>
      </c>
    </row>
    <row r="326" spans="1:40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Row],[CEK_EXP]]&lt;D325,"err","")</f>
        <v/>
      </c>
      <c r="D326" s="50">
        <f>IF(NOTA[[#This Row],[TANGGAL]]="",D325,NOTA[[#This Row],[TANGGAL]])</f>
        <v>44938</v>
      </c>
      <c r="E326" s="50">
        <f ca="1">IF(NOTA[[#This Row],[NAMA BARANG]]="","",INDEX(NOTA[ID],MATCH(,INDIRECT(ADDRESS(ROW(NOTA[ID]),COLUMN(NOTA[ID]))&amp;":"&amp;ADDRESS(ROW(),COLUMN(NOTA[ID]))),-1)))</f>
        <v>65</v>
      </c>
      <c r="F326" s="23"/>
      <c r="G326" s="26"/>
      <c r="H326" s="26"/>
      <c r="I326" s="31"/>
      <c r="J326" s="26"/>
      <c r="K326" s="51"/>
      <c r="L326" s="26"/>
      <c r="M326" s="26" t="s">
        <v>482</v>
      </c>
      <c r="N326" s="39">
        <v>2</v>
      </c>
      <c r="O326" s="26">
        <v>24</v>
      </c>
      <c r="P326" s="26" t="s">
        <v>274</v>
      </c>
      <c r="Q326" s="49">
        <v>176400</v>
      </c>
      <c r="R326" s="52"/>
      <c r="S326" s="39" t="s">
        <v>117</v>
      </c>
      <c r="T326" s="53">
        <v>0.125</v>
      </c>
      <c r="U326" s="53">
        <v>0.05</v>
      </c>
      <c r="V326" s="54"/>
      <c r="W326" s="37"/>
      <c r="X326" s="54">
        <f>IF(NOTA[[#This Row],[HARGA/ CTN]]="",NOTA[[#This Row],[JUMLAH_H]],NOTA[[#This Row],[HARGA/ CTN]]*IF(NOTA[[#This Row],[C]]="",0,NOTA[[#This Row],[C]]))</f>
        <v>4233600</v>
      </c>
      <c r="Y326" s="54">
        <f>IF(NOTA[[#This Row],[JUMLAH]]="","",NOTA[[#This Row],[JUMLAH]]*NOTA[[#This Row],[DISC 1]])</f>
        <v>529200</v>
      </c>
      <c r="Z326" s="54">
        <f>IF(NOTA[[#This Row],[JUMLAH]]="","",(NOTA[[#This Row],[JUMLAH]]-NOTA[[#This Row],[DISC 1-]])*NOTA[[#This Row],[DISC 2]])</f>
        <v>185220</v>
      </c>
      <c r="AA326" s="54">
        <f>IF(NOTA[[#This Row],[JUMLAH]]="","",NOTA[[#This Row],[DISC 1-]]+NOTA[[#This Row],[DISC 2-]])</f>
        <v>714420</v>
      </c>
      <c r="AB326" s="54">
        <f>IF(NOTA[[#This Row],[JUMLAH]]="","",NOTA[[#This Row],[JUMLAH]]-NOTA[[#This Row],[DISC]])</f>
        <v>3519180</v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326" s="54">
        <f>IF(OR(NOTA[[#This Row],[QTY]]="",NOTA[[#This Row],[HARGA SATUAN]]="",),"",NOTA[[#This Row],[QTY]]*NOTA[[#This Row],[HARGA SATUAN]])</f>
        <v>4233600</v>
      </c>
      <c r="AG326" s="51">
        <f ca="1">IF(NOTA[ID_H]="","",INDEX(NOTA[TANGGAL],MATCH(,INDIRECT(ADDRESS(ROW(NOTA[TANGGAL]),COLUMN(NOTA[TANGGAL]))&amp;":"&amp;ADDRESS(ROW(),COLUMN(NOTA[TANGGAL]))),-1)))</f>
        <v>44938</v>
      </c>
      <c r="AH326" s="65" t="str">
        <f ca="1">IF(NOTA[[#This Row],[NAMA BARANG]]="","",INDEX(NOTA[SUPPLIER],MATCH(,INDIRECT(ADDRESS(ROW(NOTA[ID]),COLUMN(NOTA[ID]))&amp;":"&amp;ADDRESS(ROW(),COLUMN(NOTA[ID]))),-1)))</f>
        <v>ATALI MAKMUR</v>
      </c>
      <c r="AI326" s="65" t="str">
        <f ca="1">IF(NOTA[[#This Row],[ID_H]]="","",IF(NOTA[[#This Row],[FAKTUR]]="",INDIRECT(ADDRESS(ROW()-1,COLUMN())),NOTA[[#This Row],[FAKTUR]]))</f>
        <v>ARTO MORO</v>
      </c>
      <c r="AJ326" s="38" t="str">
        <f ca="1">IF(NOTA[[#This Row],[ID]]="","",COUNTIF(NOTA[ID_H],NOTA[[#This Row],[ID_H]]))</f>
        <v/>
      </c>
      <c r="AK326" s="38">
        <f ca="1">IF(NOTA[[#This Row],[TGL.NOTA]]="",IF(NOTA[[#This Row],[SUPPLIER_H]]="","",AK325),MONTH(NOTA[[#This Row],[TGL.NOTA]]))</f>
        <v>1</v>
      </c>
      <c r="AL326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326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N326" s="184">
        <f>IF(NOTA[[#This Row],[CONCAT1]]="","",MATCH(NOTA[[#This Row],[CONCAT1]],[1]!db[NB NOTA_C],0)+1)</f>
        <v>1760</v>
      </c>
    </row>
    <row r="327" spans="1:40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Row],[CEK_EXP]]&lt;D326,"err","")</f>
        <v/>
      </c>
      <c r="D327" s="50">
        <f>IF(NOTA[[#This Row],[TANGGAL]]="",D326,NOTA[[#This Row],[TANGGAL]])</f>
        <v>44938</v>
      </c>
      <c r="E327" s="50">
        <f ca="1">IF(NOTA[[#This Row],[NAMA BARANG]]="","",INDEX(NOTA[ID],MATCH(,INDIRECT(ADDRESS(ROW(NOTA[ID]),COLUMN(NOTA[ID]))&amp;":"&amp;ADDRESS(ROW(),COLUMN(NOTA[ID]))),-1)))</f>
        <v>65</v>
      </c>
      <c r="F327" s="23"/>
      <c r="G327" s="26"/>
      <c r="H327" s="26"/>
      <c r="I327" s="31"/>
      <c r="J327" s="26"/>
      <c r="K327" s="51"/>
      <c r="L327" s="26"/>
      <c r="M327" s="26" t="s">
        <v>483</v>
      </c>
      <c r="N327" s="39">
        <v>3</v>
      </c>
      <c r="O327" s="26">
        <v>432</v>
      </c>
      <c r="P327" s="26" t="s">
        <v>116</v>
      </c>
      <c r="Q327" s="49">
        <v>19800</v>
      </c>
      <c r="R327" s="52"/>
      <c r="S327" s="39" t="s">
        <v>484</v>
      </c>
      <c r="T327" s="53">
        <v>0.125</v>
      </c>
      <c r="U327" s="53">
        <v>0.05</v>
      </c>
      <c r="V327" s="54"/>
      <c r="W327" s="37"/>
      <c r="X327" s="54">
        <f>IF(NOTA[[#This Row],[HARGA/ CTN]]="",NOTA[[#This Row],[JUMLAH_H]],NOTA[[#This Row],[HARGA/ CTN]]*IF(NOTA[[#This Row],[C]]="",0,NOTA[[#This Row],[C]]))</f>
        <v>8553600</v>
      </c>
      <c r="Y327" s="54">
        <f>IF(NOTA[[#This Row],[JUMLAH]]="","",NOTA[[#This Row],[JUMLAH]]*NOTA[[#This Row],[DISC 1]])</f>
        <v>1069200</v>
      </c>
      <c r="Z327" s="54">
        <f>IF(NOTA[[#This Row],[JUMLAH]]="","",(NOTA[[#This Row],[JUMLAH]]-NOTA[[#This Row],[DISC 1-]])*NOTA[[#This Row],[DISC 2]])</f>
        <v>374220</v>
      </c>
      <c r="AA327" s="54">
        <f>IF(NOTA[[#This Row],[JUMLAH]]="","",NOTA[[#This Row],[DISC 1-]]+NOTA[[#This Row],[DISC 2-]])</f>
        <v>1443420</v>
      </c>
      <c r="AB327" s="54">
        <f>IF(NOTA[[#This Row],[JUMLAH]]="","",NOTA[[#This Row],[JUMLAH]]-NOTA[[#This Row],[DISC]])</f>
        <v>7110180</v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9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327" s="54">
        <f>IF(OR(NOTA[[#This Row],[QTY]]="",NOTA[[#This Row],[HARGA SATUAN]]="",),"",NOTA[[#This Row],[QTY]]*NOTA[[#This Row],[HARGA SATUAN]])</f>
        <v>8553600</v>
      </c>
      <c r="AG327" s="51">
        <f ca="1">IF(NOTA[ID_H]="","",INDEX(NOTA[TANGGAL],MATCH(,INDIRECT(ADDRESS(ROW(NOTA[TANGGAL]),COLUMN(NOTA[TANGGAL]))&amp;":"&amp;ADDRESS(ROW(),COLUMN(NOTA[TANGGAL]))),-1)))</f>
        <v>44938</v>
      </c>
      <c r="AH327" s="65" t="str">
        <f ca="1">IF(NOTA[[#This Row],[NAMA BARANG]]="","",INDEX(NOTA[SUPPLIER],MATCH(,INDIRECT(ADDRESS(ROW(NOTA[ID]),COLUMN(NOTA[ID]))&amp;":"&amp;ADDRESS(ROW(),COLUMN(NOTA[ID]))),-1)))</f>
        <v>ATALI MAKMUR</v>
      </c>
      <c r="AI327" s="65" t="str">
        <f ca="1">IF(NOTA[[#This Row],[ID_H]]="","",IF(NOTA[[#This Row],[FAKTUR]]="",INDIRECT(ADDRESS(ROW()-1,COLUMN())),NOTA[[#This Row],[FAKTUR]]))</f>
        <v>ARTO MORO</v>
      </c>
      <c r="AJ327" s="38" t="str">
        <f ca="1">IF(NOTA[[#This Row],[ID]]="","",COUNTIF(NOTA[ID_H],NOTA[[#This Row],[ID_H]]))</f>
        <v/>
      </c>
      <c r="AK327" s="38">
        <f ca="1">IF(NOTA[[#This Row],[TGL.NOTA]]="",IF(NOTA[[#This Row],[SUPPLIER_H]]="","",AK326),MONTH(NOTA[[#This Row],[TGL.NOTA]]))</f>
        <v>1</v>
      </c>
      <c r="AL327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327" s="38" t="str">
        <f>IF(NOTA[C]="",NOTA[[#This Row],[CONCAT1]]&amp;NOTA[[#This Row],[HARGA SATUAN]],NOTA[[#This Row],[CONCAT1]]&amp;NOTA[[#This Row],[HARGA/ CTN_H]]&amp;NOTA[[#This Row],[DISC 1]]&amp;NOTA[[#This Row],[DISC 2]])</f>
        <v>pencilleadpl10202bjk28512000.1250.05</v>
      </c>
      <c r="AN327" s="184">
        <f>IF(NOTA[[#This Row],[CONCAT1]]="","",MATCH(NOTA[[#This Row],[CONCAT1]],[1]!db[NB NOTA_C],0)+1)</f>
        <v>1761</v>
      </c>
    </row>
    <row r="328" spans="1:40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Row],[CEK_EXP]]&lt;D327,"err","")</f>
        <v/>
      </c>
      <c r="D328" s="50">
        <f>IF(NOTA[[#This Row],[TANGGAL]]="",D327,NOTA[[#This Row],[TANGGAL]])</f>
        <v>44938</v>
      </c>
      <c r="E328" s="50">
        <f ca="1">IF(NOTA[[#This Row],[NAMA BARANG]]="","",INDEX(NOTA[ID],MATCH(,INDIRECT(ADDRESS(ROW(NOTA[ID]),COLUMN(NOTA[ID]))&amp;":"&amp;ADDRESS(ROW(),COLUMN(NOTA[ID]))),-1)))</f>
        <v>65</v>
      </c>
      <c r="F328" s="23"/>
      <c r="G328" s="38"/>
      <c r="H328" s="38"/>
      <c r="I328" s="79"/>
      <c r="J328" s="26"/>
      <c r="K328" s="51"/>
      <c r="L328" s="26"/>
      <c r="M328" s="26" t="s">
        <v>485</v>
      </c>
      <c r="N328" s="39">
        <v>3</v>
      </c>
      <c r="O328" s="26">
        <v>216</v>
      </c>
      <c r="P328" s="26" t="s">
        <v>116</v>
      </c>
      <c r="Q328" s="49">
        <v>37200</v>
      </c>
      <c r="R328" s="52"/>
      <c r="S328" s="39" t="s">
        <v>427</v>
      </c>
      <c r="T328" s="53">
        <v>0.125</v>
      </c>
      <c r="U328" s="53">
        <v>0.05</v>
      </c>
      <c r="V328" s="54"/>
      <c r="W328" s="37"/>
      <c r="X328" s="54">
        <f>IF(NOTA[[#This Row],[HARGA/ CTN]]="",NOTA[[#This Row],[JUMLAH_H]],NOTA[[#This Row],[HARGA/ CTN]]*IF(NOTA[[#This Row],[C]]="",0,NOTA[[#This Row],[C]]))</f>
        <v>8035200</v>
      </c>
      <c r="Y328" s="54">
        <f>IF(NOTA[[#This Row],[JUMLAH]]="","",NOTA[[#This Row],[JUMLAH]]*NOTA[[#This Row],[DISC 1]])</f>
        <v>1004400</v>
      </c>
      <c r="Z328" s="54">
        <f>IF(NOTA[[#This Row],[JUMLAH]]="","",(NOTA[[#This Row],[JUMLAH]]-NOTA[[#This Row],[DISC 1-]])*NOTA[[#This Row],[DISC 2]])</f>
        <v>351540</v>
      </c>
      <c r="AA328" s="54">
        <f>IF(NOTA[[#This Row],[JUMLAH]]="","",NOTA[[#This Row],[DISC 1-]]+NOTA[[#This Row],[DISC 2-]])</f>
        <v>1355940</v>
      </c>
      <c r="AB328" s="54">
        <f>IF(NOTA[[#This Row],[JUMLAH]]="","",NOTA[[#This Row],[JUMLAH]]-NOTA[[#This Row],[DISC]])</f>
        <v>6679260</v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328" s="54">
        <f>IF(OR(NOTA[[#This Row],[QTY]]="",NOTA[[#This Row],[HARGA SATUAN]]="",),"",NOTA[[#This Row],[QTY]]*NOTA[[#This Row],[HARGA SATUAN]])</f>
        <v>8035200</v>
      </c>
      <c r="AG328" s="51">
        <f ca="1">IF(NOTA[ID_H]="","",INDEX(NOTA[TANGGAL],MATCH(,INDIRECT(ADDRESS(ROW(NOTA[TANGGAL]),COLUMN(NOTA[TANGGAL]))&amp;":"&amp;ADDRESS(ROW(),COLUMN(NOTA[TANGGAL]))),-1)))</f>
        <v>44938</v>
      </c>
      <c r="AH328" s="65" t="str">
        <f ca="1">IF(NOTA[[#This Row],[NAMA BARANG]]="","",INDEX(NOTA[SUPPLIER],MATCH(,INDIRECT(ADDRESS(ROW(NOTA[ID]),COLUMN(NOTA[ID]))&amp;":"&amp;ADDRESS(ROW(),COLUMN(NOTA[ID]))),-1)))</f>
        <v>ATALI MAKMUR</v>
      </c>
      <c r="AI328" s="65" t="str">
        <f ca="1">IF(NOTA[[#This Row],[ID_H]]="","",IF(NOTA[[#This Row],[FAKTUR]]="",INDIRECT(ADDRESS(ROW()-1,COLUMN())),NOTA[[#This Row],[FAKTUR]]))</f>
        <v>ARTO MORO</v>
      </c>
      <c r="AJ328" s="38" t="str">
        <f ca="1">IF(NOTA[[#This Row],[ID]]="","",COUNTIF(NOTA[ID_H],NOTA[[#This Row],[ID_H]]))</f>
        <v/>
      </c>
      <c r="AK328" s="38">
        <f ca="1">IF(NOTA[[#This Row],[TGL.NOTA]]="",IF(NOTA[[#This Row],[SUPPLIER_H]]="","",AK327),MONTH(NOTA[[#This Row],[TGL.NOTA]]))</f>
        <v>1</v>
      </c>
      <c r="AL32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328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N328" s="184">
        <f>IF(NOTA[[#This Row],[CONCAT1]]="","",MATCH(NOTA[[#This Row],[CONCAT1]],[1]!db[NB NOTA_C],0)+1)</f>
        <v>1762</v>
      </c>
    </row>
    <row r="329" spans="1:40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Row],[CEK_EXP]]&lt;D328,"err","")</f>
        <v/>
      </c>
      <c r="D329" s="50">
        <f>IF(NOTA[[#This Row],[TANGGAL]]="",D328,NOTA[[#This Row],[TANGGAL]])</f>
        <v>44938</v>
      </c>
      <c r="E329" s="50">
        <f ca="1">IF(NOTA[[#This Row],[NAMA BARANG]]="","",INDEX(NOTA[ID],MATCH(,INDIRECT(ADDRESS(ROW(NOTA[ID]),COLUMN(NOTA[ID]))&amp;":"&amp;ADDRESS(ROW(),COLUMN(NOTA[ID]))),-1)))</f>
        <v>65</v>
      </c>
      <c r="F329" s="23"/>
      <c r="G329" s="26"/>
      <c r="H329" s="26"/>
      <c r="I329" s="31"/>
      <c r="J329" s="26"/>
      <c r="K329" s="51"/>
      <c r="L329" s="26"/>
      <c r="M329" s="26" t="s">
        <v>486</v>
      </c>
      <c r="N329" s="39">
        <v>1</v>
      </c>
      <c r="O329" s="26">
        <v>20</v>
      </c>
      <c r="P329" s="26" t="s">
        <v>104</v>
      </c>
      <c r="Q329" s="49">
        <v>40500</v>
      </c>
      <c r="R329" s="52"/>
      <c r="S329" s="39" t="s">
        <v>487</v>
      </c>
      <c r="T329" s="53">
        <v>0.125</v>
      </c>
      <c r="U329" s="53">
        <v>0.05</v>
      </c>
      <c r="V329" s="54"/>
      <c r="W329" s="37"/>
      <c r="X329" s="54">
        <f>IF(NOTA[[#This Row],[HARGA/ CTN]]="",NOTA[[#This Row],[JUMLAH_H]],NOTA[[#This Row],[HARGA/ CTN]]*IF(NOTA[[#This Row],[C]]="",0,NOTA[[#This Row],[C]]))</f>
        <v>810000</v>
      </c>
      <c r="Y329" s="54">
        <f>IF(NOTA[[#This Row],[JUMLAH]]="","",NOTA[[#This Row],[JUMLAH]]*NOTA[[#This Row],[DISC 1]])</f>
        <v>101250</v>
      </c>
      <c r="Z329" s="54">
        <f>IF(NOTA[[#This Row],[JUMLAH]]="","",(NOTA[[#This Row],[JUMLAH]]-NOTA[[#This Row],[DISC 1-]])*NOTA[[#This Row],[DISC 2]])</f>
        <v>35437.5</v>
      </c>
      <c r="AA329" s="54">
        <f>IF(NOTA[[#This Row],[JUMLAH]]="","",NOTA[[#This Row],[DISC 1-]]+NOTA[[#This Row],[DISC 2-]])</f>
        <v>136687.5</v>
      </c>
      <c r="AB329" s="54">
        <f>IF(NOTA[[#This Row],[JUMLAH]]="","",NOTA[[#This Row],[JUMLAH]]-NOTA[[#This Row],[DISC]])</f>
        <v>673312.5</v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29" s="54">
        <f>IF(OR(NOTA[[#This Row],[QTY]]="",NOTA[[#This Row],[HARGA SATUAN]]="",),"",NOTA[[#This Row],[QTY]]*NOTA[[#This Row],[HARGA SATUAN]])</f>
        <v>810000</v>
      </c>
      <c r="AG329" s="51">
        <f ca="1">IF(NOTA[ID_H]="","",INDEX(NOTA[TANGGAL],MATCH(,INDIRECT(ADDRESS(ROW(NOTA[TANGGAL]),COLUMN(NOTA[TANGGAL]))&amp;":"&amp;ADDRESS(ROW(),COLUMN(NOTA[TANGGAL]))),-1)))</f>
        <v>44938</v>
      </c>
      <c r="AH329" s="65" t="str">
        <f ca="1">IF(NOTA[[#This Row],[NAMA BARANG]]="","",INDEX(NOTA[SUPPLIER],MATCH(,INDIRECT(ADDRESS(ROW(NOTA[ID]),COLUMN(NOTA[ID]))&amp;":"&amp;ADDRESS(ROW(),COLUMN(NOTA[ID]))),-1)))</f>
        <v>ATALI MAKMUR</v>
      </c>
      <c r="AI329" s="65" t="str">
        <f ca="1">IF(NOTA[[#This Row],[ID_H]]="","",IF(NOTA[[#This Row],[FAKTUR]]="",INDIRECT(ADDRESS(ROW()-1,COLUMN())),NOTA[[#This Row],[FAKTUR]]))</f>
        <v>ARTO MORO</v>
      </c>
      <c r="AJ329" s="38" t="str">
        <f ca="1">IF(NOTA[[#This Row],[ID]]="","",COUNTIF(NOTA[ID_H],NOTA[[#This Row],[ID_H]]))</f>
        <v/>
      </c>
      <c r="AK329" s="38">
        <f ca="1">IF(NOTA[[#This Row],[TGL.NOTA]]="",IF(NOTA[[#This Row],[SUPPLIER_H]]="","",AK328),MONTH(NOTA[[#This Row],[TGL.NOTA]]))</f>
        <v>1</v>
      </c>
      <c r="AL329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329" s="38" t="str">
        <f>IF(NOTA[C]="",NOTA[[#This Row],[CONCAT1]]&amp;NOTA[[#This Row],[HARGA SATUAN]],NOTA[[#This Row],[CONCAT1]]&amp;NOTA[[#This Row],[HARGA/ CTN_H]]&amp;NOTA[[#This Row],[DISC 1]]&amp;NOTA[[#This Row],[DISC 2]])</f>
        <v>labellermx5500m8digitsjk8100000.1250.05</v>
      </c>
      <c r="AN329" s="184">
        <f>IF(NOTA[[#This Row],[CONCAT1]]="","",MATCH(NOTA[[#This Row],[CONCAT1]],[1]!db[NB NOTA_C],0)+1)</f>
        <v>1355</v>
      </c>
    </row>
    <row r="330" spans="1:40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Row],[CEK_EXP]]&lt;D329,"err","")</f>
        <v/>
      </c>
      <c r="D330" s="50">
        <f>IF(NOTA[[#This Row],[TANGGAL]]="",D329,NOTA[[#This Row],[TANGGAL]])</f>
        <v>44938</v>
      </c>
      <c r="E330" s="50">
        <f ca="1">IF(NOTA[[#This Row],[NAMA BARANG]]="","",INDEX(NOTA[ID],MATCH(,INDIRECT(ADDRESS(ROW(NOTA[ID]),COLUMN(NOTA[ID]))&amp;":"&amp;ADDRESS(ROW(),COLUMN(NOTA[ID]))),-1)))</f>
        <v>65</v>
      </c>
      <c r="F330" s="23"/>
      <c r="G330" s="26"/>
      <c r="H330" s="26"/>
      <c r="I330" s="31"/>
      <c r="J330" s="26"/>
      <c r="K330" s="51"/>
      <c r="L330" s="26"/>
      <c r="M330" s="26" t="s">
        <v>435</v>
      </c>
      <c r="N330" s="39">
        <v>3</v>
      </c>
      <c r="O330" s="26">
        <v>3000</v>
      </c>
      <c r="P330" s="26" t="s">
        <v>133</v>
      </c>
      <c r="Q330" s="49">
        <v>2050</v>
      </c>
      <c r="R330" s="52"/>
      <c r="S330" s="39" t="s">
        <v>436</v>
      </c>
      <c r="T330" s="53">
        <v>0.125</v>
      </c>
      <c r="U330" s="53">
        <v>0.05</v>
      </c>
      <c r="V330" s="54"/>
      <c r="W330" s="37"/>
      <c r="X330" s="54">
        <f>IF(NOTA[[#This Row],[HARGA/ CTN]]="",NOTA[[#This Row],[JUMLAH_H]],NOTA[[#This Row],[HARGA/ CTN]]*IF(NOTA[[#This Row],[C]]="",0,NOTA[[#This Row],[C]]))</f>
        <v>6150000</v>
      </c>
      <c r="Y330" s="54">
        <f>IF(NOTA[[#This Row],[JUMLAH]]="","",NOTA[[#This Row],[JUMLAH]]*NOTA[[#This Row],[DISC 1]])</f>
        <v>768750</v>
      </c>
      <c r="Z330" s="54">
        <f>IF(NOTA[[#This Row],[JUMLAH]]="","",(NOTA[[#This Row],[JUMLAH]]-NOTA[[#This Row],[DISC 1-]])*NOTA[[#This Row],[DISC 2]])</f>
        <v>269062.5</v>
      </c>
      <c r="AA330" s="54">
        <f>IF(NOTA[[#This Row],[JUMLAH]]="","",NOTA[[#This Row],[DISC 1-]]+NOTA[[#This Row],[DISC 2-]])</f>
        <v>1037812.5</v>
      </c>
      <c r="AB330" s="54">
        <f>IF(NOTA[[#This Row],[JUMLAH]]="","",NOTA[[#This Row],[JUMLAH]]-NOTA[[#This Row],[DISC]])</f>
        <v>5112187.5</v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30" s="54">
        <f>IF(OR(NOTA[[#This Row],[QTY]]="",NOTA[[#This Row],[HARGA SATUAN]]="",),"",NOTA[[#This Row],[QTY]]*NOTA[[#This Row],[HARGA SATUAN]])</f>
        <v>6150000</v>
      </c>
      <c r="AG330" s="51">
        <f ca="1">IF(NOTA[ID_H]="","",INDEX(NOTA[TANGGAL],MATCH(,INDIRECT(ADDRESS(ROW(NOTA[TANGGAL]),COLUMN(NOTA[TANGGAL]))&amp;":"&amp;ADDRESS(ROW(),COLUMN(NOTA[TANGGAL]))),-1)))</f>
        <v>44938</v>
      </c>
      <c r="AH330" s="65" t="str">
        <f ca="1">IF(NOTA[[#This Row],[NAMA BARANG]]="","",INDEX(NOTA[SUPPLIER],MATCH(,INDIRECT(ADDRESS(ROW(NOTA[ID]),COLUMN(NOTA[ID]))&amp;":"&amp;ADDRESS(ROW(),COLUMN(NOTA[ID]))),-1)))</f>
        <v>ATALI MAKMUR</v>
      </c>
      <c r="AI330" s="65" t="str">
        <f ca="1">IF(NOTA[[#This Row],[ID_H]]="","",IF(NOTA[[#This Row],[FAKTUR]]="",INDIRECT(ADDRESS(ROW()-1,COLUMN())),NOTA[[#This Row],[FAKTUR]]))</f>
        <v>ARTO MORO</v>
      </c>
      <c r="AJ330" s="38" t="str">
        <f ca="1">IF(NOTA[[#This Row],[ID]]="","",COUNTIF(NOTA[ID_H],NOTA[[#This Row],[ID_H]]))</f>
        <v/>
      </c>
      <c r="AK330" s="38">
        <f ca="1">IF(NOTA[[#This Row],[TGL.NOTA]]="",IF(NOTA[[#This Row],[SUPPLIER_H]]="","",AK329),MONTH(NOTA[[#This Row],[TGL.NOTA]]))</f>
        <v>1</v>
      </c>
      <c r="AL3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30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N330" s="184">
        <f>IF(NOTA[[#This Row],[CONCAT1]]="","",MATCH(NOTA[[#This Row],[CONCAT1]],[1]!db[NB NOTA_C],0)+1)</f>
        <v>1349</v>
      </c>
    </row>
    <row r="331" spans="1:40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Row],[CEK_EXP]]&lt;D330,"err","")</f>
        <v/>
      </c>
      <c r="D331" s="50">
        <f>IF(NOTA[[#This Row],[TANGGAL]]="",D330,NOTA[[#This Row],[TANGGAL]])</f>
        <v>44938</v>
      </c>
      <c r="E331" s="50">
        <f ca="1">IF(NOTA[[#This Row],[NAMA BARANG]]="","",INDEX(NOTA[ID],MATCH(,INDIRECT(ADDRESS(ROW(NOTA[ID]),COLUMN(NOTA[ID]))&amp;":"&amp;ADDRESS(ROW(),COLUMN(NOTA[ID]))),-1)))</f>
        <v>65</v>
      </c>
      <c r="F331" s="23"/>
      <c r="G331" s="26"/>
      <c r="H331" s="26"/>
      <c r="I331" s="31"/>
      <c r="J331" s="26"/>
      <c r="K331" s="51"/>
      <c r="L331" s="26"/>
      <c r="M331" s="26" t="s">
        <v>539</v>
      </c>
      <c r="N331" s="39">
        <v>1</v>
      </c>
      <c r="O331" s="26">
        <v>48</v>
      </c>
      <c r="P331" s="26" t="s">
        <v>131</v>
      </c>
      <c r="Q331" s="49">
        <v>31200</v>
      </c>
      <c r="R331" s="52"/>
      <c r="S331" s="39" t="s">
        <v>276</v>
      </c>
      <c r="T331" s="53">
        <v>0.125</v>
      </c>
      <c r="U331" s="53">
        <v>0.05</v>
      </c>
      <c r="V331" s="54"/>
      <c r="W331" s="37"/>
      <c r="X331" s="54">
        <f>IF(NOTA[[#This Row],[HARGA/ CTN]]="",NOTA[[#This Row],[JUMLAH_H]],NOTA[[#This Row],[HARGA/ CTN]]*IF(NOTA[[#This Row],[C]]="",0,NOTA[[#This Row],[C]]))</f>
        <v>1497600</v>
      </c>
      <c r="Y331" s="54">
        <f>IF(NOTA[[#This Row],[JUMLAH]]="","",NOTA[[#This Row],[JUMLAH]]*NOTA[[#This Row],[DISC 1]])</f>
        <v>187200</v>
      </c>
      <c r="Z331" s="54">
        <f>IF(NOTA[[#This Row],[JUMLAH]]="","",(NOTA[[#This Row],[JUMLAH]]-NOTA[[#This Row],[DISC 1-]])*NOTA[[#This Row],[DISC 2]])</f>
        <v>65520</v>
      </c>
      <c r="AA331" s="54">
        <f>IF(NOTA[[#This Row],[JUMLAH]]="","",NOTA[[#This Row],[DISC 1-]]+NOTA[[#This Row],[DISC 2-]])</f>
        <v>252720</v>
      </c>
      <c r="AB331" s="54">
        <f>IF(NOTA[[#This Row],[JUMLAH]]="","",NOTA[[#This Row],[JUMLAH]]-NOTA[[#This Row],[DISC]])</f>
        <v>1244880</v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331" s="54">
        <f>IF(OR(NOTA[[#This Row],[QTY]]="",NOTA[[#This Row],[HARGA SATUAN]]="",),"",NOTA[[#This Row],[QTY]]*NOTA[[#This Row],[HARGA SATUAN]])</f>
        <v>1497600</v>
      </c>
      <c r="AG331" s="51">
        <f ca="1">IF(NOTA[ID_H]="","",INDEX(NOTA[TANGGAL],MATCH(,INDIRECT(ADDRESS(ROW(NOTA[TANGGAL]),COLUMN(NOTA[TANGGAL]))&amp;":"&amp;ADDRESS(ROW(),COLUMN(NOTA[TANGGAL]))),-1)))</f>
        <v>44938</v>
      </c>
      <c r="AH331" s="65" t="str">
        <f ca="1">IF(NOTA[[#This Row],[NAMA BARANG]]="","",INDEX(NOTA[SUPPLIER],MATCH(,INDIRECT(ADDRESS(ROW(NOTA[ID]),COLUMN(NOTA[ID]))&amp;":"&amp;ADDRESS(ROW(),COLUMN(NOTA[ID]))),-1)))</f>
        <v>ATALI MAKMUR</v>
      </c>
      <c r="AI331" s="65" t="str">
        <f ca="1">IF(NOTA[[#This Row],[ID_H]]="","",IF(NOTA[[#This Row],[FAKTUR]]="",INDIRECT(ADDRESS(ROW()-1,COLUMN())),NOTA[[#This Row],[FAKTUR]]))</f>
        <v>ARTO MORO</v>
      </c>
      <c r="AJ331" s="38" t="str">
        <f ca="1">IF(NOTA[[#This Row],[ID]]="","",COUNTIF(NOTA[ID_H],NOTA[[#This Row],[ID_H]]))</f>
        <v/>
      </c>
      <c r="AK331" s="38">
        <f ca="1">IF(NOTA[[#This Row],[TGL.NOTA]]="",IF(NOTA[[#This Row],[SUPPLIER_H]]="","",AK330),MONTH(NOTA[[#This Row],[TGL.NOTA]]))</f>
        <v>1</v>
      </c>
      <c r="AL33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M331" s="38" t="str">
        <f>IF(NOTA[C]="",NOTA[[#This Row],[CONCAT1]]&amp;NOTA[[#This Row],[HARGA SATUAN]],NOTA[[#This Row],[CONCAT1]]&amp;NOTA[[#This Row],[HARGA/ CTN_H]]&amp;NOTA[[#This Row],[DISC 1]]&amp;NOTA[[#This Row],[DISC 2]])</f>
        <v>pushpinpp30jk14976000.1250.05</v>
      </c>
      <c r="AN331" s="184">
        <f>IF(NOTA[[#This Row],[CONCAT1]]="","",MATCH(NOTA[[#This Row],[CONCAT1]],[1]!db[NB NOTA_C],0)+1)</f>
        <v>1888</v>
      </c>
    </row>
    <row r="332" spans="1:40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Row],[CEK_EXP]]&lt;D331,"err","")</f>
        <v/>
      </c>
      <c r="D332" s="50">
        <f>IF(NOTA[[#This Row],[TANGGAL]]="",D331,NOTA[[#This Row],[TANGGAL]])</f>
        <v>44938</v>
      </c>
      <c r="E332" s="50">
        <f ca="1">IF(NOTA[[#This Row],[NAMA BARANG]]="","",INDEX(NOTA[ID],MATCH(,INDIRECT(ADDRESS(ROW(NOTA[ID]),COLUMN(NOTA[ID]))&amp;":"&amp;ADDRESS(ROW(),COLUMN(NOTA[ID]))),-1)))</f>
        <v>65</v>
      </c>
      <c r="F332" s="23"/>
      <c r="G332" s="26"/>
      <c r="H332" s="26"/>
      <c r="I332" s="31"/>
      <c r="J332" s="26"/>
      <c r="K332" s="51"/>
      <c r="L332" s="26"/>
      <c r="M332" s="26" t="s">
        <v>540</v>
      </c>
      <c r="N332" s="39">
        <v>1</v>
      </c>
      <c r="O332" s="26">
        <v>240</v>
      </c>
      <c r="P332" s="26" t="s">
        <v>104</v>
      </c>
      <c r="Q332" s="49">
        <v>8600</v>
      </c>
      <c r="R332" s="52"/>
      <c r="S332" s="39" t="s">
        <v>488</v>
      </c>
      <c r="T332" s="53">
        <v>0.125</v>
      </c>
      <c r="U332" s="53">
        <v>0.05</v>
      </c>
      <c r="V332" s="54"/>
      <c r="W332" s="37"/>
      <c r="X332" s="54">
        <f>IF(NOTA[[#This Row],[HARGA/ CTN]]="",NOTA[[#This Row],[JUMLAH_H]],NOTA[[#This Row],[HARGA/ CTN]]*IF(NOTA[[#This Row],[C]]="",0,NOTA[[#This Row],[C]]))</f>
        <v>2064000</v>
      </c>
      <c r="Y332" s="54">
        <f>IF(NOTA[[#This Row],[JUMLAH]]="","",NOTA[[#This Row],[JUMLAH]]*NOTA[[#This Row],[DISC 1]])</f>
        <v>258000</v>
      </c>
      <c r="Z332" s="54">
        <f>IF(NOTA[[#This Row],[JUMLAH]]="","",(NOTA[[#This Row],[JUMLAH]]-NOTA[[#This Row],[DISC 1-]])*NOTA[[#This Row],[DISC 2]])</f>
        <v>90300</v>
      </c>
      <c r="AA332" s="54">
        <f>IF(NOTA[[#This Row],[JUMLAH]]="","",NOTA[[#This Row],[DISC 1-]]+NOTA[[#This Row],[DISC 2-]])</f>
        <v>348300</v>
      </c>
      <c r="AB332" s="54">
        <f>IF(NOTA[[#This Row],[JUMLAH]]="","",NOTA[[#This Row],[JUMLAH]]-NOTA[[#This Row],[DISC]])</f>
        <v>1715700</v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9">
        <f>IF(NOTA[[#This Row],[NAMA BARANG]]="","",IF(NOTA[[#This Row],[JUMLAH_H]]="",NOTA[[#This Row],[HARGA/ CTN]],NOTA[[#This Row],[QTY]]*NOTA[[#This Row],[HARGA SATUAN]]/IF(ISNUMBER(NOTA[[#This Row],[C]]),NOTA[[#This Row],[C]],1)))</f>
        <v>2064000</v>
      </c>
      <c r="AF332" s="54">
        <f>IF(OR(NOTA[[#This Row],[QTY]]="",NOTA[[#This Row],[HARGA SATUAN]]="",),"",NOTA[[#This Row],[QTY]]*NOTA[[#This Row],[HARGA SATUAN]])</f>
        <v>2064000</v>
      </c>
      <c r="AG332" s="51">
        <f ca="1">IF(NOTA[ID_H]="","",INDEX(NOTA[TANGGAL],MATCH(,INDIRECT(ADDRESS(ROW(NOTA[TANGGAL]),COLUMN(NOTA[TANGGAL]))&amp;":"&amp;ADDRESS(ROW(),COLUMN(NOTA[TANGGAL]))),-1)))</f>
        <v>44938</v>
      </c>
      <c r="AH332" s="65" t="str">
        <f ca="1">IF(NOTA[[#This Row],[NAMA BARANG]]="","",INDEX(NOTA[SUPPLIER],MATCH(,INDIRECT(ADDRESS(ROW(NOTA[ID]),COLUMN(NOTA[ID]))&amp;":"&amp;ADDRESS(ROW(),COLUMN(NOTA[ID]))),-1)))</f>
        <v>ATALI MAKMUR</v>
      </c>
      <c r="AI332" s="65" t="str">
        <f ca="1">IF(NOTA[[#This Row],[ID_H]]="","",IF(NOTA[[#This Row],[FAKTUR]]="",INDIRECT(ADDRESS(ROW()-1,COLUMN())),NOTA[[#This Row],[FAKTUR]]))</f>
        <v>ARTO MORO</v>
      </c>
      <c r="AJ332" s="38" t="str">
        <f ca="1">IF(NOTA[[#This Row],[ID]]="","",COUNTIF(NOTA[ID_H],NOTA[[#This Row],[ID_H]]))</f>
        <v/>
      </c>
      <c r="AK332" s="38">
        <f ca="1">IF(NOTA[[#This Row],[TGL.NOTA]]="",IF(NOTA[[#This Row],[SUPPLIER_H]]="","",AK331),MONTH(NOTA[[#This Row],[TGL.NOTA]]))</f>
        <v>1</v>
      </c>
      <c r="AL332" s="38" t="str">
        <f>LOWER(SUBSTITUTE(SUBSTITUTE(SUBSTITUTE(SUBSTITUTE(SUBSTITUTE(SUBSTITUTE(SUBSTITUTE(SUBSTITUTE(SUBSTITUTE(NOTA[NAMA BARANG]," ",),".",""),"-",""),"(",""),")",""),",",""),"/",""),"""",""),"+",""))</f>
        <v>datestamps68lunasjk</v>
      </c>
      <c r="AM332" s="38" t="str">
        <f>IF(NOTA[C]="",NOTA[[#This Row],[CONCAT1]]&amp;NOTA[[#This Row],[HARGA SATUAN]],NOTA[[#This Row],[CONCAT1]]&amp;NOTA[[#This Row],[HARGA/ CTN_H]]&amp;NOTA[[#This Row],[DISC 1]]&amp;NOTA[[#This Row],[DISC 2]])</f>
        <v>datestamps68lunasjk20640000.1250.05</v>
      </c>
      <c r="AN332" s="184">
        <f>IF(NOTA[[#This Row],[CONCAT1]]="","",MATCH(NOTA[[#This Row],[CONCAT1]],[1]!db[NB NOTA_C],0)+1)</f>
        <v>579</v>
      </c>
    </row>
    <row r="333" spans="1:40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Row],[CEK_EXP]]&lt;D332,"err","")</f>
        <v/>
      </c>
      <c r="D333" s="50">
        <f>IF(NOTA[[#This Row],[TANGGAL]]="",D332,NOTA[[#This Row],[TANGGAL]])</f>
        <v>44938</v>
      </c>
      <c r="E333" s="50">
        <f ca="1">IF(NOTA[[#This Row],[NAMA BARANG]]="","",INDEX(NOTA[ID],MATCH(,INDIRECT(ADDRESS(ROW(NOTA[ID]),COLUMN(NOTA[ID]))&amp;":"&amp;ADDRESS(ROW(),COLUMN(NOTA[ID]))),-1)))</f>
        <v>65</v>
      </c>
      <c r="F333" s="23"/>
      <c r="G333" s="26"/>
      <c r="H333" s="26"/>
      <c r="I333" s="31"/>
      <c r="J333" s="26"/>
      <c r="K333" s="51"/>
      <c r="L333" s="26"/>
      <c r="M333" s="26" t="s">
        <v>489</v>
      </c>
      <c r="N333" s="39">
        <v>1</v>
      </c>
      <c r="O333" s="26">
        <v>720</v>
      </c>
      <c r="P333" s="26" t="s">
        <v>104</v>
      </c>
      <c r="Q333" s="49">
        <v>4600</v>
      </c>
      <c r="R333" s="52"/>
      <c r="S333" s="39" t="s">
        <v>490</v>
      </c>
      <c r="T333" s="53">
        <v>0.125</v>
      </c>
      <c r="U333" s="53">
        <v>0.05</v>
      </c>
      <c r="V333" s="54"/>
      <c r="W333" s="37"/>
      <c r="X333" s="54">
        <f>IF(NOTA[[#This Row],[HARGA/ CTN]]="",NOTA[[#This Row],[JUMLAH_H]],NOTA[[#This Row],[HARGA/ CTN]]*IF(NOTA[[#This Row],[C]]="",0,NOTA[[#This Row],[C]]))</f>
        <v>3312000</v>
      </c>
      <c r="Y333" s="54">
        <f>IF(NOTA[[#This Row],[JUMLAH]]="","",NOTA[[#This Row],[JUMLAH]]*NOTA[[#This Row],[DISC 1]])</f>
        <v>414000</v>
      </c>
      <c r="Z333" s="54">
        <f>IF(NOTA[[#This Row],[JUMLAH]]="","",(NOTA[[#This Row],[JUMLAH]]-NOTA[[#This Row],[DISC 1-]])*NOTA[[#This Row],[DISC 2]])</f>
        <v>144900</v>
      </c>
      <c r="AA333" s="54">
        <f>IF(NOTA[[#This Row],[JUMLAH]]="","",NOTA[[#This Row],[DISC 1-]]+NOTA[[#This Row],[DISC 2-]])</f>
        <v>558900</v>
      </c>
      <c r="AB333" s="54">
        <f>IF(NOTA[[#This Row],[JUMLAH]]="","",NOTA[[#This Row],[JUMLAH]]-NOTA[[#This Row],[DISC]])</f>
        <v>2753100</v>
      </c>
      <c r="AC3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11708718.75</v>
      </c>
      <c r="AD3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57676281.25</v>
      </c>
      <c r="AE333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333" s="54">
        <f>IF(OR(NOTA[[#This Row],[QTY]]="",NOTA[[#This Row],[HARGA SATUAN]]="",),"",NOTA[[#This Row],[QTY]]*NOTA[[#This Row],[HARGA SATUAN]])</f>
        <v>3312000</v>
      </c>
      <c r="AG333" s="51">
        <f ca="1">IF(NOTA[ID_H]="","",INDEX(NOTA[TANGGAL],MATCH(,INDIRECT(ADDRESS(ROW(NOTA[TANGGAL]),COLUMN(NOTA[TANGGAL]))&amp;":"&amp;ADDRESS(ROW(),COLUMN(NOTA[TANGGAL]))),-1)))</f>
        <v>44938</v>
      </c>
      <c r="AH333" s="65" t="str">
        <f ca="1">IF(NOTA[[#This Row],[NAMA BARANG]]="","",INDEX(NOTA[SUPPLIER],MATCH(,INDIRECT(ADDRESS(ROW(NOTA[ID]),COLUMN(NOTA[ID]))&amp;":"&amp;ADDRESS(ROW(),COLUMN(NOTA[ID]))),-1)))</f>
        <v>ATALI MAKMUR</v>
      </c>
      <c r="AI333" s="65" t="str">
        <f ca="1">IF(NOTA[[#This Row],[ID_H]]="","",IF(NOTA[[#This Row],[FAKTUR]]="",INDIRECT(ADDRESS(ROW()-1,COLUMN())),NOTA[[#This Row],[FAKTUR]]))</f>
        <v>ARTO MORO</v>
      </c>
      <c r="AJ333" s="38" t="str">
        <f ca="1">IF(NOTA[[#This Row],[ID]]="","",COUNTIF(NOTA[ID_H],NOTA[[#This Row],[ID_H]]))</f>
        <v/>
      </c>
      <c r="AK333" s="38">
        <f ca="1">IF(NOTA[[#This Row],[TGL.NOTA]]="",IF(NOTA[[#This Row],[SUPPLIER_H]]="","",AK332),MONTH(NOTA[[#This Row],[TGL.NOTA]]))</f>
        <v>1</v>
      </c>
      <c r="AL33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M333" s="38" t="str">
        <f>IF(NOTA[C]="",NOTA[[#This Row],[CONCAT1]]&amp;NOTA[[#This Row],[HARGA SATUAN]],NOTA[[#This Row],[CONCAT1]]&amp;NOTA[[#This Row],[HARGA/ CTN_H]]&amp;NOTA[[#This Row],[DISC 1]]&amp;NOTA[[#This Row],[DISC 2]])</f>
        <v>correctiontapect507jk33120000.1250.05</v>
      </c>
      <c r="AN333" s="184">
        <f>IF(NOTA[[#This Row],[CONCAT1]]="","",MATCH(NOTA[[#This Row],[CONCAT1]],[1]!db[NB NOTA_C],0)+1)</f>
        <v>517</v>
      </c>
    </row>
    <row r="334" spans="1:40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Row],[CEK_EXP]]&lt;D333,"err","")</f>
        <v/>
      </c>
      <c r="D334" s="50">
        <f>IF(NOTA[[#This Row],[TANGGAL]]="",D333,NOTA[[#This Row],[TANGGAL]])</f>
        <v>44938</v>
      </c>
      <c r="E334" s="50" t="str">
        <f ca="1">IF(NOTA[[#This Row],[NAMA BARANG]]="","",INDEX(NOTA[ID],MATCH(,INDIRECT(ADDRESS(ROW(NOTA[ID]),COLUMN(NOTA[ID]))&amp;":"&amp;ADDRESS(ROW(),COLUMN(NOTA[ID]))),-1)))</f>
        <v/>
      </c>
      <c r="F334" s="23"/>
      <c r="G334" s="26"/>
      <c r="H334" s="26"/>
      <c r="I334" s="31"/>
      <c r="J334" s="26"/>
      <c r="K334" s="51"/>
      <c r="L334" s="26"/>
      <c r="M334" s="26"/>
      <c r="N334" s="39"/>
      <c r="O334" s="26"/>
      <c r="P334" s="26"/>
      <c r="Q334" s="49"/>
      <c r="R334" s="52"/>
      <c r="S334" s="39"/>
      <c r="T334" s="53"/>
      <c r="U334" s="53"/>
      <c r="V334" s="54"/>
      <c r="W334" s="37"/>
      <c r="X334" s="54" t="str">
        <f>IF(NOTA[[#This Row],[HARGA/ CTN]]="",NOTA[[#This Row],[JUMLAH_H]],NOTA[[#This Row],[HARGA/ CTN]]*IF(NOTA[[#This Row],[C]]="",0,NOTA[[#This Row],[C]]))</f>
        <v/>
      </c>
      <c r="Y334" s="54" t="str">
        <f>IF(NOTA[[#This Row],[JUMLAH]]="","",NOTA[[#This Row],[JUMLAH]]*NOTA[[#This Row],[DISC 1]])</f>
        <v/>
      </c>
      <c r="Z334" s="54" t="str">
        <f>IF(NOTA[[#This Row],[JUMLAH]]="","",(NOTA[[#This Row],[JUMLAH]]-NOTA[[#This Row],[DISC 1-]])*NOTA[[#This Row],[DISC 2]])</f>
        <v/>
      </c>
      <c r="AA334" s="54" t="str">
        <f>IF(NOTA[[#This Row],[JUMLAH]]="","",NOTA[[#This Row],[DISC 1-]]+NOTA[[#This Row],[DISC 2-]])</f>
        <v/>
      </c>
      <c r="AB334" s="54" t="str">
        <f>IF(NOTA[[#This Row],[JUMLAH]]="","",NOTA[[#This Row],[JUMLAH]]-NOTA[[#This Row],[DISC]])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4" t="str">
        <f>IF(OR(NOTA[[#This Row],[QTY]]="",NOTA[[#This Row],[HARGA SATUAN]]="",),"",NOTA[[#This Row],[QTY]]*NOTA[[#This Row],[HARGA SATUAN]])</f>
        <v/>
      </c>
      <c r="AG334" s="51" t="str">
        <f ca="1">IF(NOTA[ID_H]="","",INDEX(NOTA[TANGGAL],MATCH(,INDIRECT(ADDRESS(ROW(NOTA[TANGGAL]),COLUMN(NOTA[TANGGAL]))&amp;":"&amp;ADDRESS(ROW(),COLUMN(NOTA[TANGGAL]))),-1)))</f>
        <v/>
      </c>
      <c r="AH334" s="65" t="str">
        <f ca="1">IF(NOTA[[#This Row],[NAMA BARANG]]="","",INDEX(NOTA[SUPPLIER],MATCH(,INDIRECT(ADDRESS(ROW(NOTA[ID]),COLUMN(NOTA[ID]))&amp;":"&amp;ADDRESS(ROW(),COLUMN(NOTA[ID]))),-1)))</f>
        <v/>
      </c>
      <c r="AI334" s="65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IF(NOTA[C]="",NOTA[[#This Row],[CONCAT1]]&amp;NOTA[[#This Row],[HARGA SATUAN]],NOTA[[#This Row],[CONCAT1]]&amp;NOTA[[#This Row],[HARGA/ CTN_H]]&amp;NOTA[[#This Row],[DISC 1]]&amp;NOTA[[#This Row],[DISC 2]])</f>
        <v/>
      </c>
      <c r="AN334" s="184" t="str">
        <f>IF(NOTA[[#This Row],[CONCAT1]]="","",MATCH(NOTA[[#This Row],[CONCAT1]],[1]!db[NB NOTA_C],0)+1)</f>
        <v/>
      </c>
    </row>
    <row r="335" spans="1:40" ht="20.100000000000001" customHeight="1" x14ac:dyDescent="0.25">
      <c r="A33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ATA_1201_432-9</v>
      </c>
      <c r="C335" s="50" t="str">
        <f>IF(NOTA[[#This Row],[CEK_EXP]]&lt;D334,"err","")</f>
        <v/>
      </c>
      <c r="D335" s="50">
        <f>IF(NOTA[[#This Row],[TANGGAL]]="",D334,NOTA[[#This Row],[TANGGAL]])</f>
        <v>44938</v>
      </c>
      <c r="E335" s="50">
        <f ca="1">IF(NOTA[[#This Row],[NAMA BARANG]]="","",INDEX(NOTA[ID],MATCH(,INDIRECT(ADDRESS(ROW(NOTA[ID]),COLUMN(NOTA[ID]))&amp;":"&amp;ADDRESS(ROW(),COLUMN(NOTA[ID]))),-1)))</f>
        <v>66</v>
      </c>
      <c r="F335" s="23"/>
      <c r="G335" s="26" t="s">
        <v>25</v>
      </c>
      <c r="H335" s="26" t="s">
        <v>24</v>
      </c>
      <c r="I335" s="31" t="s">
        <v>491</v>
      </c>
      <c r="J335" s="26"/>
      <c r="K335" s="51">
        <v>44933</v>
      </c>
      <c r="L335" s="26"/>
      <c r="M335" s="26" t="s">
        <v>541</v>
      </c>
      <c r="N335" s="39">
        <v>1</v>
      </c>
      <c r="O335" s="26">
        <v>288</v>
      </c>
      <c r="P335" s="26" t="s">
        <v>104</v>
      </c>
      <c r="Q335" s="49">
        <v>4800</v>
      </c>
      <c r="R335" s="52"/>
      <c r="S335" s="39" t="s">
        <v>492</v>
      </c>
      <c r="T335" s="53">
        <v>0.125</v>
      </c>
      <c r="U335" s="53">
        <v>0.05</v>
      </c>
      <c r="V335" s="54"/>
      <c r="W335" s="37"/>
      <c r="X335" s="54">
        <f>IF(NOTA[[#This Row],[HARGA/ CTN]]="",NOTA[[#This Row],[JUMLAH_H]],NOTA[[#This Row],[HARGA/ CTN]]*IF(NOTA[[#This Row],[C]]="",0,NOTA[[#This Row],[C]]))</f>
        <v>1382400</v>
      </c>
      <c r="Y335" s="54">
        <f>IF(NOTA[[#This Row],[JUMLAH]]="","",NOTA[[#This Row],[JUMLAH]]*NOTA[[#This Row],[DISC 1]])</f>
        <v>172800</v>
      </c>
      <c r="Z335" s="54">
        <f>IF(NOTA[[#This Row],[JUMLAH]]="","",(NOTA[[#This Row],[JUMLAH]]-NOTA[[#This Row],[DISC 1-]])*NOTA[[#This Row],[DISC 2]])</f>
        <v>60480</v>
      </c>
      <c r="AA335" s="54">
        <f>IF(NOTA[[#This Row],[JUMLAH]]="","",NOTA[[#This Row],[DISC 1-]]+NOTA[[#This Row],[DISC 2-]])</f>
        <v>233280</v>
      </c>
      <c r="AB335" s="54">
        <f>IF(NOTA[[#This Row],[JUMLAH]]="","",NOTA[[#This Row],[JUMLAH]]-NOTA[[#This Row],[DISC]])</f>
        <v>1149120</v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335" s="54">
        <f>IF(OR(NOTA[[#This Row],[QTY]]="",NOTA[[#This Row],[HARGA SATUAN]]="",),"",NOTA[[#This Row],[QTY]]*NOTA[[#This Row],[HARGA SATUAN]])</f>
        <v>1382400</v>
      </c>
      <c r="AG335" s="51">
        <f ca="1">IF(NOTA[ID_H]="","",INDEX(NOTA[TANGGAL],MATCH(,INDIRECT(ADDRESS(ROW(NOTA[TANGGAL]),COLUMN(NOTA[TANGGAL]))&amp;":"&amp;ADDRESS(ROW(),COLUMN(NOTA[TANGGAL]))),-1)))</f>
        <v>44938</v>
      </c>
      <c r="AH335" s="65" t="str">
        <f ca="1">IF(NOTA[[#This Row],[NAMA BARANG]]="","",INDEX(NOTA[SUPPLIER],MATCH(,INDIRECT(ADDRESS(ROW(NOTA[ID]),COLUMN(NOTA[ID]))&amp;":"&amp;ADDRESS(ROW(),COLUMN(NOTA[ID]))),-1)))</f>
        <v>ATALI MAKMUR</v>
      </c>
      <c r="AI335" s="65" t="str">
        <f ca="1">IF(NOTA[[#This Row],[ID_H]]="","",IF(NOTA[[#This Row],[FAKTUR]]="",INDIRECT(ADDRESS(ROW()-1,COLUMN())),NOTA[[#This Row],[FAKTUR]]))</f>
        <v>ARTO MORO</v>
      </c>
      <c r="AJ335" s="38">
        <f ca="1">IF(NOTA[[#This Row],[ID]]="","",COUNTIF(NOTA[ID_H],NOTA[[#This Row],[ID_H]]))</f>
        <v>9</v>
      </c>
      <c r="AK335" s="38">
        <f>IF(NOTA[[#This Row],[TGL.NOTA]]="",IF(NOTA[[#This Row],[SUPPLIER_H]]="","",AK334),MONTH(NOTA[[#This Row],[TGL.NOTA]]))</f>
        <v>1</v>
      </c>
      <c r="AL335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335" s="38" t="str">
        <f>IF(NOTA[C]="",NOTA[[#This Row],[CONCAT1]]&amp;NOTA[[#This Row],[HARGA SATUAN]],NOTA[[#This Row],[CONCAT1]]&amp;NOTA[[#This Row],[HARGA/ CTN_H]]&amp;NOTA[[#This Row],[DISC 1]]&amp;NOTA[[#This Row],[DISC 2]])</f>
        <v>pencilcasepc0719ac36afanimalcalenderjk13824000.1250.05</v>
      </c>
      <c r="AN335" s="184">
        <f>IF(NOTA[[#This Row],[CONCAT1]]="","",MATCH(NOTA[[#This Row],[CONCAT1]],[1]!db[NB NOTA_C],0)+1)</f>
        <v>1743</v>
      </c>
    </row>
    <row r="336" spans="1:40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Row],[CEK_EXP]]&lt;D335,"err","")</f>
        <v/>
      </c>
      <c r="D336" s="50">
        <f>IF(NOTA[[#This Row],[TANGGAL]]="",D335,NOTA[[#This Row],[TANGGAL]])</f>
        <v>44938</v>
      </c>
      <c r="E336" s="50">
        <f ca="1">IF(NOTA[[#This Row],[NAMA BARANG]]="","",INDEX(NOTA[ID],MATCH(,INDIRECT(ADDRESS(ROW(NOTA[ID]),COLUMN(NOTA[ID]))&amp;":"&amp;ADDRESS(ROW(),COLUMN(NOTA[ID]))),-1)))</f>
        <v>66</v>
      </c>
      <c r="F336" s="23"/>
      <c r="G336" s="26"/>
      <c r="H336" s="26"/>
      <c r="I336" s="31"/>
      <c r="J336" s="26"/>
      <c r="K336" s="51"/>
      <c r="L336" s="26"/>
      <c r="M336" s="26" t="s">
        <v>493</v>
      </c>
      <c r="N336" s="39">
        <v>1</v>
      </c>
      <c r="O336" s="26">
        <v>288</v>
      </c>
      <c r="P336" s="26" t="s">
        <v>104</v>
      </c>
      <c r="Q336" s="49">
        <v>4800</v>
      </c>
      <c r="R336" s="52"/>
      <c r="S336" s="39" t="s">
        <v>494</v>
      </c>
      <c r="T336" s="53">
        <v>0.125</v>
      </c>
      <c r="U336" s="53">
        <v>0.05</v>
      </c>
      <c r="V336" s="54"/>
      <c r="W336" s="37"/>
      <c r="X336" s="54">
        <f>IF(NOTA[[#This Row],[HARGA/ CTN]]="",NOTA[[#This Row],[JUMLAH_H]],NOTA[[#This Row],[HARGA/ CTN]]*IF(NOTA[[#This Row],[C]]="",0,NOTA[[#This Row],[C]]))</f>
        <v>1382400</v>
      </c>
      <c r="Y336" s="54">
        <f>IF(NOTA[[#This Row],[JUMLAH]]="","",NOTA[[#This Row],[JUMLAH]]*NOTA[[#This Row],[DISC 1]])</f>
        <v>172800</v>
      </c>
      <c r="Z336" s="54">
        <f>IF(NOTA[[#This Row],[JUMLAH]]="","",(NOTA[[#This Row],[JUMLAH]]-NOTA[[#This Row],[DISC 1-]])*NOTA[[#This Row],[DISC 2]])</f>
        <v>60480</v>
      </c>
      <c r="AA336" s="54">
        <f>IF(NOTA[[#This Row],[JUMLAH]]="","",NOTA[[#This Row],[DISC 1-]]+NOTA[[#This Row],[DISC 2-]])</f>
        <v>233280</v>
      </c>
      <c r="AB336" s="54">
        <f>IF(NOTA[[#This Row],[JUMLAH]]="","",NOTA[[#This Row],[JUMLAH]]-NOTA[[#This Row],[DISC]])</f>
        <v>1149120</v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336" s="54">
        <f>IF(OR(NOTA[[#This Row],[QTY]]="",NOTA[[#This Row],[HARGA SATUAN]]="",),"",NOTA[[#This Row],[QTY]]*NOTA[[#This Row],[HARGA SATUAN]])</f>
        <v>1382400</v>
      </c>
      <c r="AG336" s="51">
        <f ca="1">IF(NOTA[ID_H]="","",INDEX(NOTA[TANGGAL],MATCH(,INDIRECT(ADDRESS(ROW(NOTA[TANGGAL]),COLUMN(NOTA[TANGGAL]))&amp;":"&amp;ADDRESS(ROW(),COLUMN(NOTA[TANGGAL]))),-1)))</f>
        <v>44938</v>
      </c>
      <c r="AH336" s="65" t="str">
        <f ca="1">IF(NOTA[[#This Row],[NAMA BARANG]]="","",INDEX(NOTA[SUPPLIER],MATCH(,INDIRECT(ADDRESS(ROW(NOTA[ID]),COLUMN(NOTA[ID]))&amp;":"&amp;ADDRESS(ROW(),COLUMN(NOTA[ID]))),-1)))</f>
        <v>ATALI MAKMUR</v>
      </c>
      <c r="AI336" s="65" t="str">
        <f ca="1">IF(NOTA[[#This Row],[ID_H]]="","",IF(NOTA[[#This Row],[FAKTUR]]="",INDIRECT(ADDRESS(ROW()-1,COLUMN())),NOTA[[#This Row],[FAKTUR]]))</f>
        <v>ARTO MORO</v>
      </c>
      <c r="AJ336" s="38" t="str">
        <f ca="1">IF(NOTA[[#This Row],[ID]]="","",COUNTIF(NOTA[ID_H],NOTA[[#This Row],[ID_H]]))</f>
        <v/>
      </c>
      <c r="AK336" s="38">
        <f ca="1">IF(NOTA[[#This Row],[TGL.NOTA]]="",IF(NOTA[[#This Row],[SUPPLIER_H]]="","",AK335),MONTH(NOTA[[#This Row],[TGL.NOTA]]))</f>
        <v>1</v>
      </c>
      <c r="AL336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336" s="38" t="str">
        <f>IF(NOTA[C]="",NOTA[[#This Row],[CONCAT1]]&amp;NOTA[[#This Row],[HARGA SATUAN]],NOTA[[#This Row],[CONCAT1]]&amp;NOTA[[#This Row],[HARGA/ CTN_H]]&amp;NOTA[[#This Row],[DISC 1]]&amp;NOTA[[#This Row],[DISC 2]])</f>
        <v>pencilcasepc0719tv33aftraveljk13824000.1250.05</v>
      </c>
      <c r="AN336" s="184">
        <f>IF(NOTA[[#This Row],[CONCAT1]]="","",MATCH(NOTA[[#This Row],[CONCAT1]],[1]!db[NB NOTA_C],0)+1)</f>
        <v>1755</v>
      </c>
    </row>
    <row r="337" spans="1:40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Row],[CEK_EXP]]&lt;D336,"err","")</f>
        <v/>
      </c>
      <c r="D337" s="50">
        <f>IF(NOTA[[#This Row],[TANGGAL]]="",D336,NOTA[[#This Row],[TANGGAL]])</f>
        <v>44938</v>
      </c>
      <c r="E337" s="50">
        <f ca="1">IF(NOTA[[#This Row],[NAMA BARANG]]="","",INDEX(NOTA[ID],MATCH(,INDIRECT(ADDRESS(ROW(NOTA[ID]),COLUMN(NOTA[ID]))&amp;":"&amp;ADDRESS(ROW(),COLUMN(NOTA[ID]))),-1)))</f>
        <v>66</v>
      </c>
      <c r="F337" s="23"/>
      <c r="G337" s="26"/>
      <c r="H337" s="26"/>
      <c r="I337" s="31"/>
      <c r="J337" s="26"/>
      <c r="K337" s="51"/>
      <c r="L337" s="26"/>
      <c r="M337" s="26" t="s">
        <v>495</v>
      </c>
      <c r="N337" s="39"/>
      <c r="O337" s="26">
        <v>72</v>
      </c>
      <c r="P337" s="26" t="s">
        <v>104</v>
      </c>
      <c r="Q337" s="49">
        <v>4800</v>
      </c>
      <c r="R337" s="52"/>
      <c r="S337" s="39" t="s">
        <v>492</v>
      </c>
      <c r="T337" s="53">
        <v>0.125</v>
      </c>
      <c r="U337" s="53">
        <v>0.05</v>
      </c>
      <c r="V337" s="54"/>
      <c r="W337" s="37"/>
      <c r="X337" s="54">
        <f>IF(NOTA[[#This Row],[HARGA/ CTN]]="",NOTA[[#This Row],[JUMLAH_H]],NOTA[[#This Row],[HARGA/ CTN]]*IF(NOTA[[#This Row],[C]]="",0,NOTA[[#This Row],[C]]))</f>
        <v>345600</v>
      </c>
      <c r="Y337" s="54">
        <f>IF(NOTA[[#This Row],[JUMLAH]]="","",NOTA[[#This Row],[JUMLAH]]*NOTA[[#This Row],[DISC 1]])</f>
        <v>43200</v>
      </c>
      <c r="Z337" s="54">
        <f>IF(NOTA[[#This Row],[JUMLAH]]="","",(NOTA[[#This Row],[JUMLAH]]-NOTA[[#This Row],[DISC 1-]])*NOTA[[#This Row],[DISC 2]])</f>
        <v>15120</v>
      </c>
      <c r="AA337" s="54">
        <f>IF(NOTA[[#This Row],[JUMLAH]]="","",NOTA[[#This Row],[DISC 1-]]+NOTA[[#This Row],[DISC 2-]])</f>
        <v>58320</v>
      </c>
      <c r="AB337" s="54">
        <f>IF(NOTA[[#This Row],[JUMLAH]]="","",NOTA[[#This Row],[JUMLAH]]-NOTA[[#This Row],[DISC]])</f>
        <v>287280</v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37" s="54">
        <f>IF(OR(NOTA[[#This Row],[QTY]]="",NOTA[[#This Row],[HARGA SATUAN]]="",),"",NOTA[[#This Row],[QTY]]*NOTA[[#This Row],[HARGA SATUAN]])</f>
        <v>345600</v>
      </c>
      <c r="AG337" s="51">
        <f ca="1">IF(NOTA[ID_H]="","",INDEX(NOTA[TANGGAL],MATCH(,INDIRECT(ADDRESS(ROW(NOTA[TANGGAL]),COLUMN(NOTA[TANGGAL]))&amp;":"&amp;ADDRESS(ROW(),COLUMN(NOTA[TANGGAL]))),-1)))</f>
        <v>44938</v>
      </c>
      <c r="AH337" s="65" t="str">
        <f ca="1">IF(NOTA[[#This Row],[NAMA BARANG]]="","",INDEX(NOTA[SUPPLIER],MATCH(,INDIRECT(ADDRESS(ROW(NOTA[ID]),COLUMN(NOTA[ID]))&amp;":"&amp;ADDRESS(ROW(),COLUMN(NOTA[ID]))),-1)))</f>
        <v>ATALI MAKMUR</v>
      </c>
      <c r="AI337" s="65" t="str">
        <f ca="1">IF(NOTA[[#This Row],[ID_H]]="","",IF(NOTA[[#This Row],[FAKTUR]]="",INDIRECT(ADDRESS(ROW()-1,COLUMN())),NOTA[[#This Row],[FAKTUR]]))</f>
        <v>ARTO MORO</v>
      </c>
      <c r="AJ337" s="38" t="str">
        <f ca="1">IF(NOTA[[#This Row],[ID]]="","",COUNTIF(NOTA[ID_H],NOTA[[#This Row],[ID_H]]))</f>
        <v/>
      </c>
      <c r="AK337" s="38">
        <f ca="1">IF(NOTA[[#This Row],[TGL.NOTA]]="",IF(NOTA[[#This Row],[SUPPLIER_H]]="","",AK336),MONTH(NOTA[[#This Row],[TGL.NOTA]]))</f>
        <v>1</v>
      </c>
      <c r="AL337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337" s="38" t="str">
        <f>IF(NOTA[C]="",NOTA[[#This Row],[CONCAT1]]&amp;NOTA[[#This Row],[HARGA SATUAN]],NOTA[[#This Row],[CONCAT1]]&amp;NOTA[[#This Row],[HARGA/ CTN_H]]&amp;NOTA[[#This Row],[DISC 1]]&amp;NOTA[[#This Row],[DISC 2]])</f>
        <v>pencilcasepc0719pstl35bluejk4800</v>
      </c>
      <c r="AN337" s="184">
        <f>IF(NOTA[[#This Row],[CONCAT1]]="","",MATCH(NOTA[[#This Row],[CONCAT1]],[1]!db[NB NOTA_C],0)+1)</f>
        <v>1750</v>
      </c>
    </row>
    <row r="338" spans="1:40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Row],[CEK_EXP]]&lt;D337,"err","")</f>
        <v/>
      </c>
      <c r="D338" s="50">
        <f>IF(NOTA[[#This Row],[TANGGAL]]="",D337,NOTA[[#This Row],[TANGGAL]])</f>
        <v>44938</v>
      </c>
      <c r="E338" s="50">
        <f ca="1">IF(NOTA[[#This Row],[NAMA BARANG]]="","",INDEX(NOTA[ID],MATCH(,INDIRECT(ADDRESS(ROW(NOTA[ID]),COLUMN(NOTA[ID]))&amp;":"&amp;ADDRESS(ROW(),COLUMN(NOTA[ID]))),-1)))</f>
        <v>66</v>
      </c>
      <c r="F338" s="23"/>
      <c r="G338" s="26"/>
      <c r="H338" s="26"/>
      <c r="I338" s="31"/>
      <c r="J338" s="26"/>
      <c r="K338" s="51"/>
      <c r="L338" s="26"/>
      <c r="M338" s="26" t="s">
        <v>496</v>
      </c>
      <c r="N338" s="39"/>
      <c r="O338" s="26">
        <v>72</v>
      </c>
      <c r="P338" s="26" t="s">
        <v>104</v>
      </c>
      <c r="Q338" s="49">
        <v>4800</v>
      </c>
      <c r="R338" s="52"/>
      <c r="S338" s="39" t="s">
        <v>492</v>
      </c>
      <c r="T338" s="53">
        <v>0.125</v>
      </c>
      <c r="U338" s="53">
        <v>0.05</v>
      </c>
      <c r="V338" s="54"/>
      <c r="W338" s="37"/>
      <c r="X338" s="54">
        <f>IF(NOTA[[#This Row],[HARGA/ CTN]]="",NOTA[[#This Row],[JUMLAH_H]],NOTA[[#This Row],[HARGA/ CTN]]*IF(NOTA[[#This Row],[C]]="",0,NOTA[[#This Row],[C]]))</f>
        <v>345600</v>
      </c>
      <c r="Y338" s="54">
        <f>IF(NOTA[[#This Row],[JUMLAH]]="","",NOTA[[#This Row],[JUMLAH]]*NOTA[[#This Row],[DISC 1]])</f>
        <v>43200</v>
      </c>
      <c r="Z338" s="54">
        <f>IF(NOTA[[#This Row],[JUMLAH]]="","",(NOTA[[#This Row],[JUMLAH]]-NOTA[[#This Row],[DISC 1-]])*NOTA[[#This Row],[DISC 2]])</f>
        <v>15120</v>
      </c>
      <c r="AA338" s="54">
        <f>IF(NOTA[[#This Row],[JUMLAH]]="","",NOTA[[#This Row],[DISC 1-]]+NOTA[[#This Row],[DISC 2-]])</f>
        <v>58320</v>
      </c>
      <c r="AB338" s="54">
        <f>IF(NOTA[[#This Row],[JUMLAH]]="","",NOTA[[#This Row],[JUMLAH]]-NOTA[[#This Row],[DISC]])</f>
        <v>287280</v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38" s="54">
        <f>IF(OR(NOTA[[#This Row],[QTY]]="",NOTA[[#This Row],[HARGA SATUAN]]="",),"",NOTA[[#This Row],[QTY]]*NOTA[[#This Row],[HARGA SATUAN]])</f>
        <v>345600</v>
      </c>
      <c r="AG338" s="51">
        <f ca="1">IF(NOTA[ID_H]="","",INDEX(NOTA[TANGGAL],MATCH(,INDIRECT(ADDRESS(ROW(NOTA[TANGGAL]),COLUMN(NOTA[TANGGAL]))&amp;":"&amp;ADDRESS(ROW(),COLUMN(NOTA[TANGGAL]))),-1)))</f>
        <v>44938</v>
      </c>
      <c r="AH338" s="65" t="str">
        <f ca="1">IF(NOTA[[#This Row],[NAMA BARANG]]="","",INDEX(NOTA[SUPPLIER],MATCH(,INDIRECT(ADDRESS(ROW(NOTA[ID]),COLUMN(NOTA[ID]))&amp;":"&amp;ADDRESS(ROW(),COLUMN(NOTA[ID]))),-1)))</f>
        <v>ATALI MAKMUR</v>
      </c>
      <c r="AI338" s="65" t="str">
        <f ca="1">IF(NOTA[[#This Row],[ID_H]]="","",IF(NOTA[[#This Row],[FAKTUR]]="",INDIRECT(ADDRESS(ROW()-1,COLUMN())),NOTA[[#This Row],[FAKTUR]]))</f>
        <v>ARTO MORO</v>
      </c>
      <c r="AJ338" s="38" t="str">
        <f ca="1">IF(NOTA[[#This Row],[ID]]="","",COUNTIF(NOTA[ID_H],NOTA[[#This Row],[ID_H]]))</f>
        <v/>
      </c>
      <c r="AK338" s="38">
        <f ca="1">IF(NOTA[[#This Row],[TGL.NOTA]]="",IF(NOTA[[#This Row],[SUPPLIER_H]]="","",AK337),MONTH(NOTA[[#This Row],[TGL.NOTA]]))</f>
        <v>1</v>
      </c>
      <c r="AL338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338" s="38" t="str">
        <f>IF(NOTA[C]="",NOTA[[#This Row],[CONCAT1]]&amp;NOTA[[#This Row],[HARGA SATUAN]],NOTA[[#This Row],[CONCAT1]]&amp;NOTA[[#This Row],[HARGA/ CTN_H]]&amp;NOTA[[#This Row],[DISC 1]]&amp;NOTA[[#This Row],[DISC 2]])</f>
        <v>pencilcasepc0719pstl35greenjk4800</v>
      </c>
      <c r="AN338" s="184">
        <f>IF(NOTA[[#This Row],[CONCAT1]]="","",MATCH(NOTA[[#This Row],[CONCAT1]],[1]!db[NB NOTA_C],0)+1)</f>
        <v>1751</v>
      </c>
    </row>
    <row r="339" spans="1:40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Row],[CEK_EXP]]&lt;D338,"err","")</f>
        <v/>
      </c>
      <c r="D339" s="50">
        <f>IF(NOTA[[#This Row],[TANGGAL]]="",D338,NOTA[[#This Row],[TANGGAL]])</f>
        <v>44938</v>
      </c>
      <c r="E339" s="50">
        <f ca="1">IF(NOTA[[#This Row],[NAMA BARANG]]="","",INDEX(NOTA[ID],MATCH(,INDIRECT(ADDRESS(ROW(NOTA[ID]),COLUMN(NOTA[ID]))&amp;":"&amp;ADDRESS(ROW(),COLUMN(NOTA[ID]))),-1)))</f>
        <v>66</v>
      </c>
      <c r="F339" s="23"/>
      <c r="G339" s="26"/>
      <c r="H339" s="26"/>
      <c r="I339" s="31"/>
      <c r="J339" s="26"/>
      <c r="K339" s="51"/>
      <c r="L339" s="26"/>
      <c r="M339" s="26" t="s">
        <v>497</v>
      </c>
      <c r="N339" s="39"/>
      <c r="O339" s="26">
        <v>72</v>
      </c>
      <c r="P339" s="26" t="s">
        <v>104</v>
      </c>
      <c r="Q339" s="49">
        <v>4800</v>
      </c>
      <c r="R339" s="52"/>
      <c r="S339" s="39" t="s">
        <v>492</v>
      </c>
      <c r="T339" s="53">
        <v>0.125</v>
      </c>
      <c r="U339" s="53">
        <v>0.05</v>
      </c>
      <c r="V339" s="54"/>
      <c r="W339" s="37"/>
      <c r="X339" s="54">
        <f>IF(NOTA[[#This Row],[HARGA/ CTN]]="",NOTA[[#This Row],[JUMLAH_H]],NOTA[[#This Row],[HARGA/ CTN]]*IF(NOTA[[#This Row],[C]]="",0,NOTA[[#This Row],[C]]))</f>
        <v>345600</v>
      </c>
      <c r="Y339" s="54">
        <f>IF(NOTA[[#This Row],[JUMLAH]]="","",NOTA[[#This Row],[JUMLAH]]*NOTA[[#This Row],[DISC 1]])</f>
        <v>43200</v>
      </c>
      <c r="Z339" s="54">
        <f>IF(NOTA[[#This Row],[JUMLAH]]="","",(NOTA[[#This Row],[JUMLAH]]-NOTA[[#This Row],[DISC 1-]])*NOTA[[#This Row],[DISC 2]])</f>
        <v>15120</v>
      </c>
      <c r="AA339" s="54">
        <f>IF(NOTA[[#This Row],[JUMLAH]]="","",NOTA[[#This Row],[DISC 1-]]+NOTA[[#This Row],[DISC 2-]])</f>
        <v>58320</v>
      </c>
      <c r="AB339" s="54">
        <f>IF(NOTA[[#This Row],[JUMLAH]]="","",NOTA[[#This Row],[JUMLAH]]-NOTA[[#This Row],[DISC]])</f>
        <v>287280</v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39" s="54">
        <f>IF(OR(NOTA[[#This Row],[QTY]]="",NOTA[[#This Row],[HARGA SATUAN]]="",),"",NOTA[[#This Row],[QTY]]*NOTA[[#This Row],[HARGA SATUAN]])</f>
        <v>345600</v>
      </c>
      <c r="AG339" s="51">
        <f ca="1">IF(NOTA[ID_H]="","",INDEX(NOTA[TANGGAL],MATCH(,INDIRECT(ADDRESS(ROW(NOTA[TANGGAL]),COLUMN(NOTA[TANGGAL]))&amp;":"&amp;ADDRESS(ROW(),COLUMN(NOTA[TANGGAL]))),-1)))</f>
        <v>44938</v>
      </c>
      <c r="AH339" s="65" t="str">
        <f ca="1">IF(NOTA[[#This Row],[NAMA BARANG]]="","",INDEX(NOTA[SUPPLIER],MATCH(,INDIRECT(ADDRESS(ROW(NOTA[ID]),COLUMN(NOTA[ID]))&amp;":"&amp;ADDRESS(ROW(),COLUMN(NOTA[ID]))),-1)))</f>
        <v>ATALI MAKMUR</v>
      </c>
      <c r="AI339" s="65" t="str">
        <f ca="1">IF(NOTA[[#This Row],[ID_H]]="","",IF(NOTA[[#This Row],[FAKTUR]]="",INDIRECT(ADDRESS(ROW()-1,COLUMN())),NOTA[[#This Row],[FAKTUR]]))</f>
        <v>ARTO MORO</v>
      </c>
      <c r="AJ339" s="38" t="str">
        <f ca="1">IF(NOTA[[#This Row],[ID]]="","",COUNTIF(NOTA[ID_H],NOTA[[#This Row],[ID_H]]))</f>
        <v/>
      </c>
      <c r="AK339" s="38">
        <f ca="1">IF(NOTA[[#This Row],[TGL.NOTA]]="",IF(NOTA[[#This Row],[SUPPLIER_H]]="","",AK338),MONTH(NOTA[[#This Row],[TGL.NOTA]]))</f>
        <v>1</v>
      </c>
      <c r="AL339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339" s="38" t="str">
        <f>IF(NOTA[C]="",NOTA[[#This Row],[CONCAT1]]&amp;NOTA[[#This Row],[HARGA SATUAN]],NOTA[[#This Row],[CONCAT1]]&amp;NOTA[[#This Row],[HARGA/ CTN_H]]&amp;NOTA[[#This Row],[DISC 1]]&amp;NOTA[[#This Row],[DISC 2]])</f>
        <v>pencilcasepc0719pstl35pinkjk4800</v>
      </c>
      <c r="AN339" s="184">
        <f>IF(NOTA[[#This Row],[CONCAT1]]="","",MATCH(NOTA[[#This Row],[CONCAT1]],[1]!db[NB NOTA_C],0)+1)</f>
        <v>1752</v>
      </c>
    </row>
    <row r="340" spans="1:40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Row],[CEK_EXP]]&lt;D339,"err","")</f>
        <v/>
      </c>
      <c r="D340" s="50">
        <f>IF(NOTA[[#This Row],[TANGGAL]]="",D339,NOTA[[#This Row],[TANGGAL]])</f>
        <v>44938</v>
      </c>
      <c r="E340" s="50">
        <f ca="1">IF(NOTA[[#This Row],[NAMA BARANG]]="","",INDEX(NOTA[ID],MATCH(,INDIRECT(ADDRESS(ROW(NOTA[ID]),COLUMN(NOTA[ID]))&amp;":"&amp;ADDRESS(ROW(),COLUMN(NOTA[ID]))),-1)))</f>
        <v>66</v>
      </c>
      <c r="F340" s="23"/>
      <c r="G340" s="26"/>
      <c r="H340" s="26"/>
      <c r="I340" s="31"/>
      <c r="J340" s="26"/>
      <c r="K340" s="51"/>
      <c r="L340" s="26"/>
      <c r="M340" s="26" t="s">
        <v>498</v>
      </c>
      <c r="N340" s="39"/>
      <c r="O340" s="26">
        <v>72</v>
      </c>
      <c r="P340" s="26" t="s">
        <v>104</v>
      </c>
      <c r="Q340" s="49">
        <v>4800</v>
      </c>
      <c r="R340" s="52"/>
      <c r="S340" s="39" t="s">
        <v>492</v>
      </c>
      <c r="T340" s="53">
        <v>0.125</v>
      </c>
      <c r="U340" s="53">
        <v>0.05</v>
      </c>
      <c r="V340" s="54"/>
      <c r="W340" s="37"/>
      <c r="X340" s="54">
        <f>IF(NOTA[[#This Row],[HARGA/ CTN]]="",NOTA[[#This Row],[JUMLAH_H]],NOTA[[#This Row],[HARGA/ CTN]]*IF(NOTA[[#This Row],[C]]="",0,NOTA[[#This Row],[C]]))</f>
        <v>345600</v>
      </c>
      <c r="Y340" s="54">
        <f>IF(NOTA[[#This Row],[JUMLAH]]="","",NOTA[[#This Row],[JUMLAH]]*NOTA[[#This Row],[DISC 1]])</f>
        <v>43200</v>
      </c>
      <c r="Z340" s="54">
        <f>IF(NOTA[[#This Row],[JUMLAH]]="","",(NOTA[[#This Row],[JUMLAH]]-NOTA[[#This Row],[DISC 1-]])*NOTA[[#This Row],[DISC 2]])</f>
        <v>15120</v>
      </c>
      <c r="AA340" s="54">
        <f>IF(NOTA[[#This Row],[JUMLAH]]="","",NOTA[[#This Row],[DISC 1-]]+NOTA[[#This Row],[DISC 2-]])</f>
        <v>58320</v>
      </c>
      <c r="AB340" s="54">
        <f>IF(NOTA[[#This Row],[JUMLAH]]="","",NOTA[[#This Row],[JUMLAH]]-NOTA[[#This Row],[DISC]])</f>
        <v>287280</v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9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40" s="54">
        <f>IF(OR(NOTA[[#This Row],[QTY]]="",NOTA[[#This Row],[HARGA SATUAN]]="",),"",NOTA[[#This Row],[QTY]]*NOTA[[#This Row],[HARGA SATUAN]])</f>
        <v>345600</v>
      </c>
      <c r="AG340" s="51">
        <f ca="1">IF(NOTA[ID_H]="","",INDEX(NOTA[TANGGAL],MATCH(,INDIRECT(ADDRESS(ROW(NOTA[TANGGAL]),COLUMN(NOTA[TANGGAL]))&amp;":"&amp;ADDRESS(ROW(),COLUMN(NOTA[TANGGAL]))),-1)))</f>
        <v>44938</v>
      </c>
      <c r="AH340" s="65" t="str">
        <f ca="1">IF(NOTA[[#This Row],[NAMA BARANG]]="","",INDEX(NOTA[SUPPLIER],MATCH(,INDIRECT(ADDRESS(ROW(NOTA[ID]),COLUMN(NOTA[ID]))&amp;":"&amp;ADDRESS(ROW(),COLUMN(NOTA[ID]))),-1)))</f>
        <v>ATALI MAKMUR</v>
      </c>
      <c r="AI340" s="65" t="str">
        <f ca="1">IF(NOTA[[#This Row],[ID_H]]="","",IF(NOTA[[#This Row],[FAKTUR]]="",INDIRECT(ADDRESS(ROW()-1,COLUMN())),NOTA[[#This Row],[FAKTUR]]))</f>
        <v>ARTO MORO</v>
      </c>
      <c r="AJ340" s="38" t="str">
        <f ca="1">IF(NOTA[[#This Row],[ID]]="","",COUNTIF(NOTA[ID_H],NOTA[[#This Row],[ID_H]]))</f>
        <v/>
      </c>
      <c r="AK340" s="38">
        <f ca="1">IF(NOTA[[#This Row],[TGL.NOTA]]="",IF(NOTA[[#This Row],[SUPPLIER_H]]="","",AK339),MONTH(NOTA[[#This Row],[TGL.NOTA]]))</f>
        <v>1</v>
      </c>
      <c r="AL340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340" s="38" t="str">
        <f>IF(NOTA[C]="",NOTA[[#This Row],[CONCAT1]]&amp;NOTA[[#This Row],[HARGA SATUAN]],NOTA[[#This Row],[CONCAT1]]&amp;NOTA[[#This Row],[HARGA/ CTN_H]]&amp;NOTA[[#This Row],[DISC 1]]&amp;NOTA[[#This Row],[DISC 2]])</f>
        <v>pencilcasepc0719pstl35purplejk4800</v>
      </c>
      <c r="AN340" s="184">
        <f>IF(NOTA[[#This Row],[CONCAT1]]="","",MATCH(NOTA[[#This Row],[CONCAT1]],[1]!db[NB NOTA_C],0)+1)</f>
        <v>1753</v>
      </c>
    </row>
    <row r="341" spans="1:40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Row],[CEK_EXP]]&lt;D340,"err","")</f>
        <v/>
      </c>
      <c r="D341" s="50">
        <f>IF(NOTA[[#This Row],[TANGGAL]]="",D340,NOTA[[#This Row],[TANGGAL]])</f>
        <v>44938</v>
      </c>
      <c r="E341" s="50">
        <f ca="1">IF(NOTA[[#This Row],[NAMA BARANG]]="","",INDEX(NOTA[ID],MATCH(,INDIRECT(ADDRESS(ROW(NOTA[ID]),COLUMN(NOTA[ID]))&amp;":"&amp;ADDRESS(ROW(),COLUMN(NOTA[ID]))),-1)))</f>
        <v>66</v>
      </c>
      <c r="F341" s="23"/>
      <c r="G341" s="26"/>
      <c r="H341" s="26"/>
      <c r="I341" s="31"/>
      <c r="J341" s="26"/>
      <c r="K341" s="51"/>
      <c r="L341" s="26"/>
      <c r="M341" s="26" t="s">
        <v>499</v>
      </c>
      <c r="N341" s="39">
        <v>5</v>
      </c>
      <c r="O341" s="26">
        <v>120</v>
      </c>
      <c r="P341" s="26" t="s">
        <v>131</v>
      </c>
      <c r="Q341" s="49">
        <v>70800</v>
      </c>
      <c r="R341" s="52"/>
      <c r="S341" s="39" t="s">
        <v>500</v>
      </c>
      <c r="T341" s="53">
        <v>0.125</v>
      </c>
      <c r="U341" s="53">
        <v>0.05</v>
      </c>
      <c r="V341" s="54"/>
      <c r="W341" s="37"/>
      <c r="X341" s="54">
        <f>IF(NOTA[[#This Row],[HARGA/ CTN]]="",NOTA[[#This Row],[JUMLAH_H]],NOTA[[#This Row],[HARGA/ CTN]]*IF(NOTA[[#This Row],[C]]="",0,NOTA[[#This Row],[C]]))</f>
        <v>8496000</v>
      </c>
      <c r="Y341" s="54">
        <f>IF(NOTA[[#This Row],[JUMLAH]]="","",NOTA[[#This Row],[JUMLAH]]*NOTA[[#This Row],[DISC 1]])</f>
        <v>1062000</v>
      </c>
      <c r="Z341" s="54">
        <f>IF(NOTA[[#This Row],[JUMLAH]]="","",(NOTA[[#This Row],[JUMLAH]]-NOTA[[#This Row],[DISC 1-]])*NOTA[[#This Row],[DISC 2]])</f>
        <v>371700</v>
      </c>
      <c r="AA341" s="54">
        <f>IF(NOTA[[#This Row],[JUMLAH]]="","",NOTA[[#This Row],[DISC 1-]]+NOTA[[#This Row],[DISC 2-]])</f>
        <v>1433700</v>
      </c>
      <c r="AB341" s="54">
        <f>IF(NOTA[[#This Row],[JUMLAH]]="","",NOTA[[#This Row],[JUMLAH]]-NOTA[[#This Row],[DISC]])</f>
        <v>7062300</v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41" s="54">
        <f>IF(OR(NOTA[[#This Row],[QTY]]="",NOTA[[#This Row],[HARGA SATUAN]]="",),"",NOTA[[#This Row],[QTY]]*NOTA[[#This Row],[HARGA SATUAN]])</f>
        <v>8496000</v>
      </c>
      <c r="AG341" s="51">
        <f ca="1">IF(NOTA[ID_H]="","",INDEX(NOTA[TANGGAL],MATCH(,INDIRECT(ADDRESS(ROW(NOTA[TANGGAL]),COLUMN(NOTA[TANGGAL]))&amp;":"&amp;ADDRESS(ROW(),COLUMN(NOTA[TANGGAL]))),-1)))</f>
        <v>44938</v>
      </c>
      <c r="AH341" s="65" t="str">
        <f ca="1">IF(NOTA[[#This Row],[NAMA BARANG]]="","",INDEX(NOTA[SUPPLIER],MATCH(,INDIRECT(ADDRESS(ROW(NOTA[ID]),COLUMN(NOTA[ID]))&amp;":"&amp;ADDRESS(ROW(),COLUMN(NOTA[ID]))),-1)))</f>
        <v>ATALI MAKMUR</v>
      </c>
      <c r="AI341" s="65" t="str">
        <f ca="1">IF(NOTA[[#This Row],[ID_H]]="","",IF(NOTA[[#This Row],[FAKTUR]]="",INDIRECT(ADDRESS(ROW()-1,COLUMN())),NOTA[[#This Row],[FAKTUR]]))</f>
        <v>ARTO MORO</v>
      </c>
      <c r="AJ341" s="38" t="str">
        <f ca="1">IF(NOTA[[#This Row],[ID]]="","",COUNTIF(NOTA[ID_H],NOTA[[#This Row],[ID_H]]))</f>
        <v/>
      </c>
      <c r="AK341" s="38">
        <f ca="1">IF(NOTA[[#This Row],[TGL.NOTA]]="",IF(NOTA[[#This Row],[SUPPLIER_H]]="","",AK340),MONTH(NOTA[[#This Row],[TGL.NOTA]]))</f>
        <v>1</v>
      </c>
      <c r="AL341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341" s="38" t="str">
        <f>IF(NOTA[C]="",NOTA[[#This Row],[CONCAT1]]&amp;NOTA[[#This Row],[HARGA SATUAN]],NOTA[[#This Row],[CONCAT1]]&amp;NOTA[[#This Row],[HARGA/ CTN_H]]&amp;NOTA[[#This Row],[DISC 1]]&amp;NOTA[[#This Row],[DISC 2]])</f>
        <v>correctionfluidcfs221jk16992000.1250.05</v>
      </c>
      <c r="AN341" s="184">
        <f>IF(NOTA[[#This Row],[CONCAT1]]="","",MATCH(NOTA[[#This Row],[CONCAT1]],[1]!db[NB NOTA_C],0)+1)</f>
        <v>510</v>
      </c>
    </row>
    <row r="342" spans="1:40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Row],[CEK_EXP]]&lt;D341,"err","")</f>
        <v/>
      </c>
      <c r="D342" s="50">
        <f>IF(NOTA[[#This Row],[TANGGAL]]="",D341,NOTA[[#This Row],[TANGGAL]])</f>
        <v>44938</v>
      </c>
      <c r="E342" s="50">
        <f ca="1">IF(NOTA[[#This Row],[NAMA BARANG]]="","",INDEX(NOTA[ID],MATCH(,INDIRECT(ADDRESS(ROW(NOTA[ID]),COLUMN(NOTA[ID]))&amp;":"&amp;ADDRESS(ROW(),COLUMN(NOTA[ID]))),-1)))</f>
        <v>66</v>
      </c>
      <c r="F342" s="23"/>
      <c r="G342" s="26"/>
      <c r="H342" s="26"/>
      <c r="I342" s="31"/>
      <c r="J342" s="26"/>
      <c r="K342" s="51"/>
      <c r="L342" s="26"/>
      <c r="M342" s="26" t="s">
        <v>501</v>
      </c>
      <c r="N342" s="39">
        <v>5</v>
      </c>
      <c r="O342" s="26">
        <v>120</v>
      </c>
      <c r="P342" s="26" t="s">
        <v>131</v>
      </c>
      <c r="Q342" s="49">
        <v>70800</v>
      </c>
      <c r="R342" s="52"/>
      <c r="S342" s="39" t="s">
        <v>500</v>
      </c>
      <c r="T342" s="53">
        <v>0.125</v>
      </c>
      <c r="U342" s="53">
        <v>0.05</v>
      </c>
      <c r="V342" s="54"/>
      <c r="W342" s="37"/>
      <c r="X342" s="54">
        <f>IF(NOTA[[#This Row],[HARGA/ CTN]]="",NOTA[[#This Row],[JUMLAH_H]],NOTA[[#This Row],[HARGA/ CTN]]*IF(NOTA[[#This Row],[C]]="",0,NOTA[[#This Row],[C]]))</f>
        <v>8496000</v>
      </c>
      <c r="Y342" s="54">
        <f>IF(NOTA[[#This Row],[JUMLAH]]="","",NOTA[[#This Row],[JUMLAH]]*NOTA[[#This Row],[DISC 1]])</f>
        <v>1062000</v>
      </c>
      <c r="Z342" s="54">
        <f>IF(NOTA[[#This Row],[JUMLAH]]="","",(NOTA[[#This Row],[JUMLAH]]-NOTA[[#This Row],[DISC 1-]])*NOTA[[#This Row],[DISC 2]])</f>
        <v>371700</v>
      </c>
      <c r="AA342" s="54">
        <f>IF(NOTA[[#This Row],[JUMLAH]]="","",NOTA[[#This Row],[DISC 1-]]+NOTA[[#This Row],[DISC 2-]])</f>
        <v>1433700</v>
      </c>
      <c r="AB342" s="54">
        <f>IF(NOTA[[#This Row],[JUMLAH]]="","",NOTA[[#This Row],[JUMLAH]]-NOTA[[#This Row],[DISC]])</f>
        <v>7062300</v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42" s="54">
        <f>IF(OR(NOTA[[#This Row],[QTY]]="",NOTA[[#This Row],[HARGA SATUAN]]="",),"",NOTA[[#This Row],[QTY]]*NOTA[[#This Row],[HARGA SATUAN]])</f>
        <v>8496000</v>
      </c>
      <c r="AG342" s="51">
        <f ca="1">IF(NOTA[ID_H]="","",INDEX(NOTA[TANGGAL],MATCH(,INDIRECT(ADDRESS(ROW(NOTA[TANGGAL]),COLUMN(NOTA[TANGGAL]))&amp;":"&amp;ADDRESS(ROW(),COLUMN(NOTA[TANGGAL]))),-1)))</f>
        <v>44938</v>
      </c>
      <c r="AH342" s="65" t="str">
        <f ca="1">IF(NOTA[[#This Row],[NAMA BARANG]]="","",INDEX(NOTA[SUPPLIER],MATCH(,INDIRECT(ADDRESS(ROW(NOTA[ID]),COLUMN(NOTA[ID]))&amp;":"&amp;ADDRESS(ROW(),COLUMN(NOTA[ID]))),-1)))</f>
        <v>ATALI MAKMUR</v>
      </c>
      <c r="AI342" s="65" t="str">
        <f ca="1">IF(NOTA[[#This Row],[ID_H]]="","",IF(NOTA[[#This Row],[FAKTUR]]="",INDIRECT(ADDRESS(ROW()-1,COLUMN())),NOTA[[#This Row],[FAKTUR]]))</f>
        <v>ARTO MORO</v>
      </c>
      <c r="AJ342" s="38" t="str">
        <f ca="1">IF(NOTA[[#This Row],[ID]]="","",COUNTIF(NOTA[ID_H],NOTA[[#This Row],[ID_H]]))</f>
        <v/>
      </c>
      <c r="AK342" s="38">
        <f ca="1">IF(NOTA[[#This Row],[TGL.NOTA]]="",IF(NOTA[[#This Row],[SUPPLIER_H]]="","",AK341),MONTH(NOTA[[#This Row],[TGL.NOTA]]))</f>
        <v>1</v>
      </c>
      <c r="AL342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342" s="38" t="str">
        <f>IF(NOTA[C]="",NOTA[[#This Row],[CONCAT1]]&amp;NOTA[[#This Row],[HARGA SATUAN]],NOTA[[#This Row],[CONCAT1]]&amp;NOTA[[#This Row],[HARGA/ CTN_H]]&amp;NOTA[[#This Row],[DISC 1]]&amp;NOTA[[#This Row],[DISC 2]])</f>
        <v>correctionfluidcfs224jk16992000.1250.05</v>
      </c>
      <c r="AN342" s="184">
        <f>IF(NOTA[[#This Row],[CONCAT1]]="","",MATCH(NOTA[[#This Row],[CONCAT1]],[1]!db[NB NOTA_C],0)+1)</f>
        <v>511</v>
      </c>
    </row>
    <row r="343" spans="1:40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Row],[CEK_EXP]]&lt;D342,"err","")</f>
        <v/>
      </c>
      <c r="D343" s="50">
        <f>IF(NOTA[[#This Row],[TANGGAL]]="",D342,NOTA[[#This Row],[TANGGAL]])</f>
        <v>44938</v>
      </c>
      <c r="E343" s="50">
        <f ca="1">IF(NOTA[[#This Row],[NAMA BARANG]]="","",INDEX(NOTA[ID],MATCH(,INDIRECT(ADDRESS(ROW(NOTA[ID]),COLUMN(NOTA[ID]))&amp;":"&amp;ADDRESS(ROW(),COLUMN(NOTA[ID]))),-1)))</f>
        <v>66</v>
      </c>
      <c r="F343" s="23"/>
      <c r="G343" s="26"/>
      <c r="H343" s="26"/>
      <c r="I343" s="31"/>
      <c r="J343" s="26"/>
      <c r="K343" s="51"/>
      <c r="L343" s="26"/>
      <c r="M343" s="26" t="s">
        <v>502</v>
      </c>
      <c r="N343" s="39">
        <v>2</v>
      </c>
      <c r="O343" s="26">
        <v>72</v>
      </c>
      <c r="P343" s="26" t="s">
        <v>116</v>
      </c>
      <c r="Q343" s="49">
        <v>34200</v>
      </c>
      <c r="R343" s="52"/>
      <c r="S343" s="39" t="s">
        <v>503</v>
      </c>
      <c r="T343" s="53">
        <v>0.125</v>
      </c>
      <c r="U343" s="53">
        <v>0.05</v>
      </c>
      <c r="V343" s="54"/>
      <c r="W343" s="89"/>
      <c r="X343" s="54">
        <f>IF(NOTA[[#This Row],[HARGA/ CTN]]="",NOTA[[#This Row],[JUMLAH_H]],NOTA[[#This Row],[HARGA/ CTN]]*IF(NOTA[[#This Row],[C]]="",0,NOTA[[#This Row],[C]]))</f>
        <v>2462400</v>
      </c>
      <c r="Y343" s="54">
        <f>IF(NOTA[[#This Row],[JUMLAH]]="","",NOTA[[#This Row],[JUMLAH]]*NOTA[[#This Row],[DISC 1]])</f>
        <v>307800</v>
      </c>
      <c r="Z343" s="54">
        <f>IF(NOTA[[#This Row],[JUMLAH]]="","",(NOTA[[#This Row],[JUMLAH]]-NOTA[[#This Row],[DISC 1-]])*NOTA[[#This Row],[DISC 2]])</f>
        <v>107730</v>
      </c>
      <c r="AA343" s="54">
        <f>IF(NOTA[[#This Row],[JUMLAH]]="","",NOTA[[#This Row],[DISC 1-]]+NOTA[[#This Row],[DISC 2-]])</f>
        <v>415530</v>
      </c>
      <c r="AB343" s="54">
        <f>IF(NOTA[[#This Row],[JUMLAH]]="","",NOTA[[#This Row],[JUMLAH]]-NOTA[[#This Row],[DISC]])</f>
        <v>2046870</v>
      </c>
      <c r="AC3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3982770</v>
      </c>
      <c r="AD3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19618830</v>
      </c>
      <c r="AE343" s="49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43" s="54">
        <f>IF(OR(NOTA[[#This Row],[QTY]]="",NOTA[[#This Row],[HARGA SATUAN]]="",),"",NOTA[[#This Row],[QTY]]*NOTA[[#This Row],[HARGA SATUAN]])</f>
        <v>2462400</v>
      </c>
      <c r="AG343" s="51">
        <f ca="1">IF(NOTA[ID_H]="","",INDEX(NOTA[TANGGAL],MATCH(,INDIRECT(ADDRESS(ROW(NOTA[TANGGAL]),COLUMN(NOTA[TANGGAL]))&amp;":"&amp;ADDRESS(ROW(),COLUMN(NOTA[TANGGAL]))),-1)))</f>
        <v>44938</v>
      </c>
      <c r="AH343" s="65" t="str">
        <f ca="1">IF(NOTA[[#This Row],[NAMA BARANG]]="","",INDEX(NOTA[SUPPLIER],MATCH(,INDIRECT(ADDRESS(ROW(NOTA[ID]),COLUMN(NOTA[ID]))&amp;":"&amp;ADDRESS(ROW(),COLUMN(NOTA[ID]))),-1)))</f>
        <v>ATALI MAKMUR</v>
      </c>
      <c r="AI343" s="65" t="str">
        <f ca="1">IF(NOTA[[#This Row],[ID_H]]="","",IF(NOTA[[#This Row],[FAKTUR]]="",INDIRECT(ADDRESS(ROW()-1,COLUMN())),NOTA[[#This Row],[FAKTUR]]))</f>
        <v>ARTO MORO</v>
      </c>
      <c r="AJ343" s="38" t="str">
        <f ca="1">IF(NOTA[[#This Row],[ID]]="","",COUNTIF(NOTA[ID_H],NOTA[[#This Row],[ID_H]]))</f>
        <v/>
      </c>
      <c r="AK343" s="38">
        <f ca="1">IF(NOTA[[#This Row],[TGL.NOTA]]="",IF(NOTA[[#This Row],[SUPPLIER_H]]="","",AK342),MONTH(NOTA[[#This Row],[TGL.NOTA]]))</f>
        <v>1</v>
      </c>
      <c r="AL343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343" s="38" t="str">
        <f>IF(NOTA[C]="",NOTA[[#This Row],[CONCAT1]]&amp;NOTA[[#This Row],[HARGA SATUAN]],NOTA[[#This Row],[CONCAT1]]&amp;NOTA[[#This Row],[HARGA/ CTN_H]]&amp;NOTA[[#This Row],[DISC 1]]&amp;NOTA[[#This Row],[DISC 2]])</f>
        <v>correctionfluidcfs225jk12312000.1250.05</v>
      </c>
      <c r="AN343" s="184">
        <f>IF(NOTA[[#This Row],[CONCAT1]]="","",MATCH(NOTA[[#This Row],[CONCAT1]],[1]!db[NB NOTA_C],0)+1)</f>
        <v>512</v>
      </c>
    </row>
    <row r="344" spans="1:40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Row],[CEK_EXP]]&lt;D343,"err","")</f>
        <v/>
      </c>
      <c r="D344" s="50">
        <f>IF(NOTA[[#This Row],[TANGGAL]]="",D343,NOTA[[#This Row],[TANGGAL]])</f>
        <v>44938</v>
      </c>
      <c r="E344" s="50" t="str">
        <f ca="1">IF(NOTA[[#This Row],[NAMA BARANG]]="","",INDEX(NOTA[ID],MATCH(,INDIRECT(ADDRESS(ROW(NOTA[ID]),COLUMN(NOTA[ID]))&amp;":"&amp;ADDRESS(ROW(),COLUMN(NOTA[ID]))),-1)))</f>
        <v/>
      </c>
      <c r="F344" s="23"/>
      <c r="G344" s="26"/>
      <c r="H344" s="26"/>
      <c r="I344" s="31"/>
      <c r="J344" s="51"/>
      <c r="K344" s="51"/>
      <c r="L344" s="26"/>
      <c r="M344" s="26"/>
      <c r="N344" s="39"/>
      <c r="O344" s="26"/>
      <c r="P344" s="26"/>
      <c r="Q344" s="49"/>
      <c r="R344" s="52"/>
      <c r="S344" s="39"/>
      <c r="T344" s="53"/>
      <c r="U344" s="53"/>
      <c r="V344" s="54"/>
      <c r="W344" s="37"/>
      <c r="X344" s="54" t="str">
        <f>IF(NOTA[[#This Row],[HARGA/ CTN]]="",NOTA[[#This Row],[JUMLAH_H]],NOTA[[#This Row],[HARGA/ CTN]]*IF(NOTA[[#This Row],[C]]="",0,NOTA[[#This Row],[C]]))</f>
        <v/>
      </c>
      <c r="Y344" s="54" t="str">
        <f>IF(NOTA[[#This Row],[JUMLAH]]="","",NOTA[[#This Row],[JUMLAH]]*NOTA[[#This Row],[DISC 1]])</f>
        <v/>
      </c>
      <c r="Z344" s="54" t="str">
        <f>IF(NOTA[[#This Row],[JUMLAH]]="","",(NOTA[[#This Row],[JUMLAH]]-NOTA[[#This Row],[DISC 1-]])*NOTA[[#This Row],[DISC 2]])</f>
        <v/>
      </c>
      <c r="AA344" s="54" t="str">
        <f>IF(NOTA[[#This Row],[JUMLAH]]="","",NOTA[[#This Row],[DISC 1-]]+NOTA[[#This Row],[DISC 2-]])</f>
        <v/>
      </c>
      <c r="AB344" s="54" t="str">
        <f>IF(NOTA[[#This Row],[JUMLAH]]="","",NOTA[[#This Row],[JUMLAH]]-NOTA[[#This Row],[DISC]])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4" t="str">
        <f>IF(OR(NOTA[[#This Row],[QTY]]="",NOTA[[#This Row],[HARGA SATUAN]]="",),"",NOTA[[#This Row],[QTY]]*NOTA[[#This Row],[HARGA SATUAN]])</f>
        <v/>
      </c>
      <c r="AG344" s="51" t="str">
        <f ca="1">IF(NOTA[ID_H]="","",INDEX(NOTA[TANGGAL],MATCH(,INDIRECT(ADDRESS(ROW(NOTA[TANGGAL]),COLUMN(NOTA[TANGGAL]))&amp;":"&amp;ADDRESS(ROW(),COLUMN(NOTA[TANGGAL]))),-1)))</f>
        <v/>
      </c>
      <c r="AH344" s="65" t="str">
        <f ca="1">IF(NOTA[[#This Row],[NAMA BARANG]]="","",INDEX(NOTA[SUPPLIER],MATCH(,INDIRECT(ADDRESS(ROW(NOTA[ID]),COLUMN(NOTA[ID]))&amp;":"&amp;ADDRESS(ROW(),COLUMN(NOTA[ID]))),-1)))</f>
        <v/>
      </c>
      <c r="AI344" s="65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IF(NOTA[C]="",NOTA[[#This Row],[CONCAT1]]&amp;NOTA[[#This Row],[HARGA SATUAN]],NOTA[[#This Row],[CONCAT1]]&amp;NOTA[[#This Row],[HARGA/ CTN_H]]&amp;NOTA[[#This Row],[DISC 1]]&amp;NOTA[[#This Row],[DISC 2]])</f>
        <v/>
      </c>
      <c r="AN344" s="184" t="str">
        <f>IF(NOTA[[#This Row],[CONCAT1]]="","",MATCH(NOTA[[#This Row],[CONCAT1]],[1]!db[NB NOTA_C],0)+1)</f>
        <v/>
      </c>
    </row>
    <row r="345" spans="1:40" ht="20.100000000000001" customHeight="1" x14ac:dyDescent="0.25">
      <c r="A34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KAL_1201_093-11</v>
      </c>
      <c r="C345" s="50" t="str">
        <f>IF(NOTA[[#This Row],[CEK_EXP]]&lt;D344,"err","")</f>
        <v/>
      </c>
      <c r="D345" s="50">
        <f>IF(NOTA[[#This Row],[TANGGAL]]="",D344,NOTA[[#This Row],[TANGGAL]])</f>
        <v>44938</v>
      </c>
      <c r="E345" s="50">
        <f ca="1">IF(NOTA[[#This Row],[NAMA BARANG]]="","",INDEX(NOTA[ID],MATCH(,INDIRECT(ADDRESS(ROW(NOTA[ID]),COLUMN(NOTA[ID]))&amp;":"&amp;ADDRESS(ROW(),COLUMN(NOTA[ID]))),-1)))</f>
        <v>67</v>
      </c>
      <c r="F345" s="23"/>
      <c r="G345" s="26" t="s">
        <v>52</v>
      </c>
      <c r="H345" s="26" t="s">
        <v>24</v>
      </c>
      <c r="I345" s="31" t="s">
        <v>504</v>
      </c>
      <c r="J345" s="26"/>
      <c r="K345" s="51">
        <v>44935</v>
      </c>
      <c r="L345" s="26"/>
      <c r="M345" s="26" t="s">
        <v>505</v>
      </c>
      <c r="N345" s="39">
        <v>1</v>
      </c>
      <c r="O345" s="26">
        <v>160</v>
      </c>
      <c r="P345" s="26" t="s">
        <v>104</v>
      </c>
      <c r="Q345" s="49">
        <v>32000</v>
      </c>
      <c r="R345" s="52"/>
      <c r="S345" s="39" t="s">
        <v>515</v>
      </c>
      <c r="T345" s="53">
        <v>0.125</v>
      </c>
      <c r="U345" s="53">
        <v>0.1</v>
      </c>
      <c r="V345" s="54"/>
      <c r="W345" s="37"/>
      <c r="X345" s="54">
        <f>IF(NOTA[[#This Row],[HARGA/ CTN]]="",NOTA[[#This Row],[JUMLAH_H]],NOTA[[#This Row],[HARGA/ CTN]]*IF(NOTA[[#This Row],[C]]="",0,NOTA[[#This Row],[C]]))</f>
        <v>5120000</v>
      </c>
      <c r="Y345" s="54">
        <f>IF(NOTA[[#This Row],[JUMLAH]]="","",NOTA[[#This Row],[JUMLAH]]*NOTA[[#This Row],[DISC 1]])</f>
        <v>640000</v>
      </c>
      <c r="Z345" s="54">
        <f>IF(NOTA[[#This Row],[JUMLAH]]="","",(NOTA[[#This Row],[JUMLAH]]-NOTA[[#This Row],[DISC 1-]])*NOTA[[#This Row],[DISC 2]])</f>
        <v>448000</v>
      </c>
      <c r="AA345" s="54">
        <f>IF(NOTA[[#This Row],[JUMLAH]]="","",NOTA[[#This Row],[DISC 1-]]+NOTA[[#This Row],[DISC 2-]])</f>
        <v>1088000</v>
      </c>
      <c r="AB345" s="54">
        <f>IF(NOTA[[#This Row],[JUMLAH]]="","",NOTA[[#This Row],[JUMLAH]]-NOTA[[#This Row],[DISC]])</f>
        <v>4032000</v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345" s="54">
        <f>IF(OR(NOTA[[#This Row],[QTY]]="",NOTA[[#This Row],[HARGA SATUAN]]="",),"",NOTA[[#This Row],[QTY]]*NOTA[[#This Row],[HARGA SATUAN]])</f>
        <v>5120000</v>
      </c>
      <c r="AG345" s="51">
        <f ca="1">IF(NOTA[ID_H]="","",INDEX(NOTA[TANGGAL],MATCH(,INDIRECT(ADDRESS(ROW(NOTA[TANGGAL]),COLUMN(NOTA[TANGGAL]))&amp;":"&amp;ADDRESS(ROW(),COLUMN(NOTA[TANGGAL]))),-1)))</f>
        <v>44938</v>
      </c>
      <c r="AH345" s="65" t="str">
        <f ca="1">IF(NOTA[[#This Row],[NAMA BARANG]]="","",INDEX(NOTA[SUPPLIER],MATCH(,INDIRECT(ADDRESS(ROW(NOTA[ID]),COLUMN(NOTA[ID]))&amp;":"&amp;ADDRESS(ROW(),COLUMN(NOTA[ID]))),-1)))</f>
        <v>KALINDO SUKSES</v>
      </c>
      <c r="AI345" s="65" t="str">
        <f ca="1">IF(NOTA[[#This Row],[ID_H]]="","",IF(NOTA[[#This Row],[FAKTUR]]="",INDIRECT(ADDRESS(ROW()-1,COLUMN())),NOTA[[#This Row],[FAKTUR]]))</f>
        <v>ARTO MORO</v>
      </c>
      <c r="AJ345" s="38">
        <f ca="1">IF(NOTA[[#This Row],[ID]]="","",COUNTIF(NOTA[ID_H],NOTA[[#This Row],[ID_H]]))</f>
        <v>11</v>
      </c>
      <c r="AK345" s="38">
        <f>IF(NOTA[[#This Row],[TGL.NOTA]]="",IF(NOTA[[#This Row],[SUPPLIER_H]]="","",AK344),MONTH(NOTA[[#This Row],[TGL.NOTA]]))</f>
        <v>1</v>
      </c>
      <c r="AL345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M345" s="38" t="str">
        <f>IF(NOTA[C]="",NOTA[[#This Row],[CONCAT1]]&amp;NOTA[[#This Row],[HARGA SATUAN]],NOTA[[#This Row],[CONCAT1]]&amp;NOTA[[#This Row],[HARGA/ CTN_H]]&amp;NOTA[[#This Row],[DISC 1]]&amp;NOTA[[#This Row],[DISC 2]])</f>
        <v>calculatorjoykocc3751200000.1250.1</v>
      </c>
      <c r="AN345" s="184">
        <f>IF(NOTA[[#This Row],[CONCAT1]]="","",MATCH(NOTA[[#This Row],[CONCAT1]],[1]!db[NB NOTA_C],0)+1)</f>
        <v>406</v>
      </c>
    </row>
    <row r="346" spans="1:40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Row],[CEK_EXP]]&lt;D345,"err","")</f>
        <v/>
      </c>
      <c r="D346" s="50">
        <f>IF(NOTA[[#This Row],[TANGGAL]]="",D345,NOTA[[#This Row],[TANGGAL]])</f>
        <v>44938</v>
      </c>
      <c r="E346" s="50">
        <f ca="1">IF(NOTA[[#This Row],[NAMA BARANG]]="","",INDEX(NOTA[ID],MATCH(,INDIRECT(ADDRESS(ROW(NOTA[ID]),COLUMN(NOTA[ID]))&amp;":"&amp;ADDRESS(ROW(),COLUMN(NOTA[ID]))),-1)))</f>
        <v>67</v>
      </c>
      <c r="F346" s="23"/>
      <c r="G346" s="26"/>
      <c r="H346" s="26"/>
      <c r="I346" s="31"/>
      <c r="J346" s="26"/>
      <c r="K346" s="51"/>
      <c r="L346" s="26"/>
      <c r="M346" s="26" t="s">
        <v>506</v>
      </c>
      <c r="N346" s="39">
        <v>1</v>
      </c>
      <c r="O346" s="26">
        <v>160</v>
      </c>
      <c r="P346" s="26" t="s">
        <v>104</v>
      </c>
      <c r="Q346" s="49">
        <v>27500</v>
      </c>
      <c r="R346" s="105"/>
      <c r="S346" s="39" t="s">
        <v>515</v>
      </c>
      <c r="T346" s="53">
        <v>0.125</v>
      </c>
      <c r="U346" s="53">
        <v>0.1</v>
      </c>
      <c r="V346" s="54"/>
      <c r="W346" s="37"/>
      <c r="X346" s="54">
        <f>IF(NOTA[[#This Row],[HARGA/ CTN]]="",NOTA[[#This Row],[JUMLAH_H]],NOTA[[#This Row],[HARGA/ CTN]]*IF(NOTA[[#This Row],[C]]="",0,NOTA[[#This Row],[C]]))</f>
        <v>4400000</v>
      </c>
      <c r="Y346" s="54">
        <f>IF(NOTA[[#This Row],[JUMLAH]]="","",NOTA[[#This Row],[JUMLAH]]*NOTA[[#This Row],[DISC 1]])</f>
        <v>550000</v>
      </c>
      <c r="Z346" s="54">
        <f>IF(NOTA[[#This Row],[JUMLAH]]="","",(NOTA[[#This Row],[JUMLAH]]-NOTA[[#This Row],[DISC 1-]])*NOTA[[#This Row],[DISC 2]])</f>
        <v>385000</v>
      </c>
      <c r="AA346" s="54">
        <f>IF(NOTA[[#This Row],[JUMLAH]]="","",NOTA[[#This Row],[DISC 1-]]+NOTA[[#This Row],[DISC 2-]])</f>
        <v>935000</v>
      </c>
      <c r="AB346" s="54">
        <f>IF(NOTA[[#This Row],[JUMLAH]]="","",NOTA[[#This Row],[JUMLAH]]-NOTA[[#This Row],[DISC]])</f>
        <v>3465000</v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346" s="54">
        <f>IF(OR(NOTA[[#This Row],[QTY]]="",NOTA[[#This Row],[HARGA SATUAN]]="",),"",NOTA[[#This Row],[QTY]]*NOTA[[#This Row],[HARGA SATUAN]])</f>
        <v>4400000</v>
      </c>
      <c r="AG346" s="51">
        <f ca="1">IF(NOTA[ID_H]="","",INDEX(NOTA[TANGGAL],MATCH(,INDIRECT(ADDRESS(ROW(NOTA[TANGGAL]),COLUMN(NOTA[TANGGAL]))&amp;":"&amp;ADDRESS(ROW(),COLUMN(NOTA[TANGGAL]))),-1)))</f>
        <v>44938</v>
      </c>
      <c r="AH346" s="65" t="str">
        <f ca="1">IF(NOTA[[#This Row],[NAMA BARANG]]="","",INDEX(NOTA[SUPPLIER],MATCH(,INDIRECT(ADDRESS(ROW(NOTA[ID]),COLUMN(NOTA[ID]))&amp;":"&amp;ADDRESS(ROW(),COLUMN(NOTA[ID]))),-1)))</f>
        <v>KALINDO SUKSES</v>
      </c>
      <c r="AI346" s="65" t="str">
        <f ca="1">IF(NOTA[[#This Row],[ID_H]]="","",IF(NOTA[[#This Row],[FAKTUR]]="",INDIRECT(ADDRESS(ROW()-1,COLUMN())),NOTA[[#This Row],[FAKTUR]]))</f>
        <v>ARTO MORO</v>
      </c>
      <c r="AJ346" s="38" t="str">
        <f ca="1">IF(NOTA[[#This Row],[ID]]="","",COUNTIF(NOTA[ID_H],NOTA[[#This Row],[ID_H]]))</f>
        <v/>
      </c>
      <c r="AK346" s="38">
        <f ca="1">IF(NOTA[[#This Row],[TGL.NOTA]]="",IF(NOTA[[#This Row],[SUPPLIER_H]]="","",AK345),MONTH(NOTA[[#This Row],[TGL.NOTA]]))</f>
        <v>1</v>
      </c>
      <c r="AL346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346" s="38" t="str">
        <f>IF(NOTA[C]="",NOTA[[#This Row],[CONCAT1]]&amp;NOTA[[#This Row],[HARGA SATUAN]],NOTA[[#This Row],[CONCAT1]]&amp;NOTA[[#This Row],[HARGA/ CTN_H]]&amp;NOTA[[#This Row],[DISC 1]]&amp;NOTA[[#This Row],[DISC 2]])</f>
        <v>calculatorjoykocc3844000000.1250.1</v>
      </c>
      <c r="AN346" s="184">
        <f>IF(NOTA[[#This Row],[CONCAT1]]="","",MATCH(NOTA[[#This Row],[CONCAT1]],[1]!db[NB NOTA_C],0)+1)</f>
        <v>407</v>
      </c>
    </row>
    <row r="347" spans="1:40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Row],[CEK_EXP]]&lt;D346,"err","")</f>
        <v/>
      </c>
      <c r="D347" s="50">
        <f>IF(NOTA[[#This Row],[TANGGAL]]="",D346,NOTA[[#This Row],[TANGGAL]])</f>
        <v>44938</v>
      </c>
      <c r="E347" s="50">
        <f ca="1">IF(NOTA[[#This Row],[NAMA BARANG]]="","",INDEX(NOTA[ID],MATCH(,INDIRECT(ADDRESS(ROW(NOTA[ID]),COLUMN(NOTA[ID]))&amp;":"&amp;ADDRESS(ROW(),COLUMN(NOTA[ID]))),-1)))</f>
        <v>67</v>
      </c>
      <c r="F347" s="23"/>
      <c r="G347" s="26"/>
      <c r="H347" s="26"/>
      <c r="I347" s="31"/>
      <c r="J347" s="26"/>
      <c r="K347" s="51"/>
      <c r="L347" s="26"/>
      <c r="M347" s="26" t="s">
        <v>507</v>
      </c>
      <c r="N347" s="39">
        <v>2</v>
      </c>
      <c r="O347" s="26">
        <v>120</v>
      </c>
      <c r="P347" s="26" t="s">
        <v>104</v>
      </c>
      <c r="Q347" s="49">
        <v>74000</v>
      </c>
      <c r="R347" s="105"/>
      <c r="S347" s="39" t="s">
        <v>516</v>
      </c>
      <c r="T347" s="53">
        <v>0.125</v>
      </c>
      <c r="U347" s="53">
        <v>0.1</v>
      </c>
      <c r="V347" s="54"/>
      <c r="W347" s="37"/>
      <c r="X347" s="54">
        <f>IF(NOTA[[#This Row],[HARGA/ CTN]]="",NOTA[[#This Row],[JUMLAH_H]],NOTA[[#This Row],[HARGA/ CTN]]*IF(NOTA[[#This Row],[C]]="",0,NOTA[[#This Row],[C]]))</f>
        <v>8880000</v>
      </c>
      <c r="Y347" s="54">
        <f>IF(NOTA[[#This Row],[JUMLAH]]="","",NOTA[[#This Row],[JUMLAH]]*NOTA[[#This Row],[DISC 1]])</f>
        <v>1110000</v>
      </c>
      <c r="Z347" s="54">
        <f>IF(NOTA[[#This Row],[JUMLAH]]="","",(NOTA[[#This Row],[JUMLAH]]-NOTA[[#This Row],[DISC 1-]])*NOTA[[#This Row],[DISC 2]])</f>
        <v>777000</v>
      </c>
      <c r="AA347" s="54">
        <f>IF(NOTA[[#This Row],[JUMLAH]]="","",NOTA[[#This Row],[DISC 1-]]+NOTA[[#This Row],[DISC 2-]])</f>
        <v>1887000</v>
      </c>
      <c r="AB347" s="54">
        <f>IF(NOTA[[#This Row],[JUMLAH]]="","",NOTA[[#This Row],[JUMLAH]]-NOTA[[#This Row],[DISC]])</f>
        <v>6993000</v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9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347" s="54">
        <f>IF(OR(NOTA[[#This Row],[QTY]]="",NOTA[[#This Row],[HARGA SATUAN]]="",),"",NOTA[[#This Row],[QTY]]*NOTA[[#This Row],[HARGA SATUAN]])</f>
        <v>8880000</v>
      </c>
      <c r="AG347" s="51">
        <f ca="1">IF(NOTA[ID_H]="","",INDEX(NOTA[TANGGAL],MATCH(,INDIRECT(ADDRESS(ROW(NOTA[TANGGAL]),COLUMN(NOTA[TANGGAL]))&amp;":"&amp;ADDRESS(ROW(),COLUMN(NOTA[TANGGAL]))),-1)))</f>
        <v>44938</v>
      </c>
      <c r="AH347" s="65" t="str">
        <f ca="1">IF(NOTA[[#This Row],[NAMA BARANG]]="","",INDEX(NOTA[SUPPLIER],MATCH(,INDIRECT(ADDRESS(ROW(NOTA[ID]),COLUMN(NOTA[ID]))&amp;":"&amp;ADDRESS(ROW(),COLUMN(NOTA[ID]))),-1)))</f>
        <v>KALINDO SUKSES</v>
      </c>
      <c r="AI347" s="65" t="str">
        <f ca="1">IF(NOTA[[#This Row],[ID_H]]="","",IF(NOTA[[#This Row],[FAKTUR]]="",INDIRECT(ADDRESS(ROW()-1,COLUMN())),NOTA[[#This Row],[FAKTUR]]))</f>
        <v>ARTO MORO</v>
      </c>
      <c r="AJ347" s="38" t="str">
        <f ca="1">IF(NOTA[[#This Row],[ID]]="","",COUNTIF(NOTA[ID_H],NOTA[[#This Row],[ID_H]]))</f>
        <v/>
      </c>
      <c r="AK347" s="38">
        <f ca="1">IF(NOTA[[#This Row],[TGL.NOTA]]="",IF(NOTA[[#This Row],[SUPPLIER_H]]="","",AK346),MONTH(NOTA[[#This Row],[TGL.NOTA]]))</f>
        <v>1</v>
      </c>
      <c r="AL347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347" s="38" t="str">
        <f>IF(NOTA[C]="",NOTA[[#This Row],[CONCAT1]]&amp;NOTA[[#This Row],[HARGA SATUAN]],NOTA[[#This Row],[CONCAT1]]&amp;NOTA[[#This Row],[HARGA/ CTN_H]]&amp;NOTA[[#This Row],[DISC 1]]&amp;NOTA[[#This Row],[DISC 2]])</f>
        <v>calculatorjoykocc4144400000.1250.1</v>
      </c>
      <c r="AN347" s="184">
        <f>IF(NOTA[[#This Row],[CONCAT1]]="","",MATCH(NOTA[[#This Row],[CONCAT1]],[1]!db[NB NOTA_C],0)+1)</f>
        <v>409</v>
      </c>
    </row>
    <row r="348" spans="1:40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Row],[CEK_EXP]]&lt;D347,"err","")</f>
        <v/>
      </c>
      <c r="D348" s="50">
        <f>IF(NOTA[[#This Row],[TANGGAL]]="",D347,NOTA[[#This Row],[TANGGAL]])</f>
        <v>44938</v>
      </c>
      <c r="E348" s="50">
        <f ca="1">IF(NOTA[[#This Row],[NAMA BARANG]]="","",INDEX(NOTA[ID],MATCH(,INDIRECT(ADDRESS(ROW(NOTA[ID]),COLUMN(NOTA[ID]))&amp;":"&amp;ADDRESS(ROW(),COLUMN(NOTA[ID]))),-1)))</f>
        <v>67</v>
      </c>
      <c r="F348" s="23"/>
      <c r="G348" s="26"/>
      <c r="H348" s="26"/>
      <c r="I348" s="31"/>
      <c r="J348" s="26"/>
      <c r="K348" s="51"/>
      <c r="L348" s="26"/>
      <c r="M348" s="26" t="s">
        <v>508</v>
      </c>
      <c r="N348" s="39">
        <v>1</v>
      </c>
      <c r="O348" s="26">
        <v>120</v>
      </c>
      <c r="P348" s="26" t="s">
        <v>104</v>
      </c>
      <c r="Q348" s="49">
        <v>47000</v>
      </c>
      <c r="R348" s="105"/>
      <c r="S348" s="39" t="s">
        <v>517</v>
      </c>
      <c r="T348" s="53">
        <v>0.125</v>
      </c>
      <c r="U348" s="53">
        <v>0.05</v>
      </c>
      <c r="V348" s="54"/>
      <c r="W348" s="37"/>
      <c r="X348" s="54">
        <f>IF(NOTA[[#This Row],[HARGA/ CTN]]="",NOTA[[#This Row],[JUMLAH_H]],NOTA[[#This Row],[HARGA/ CTN]]*IF(NOTA[[#This Row],[C]]="",0,NOTA[[#This Row],[C]]))</f>
        <v>5640000</v>
      </c>
      <c r="Y348" s="54">
        <f>IF(NOTA[[#This Row],[JUMLAH]]="","",NOTA[[#This Row],[JUMLAH]]*NOTA[[#This Row],[DISC 1]])</f>
        <v>705000</v>
      </c>
      <c r="Z348" s="54">
        <f>IF(NOTA[[#This Row],[JUMLAH]]="","",(NOTA[[#This Row],[JUMLAH]]-NOTA[[#This Row],[DISC 1-]])*NOTA[[#This Row],[DISC 2]])</f>
        <v>246750</v>
      </c>
      <c r="AA348" s="54">
        <f>IF(NOTA[[#This Row],[JUMLAH]]="","",NOTA[[#This Row],[DISC 1-]]+NOTA[[#This Row],[DISC 2-]])</f>
        <v>951750</v>
      </c>
      <c r="AB348" s="54">
        <f>IF(NOTA[[#This Row],[JUMLAH]]="","",NOTA[[#This Row],[JUMLAH]]-NOTA[[#This Row],[DISC]])</f>
        <v>4688250</v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348" s="54">
        <f>IF(OR(NOTA[[#This Row],[QTY]]="",NOTA[[#This Row],[HARGA SATUAN]]="",),"",NOTA[[#This Row],[QTY]]*NOTA[[#This Row],[HARGA SATUAN]])</f>
        <v>5640000</v>
      </c>
      <c r="AG348" s="51">
        <f ca="1">IF(NOTA[ID_H]="","",INDEX(NOTA[TANGGAL],MATCH(,INDIRECT(ADDRESS(ROW(NOTA[TANGGAL]),COLUMN(NOTA[TANGGAL]))&amp;":"&amp;ADDRESS(ROW(),COLUMN(NOTA[TANGGAL]))),-1)))</f>
        <v>44938</v>
      </c>
      <c r="AH348" s="65" t="str">
        <f ca="1">IF(NOTA[[#This Row],[NAMA BARANG]]="","",INDEX(NOTA[SUPPLIER],MATCH(,INDIRECT(ADDRESS(ROW(NOTA[ID]),COLUMN(NOTA[ID]))&amp;":"&amp;ADDRESS(ROW(),COLUMN(NOTA[ID]))),-1)))</f>
        <v>KALINDO SUKSES</v>
      </c>
      <c r="AI348" s="65" t="str">
        <f ca="1">IF(NOTA[[#This Row],[ID_H]]="","",IF(NOTA[[#This Row],[FAKTUR]]="",INDIRECT(ADDRESS(ROW()-1,COLUMN())),NOTA[[#This Row],[FAKTUR]]))</f>
        <v>ARTO MORO</v>
      </c>
      <c r="AJ348" s="38" t="str">
        <f ca="1">IF(NOTA[[#This Row],[ID]]="","",COUNTIF(NOTA[ID_H],NOTA[[#This Row],[ID_H]]))</f>
        <v/>
      </c>
      <c r="AK348" s="38">
        <f ca="1">IF(NOTA[[#This Row],[TGL.NOTA]]="",IF(NOTA[[#This Row],[SUPPLIER_H]]="","",AK347),MONTH(NOTA[[#This Row],[TGL.NOTA]]))</f>
        <v>1</v>
      </c>
      <c r="AL348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M348" s="38" t="str">
        <f>IF(NOTA[C]="",NOTA[[#This Row],[CONCAT1]]&amp;NOTA[[#This Row],[HARGA SATUAN]],NOTA[[#This Row],[CONCAT1]]&amp;NOTA[[#This Row],[HARGA/ CTN_H]]&amp;NOTA[[#This Row],[DISC 1]]&amp;NOTA[[#This Row],[DISC 2]])</f>
        <v>calculatorjoykocc15a56400000.1250.05</v>
      </c>
      <c r="AN348" s="184">
        <f>IF(NOTA[[#This Row],[CONCAT1]]="","",MATCH(NOTA[[#This Row],[CONCAT1]],[1]!db[NB NOTA_C],0)+1)</f>
        <v>392</v>
      </c>
    </row>
    <row r="349" spans="1:40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Row],[CEK_EXP]]&lt;D348,"err","")</f>
        <v/>
      </c>
      <c r="D349" s="50">
        <f>IF(NOTA[[#This Row],[TANGGAL]]="",D348,NOTA[[#This Row],[TANGGAL]])</f>
        <v>44938</v>
      </c>
      <c r="E349" s="50">
        <f ca="1">IF(NOTA[[#This Row],[NAMA BARANG]]="","",INDEX(NOTA[ID],MATCH(,INDIRECT(ADDRESS(ROW(NOTA[ID]),COLUMN(NOTA[ID]))&amp;":"&amp;ADDRESS(ROW(),COLUMN(NOTA[ID]))),-1)))</f>
        <v>67</v>
      </c>
      <c r="F349" s="23"/>
      <c r="G349" s="26"/>
      <c r="H349" s="26"/>
      <c r="I349" s="31"/>
      <c r="J349" s="26"/>
      <c r="K349" s="51"/>
      <c r="L349" s="26"/>
      <c r="M349" s="26" t="s">
        <v>509</v>
      </c>
      <c r="N349" s="39"/>
      <c r="O349" s="26">
        <v>40</v>
      </c>
      <c r="P349" s="26" t="s">
        <v>104</v>
      </c>
      <c r="Q349" s="49">
        <v>47000</v>
      </c>
      <c r="R349" s="52"/>
      <c r="S349" s="39" t="s">
        <v>517</v>
      </c>
      <c r="T349" s="53">
        <v>0.125</v>
      </c>
      <c r="U349" s="53">
        <v>0.05</v>
      </c>
      <c r="V349" s="54"/>
      <c r="W349" s="37"/>
      <c r="X349" s="54">
        <f>IF(NOTA[[#This Row],[HARGA/ CTN]]="",NOTA[[#This Row],[JUMLAH_H]],NOTA[[#This Row],[HARGA/ CTN]]*IF(NOTA[[#This Row],[C]]="",0,NOTA[[#This Row],[C]]))</f>
        <v>1880000</v>
      </c>
      <c r="Y349" s="54">
        <f>IF(NOTA[[#This Row],[JUMLAH]]="","",NOTA[[#This Row],[JUMLAH]]*NOTA[[#This Row],[DISC 1]])</f>
        <v>235000</v>
      </c>
      <c r="Z349" s="54">
        <f>IF(NOTA[[#This Row],[JUMLAH]]="","",(NOTA[[#This Row],[JUMLAH]]-NOTA[[#This Row],[DISC 1-]])*NOTA[[#This Row],[DISC 2]])</f>
        <v>82250</v>
      </c>
      <c r="AA349" s="54">
        <f>IF(NOTA[[#This Row],[JUMLAH]]="","",NOTA[[#This Row],[DISC 1-]]+NOTA[[#This Row],[DISC 2-]])</f>
        <v>317250</v>
      </c>
      <c r="AB349" s="54">
        <f>IF(NOTA[[#This Row],[JUMLAH]]="","",NOTA[[#This Row],[JUMLAH]]-NOTA[[#This Row],[DISC]])</f>
        <v>1562750</v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349" s="54">
        <f>IF(OR(NOTA[[#This Row],[QTY]]="",NOTA[[#This Row],[HARGA SATUAN]]="",),"",NOTA[[#This Row],[QTY]]*NOTA[[#This Row],[HARGA SATUAN]])</f>
        <v>1880000</v>
      </c>
      <c r="AG349" s="51">
        <f ca="1">IF(NOTA[ID_H]="","",INDEX(NOTA[TANGGAL],MATCH(,INDIRECT(ADDRESS(ROW(NOTA[TANGGAL]),COLUMN(NOTA[TANGGAL]))&amp;":"&amp;ADDRESS(ROW(),COLUMN(NOTA[TANGGAL]))),-1)))</f>
        <v>44938</v>
      </c>
      <c r="AH349" s="65" t="str">
        <f ca="1">IF(NOTA[[#This Row],[NAMA BARANG]]="","",INDEX(NOTA[SUPPLIER],MATCH(,INDIRECT(ADDRESS(ROW(NOTA[ID]),COLUMN(NOTA[ID]))&amp;":"&amp;ADDRESS(ROW(),COLUMN(NOTA[ID]))),-1)))</f>
        <v>KALINDO SUKSES</v>
      </c>
      <c r="AI349" s="65" t="str">
        <f ca="1">IF(NOTA[[#This Row],[ID_H]]="","",IF(NOTA[[#This Row],[FAKTUR]]="",INDIRECT(ADDRESS(ROW()-1,COLUMN())),NOTA[[#This Row],[FAKTUR]]))</f>
        <v>ARTO MORO</v>
      </c>
      <c r="AJ349" s="38" t="str">
        <f ca="1">IF(NOTA[[#This Row],[ID]]="","",COUNTIF(NOTA[ID_H],NOTA[[#This Row],[ID_H]]))</f>
        <v/>
      </c>
      <c r="AK349" s="38">
        <f ca="1">IF(NOTA[[#This Row],[TGL.NOTA]]="",IF(NOTA[[#This Row],[SUPPLIER_H]]="","",AK348),MONTH(NOTA[[#This Row],[TGL.NOTA]]))</f>
        <v>1</v>
      </c>
      <c r="AL34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349" s="38" t="str">
        <f>IF(NOTA[C]="",NOTA[[#This Row],[CONCAT1]]&amp;NOTA[[#This Row],[HARGA SATUAN]],NOTA[[#This Row],[CONCAT1]]&amp;NOTA[[#This Row],[HARGA/ CTN_H]]&amp;NOTA[[#This Row],[DISC 1]]&amp;NOTA[[#This Row],[DISC 2]])</f>
        <v>calculatorjoykocc8coblue47000</v>
      </c>
      <c r="AN349" s="184">
        <f>IF(NOTA[[#This Row],[CONCAT1]]="","",MATCH(NOTA[[#This Row],[CONCAT1]],[1]!db[NB NOTA_C],0)+1)</f>
        <v>425</v>
      </c>
    </row>
    <row r="350" spans="1:40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Row],[CEK_EXP]]&lt;D349,"err","")</f>
        <v/>
      </c>
      <c r="D350" s="50">
        <f>IF(NOTA[[#This Row],[TANGGAL]]="",D349,NOTA[[#This Row],[TANGGAL]])</f>
        <v>44938</v>
      </c>
      <c r="E350" s="50">
        <f ca="1">IF(NOTA[[#This Row],[NAMA BARANG]]="","",INDEX(NOTA[ID],MATCH(,INDIRECT(ADDRESS(ROW(NOTA[ID]),COLUMN(NOTA[ID]))&amp;":"&amp;ADDRESS(ROW(),COLUMN(NOTA[ID]))),-1)))</f>
        <v>67</v>
      </c>
      <c r="F350" s="23"/>
      <c r="G350" s="26"/>
      <c r="H350" s="26"/>
      <c r="I350" s="31"/>
      <c r="J350" s="26"/>
      <c r="K350" s="51"/>
      <c r="L350" s="26"/>
      <c r="M350" s="26" t="s">
        <v>510</v>
      </c>
      <c r="N350" s="39"/>
      <c r="O350" s="26">
        <v>40</v>
      </c>
      <c r="P350" s="26" t="s">
        <v>104</v>
      </c>
      <c r="Q350" s="49">
        <v>47000</v>
      </c>
      <c r="R350" s="52"/>
      <c r="S350" s="39" t="s">
        <v>517</v>
      </c>
      <c r="T350" s="53">
        <v>0.125</v>
      </c>
      <c r="U350" s="53">
        <v>0.05</v>
      </c>
      <c r="V350" s="54"/>
      <c r="W350" s="37"/>
      <c r="X350" s="54">
        <f>IF(NOTA[[#This Row],[HARGA/ CTN]]="",NOTA[[#This Row],[JUMLAH_H]],NOTA[[#This Row],[HARGA/ CTN]]*IF(NOTA[[#This Row],[C]]="",0,NOTA[[#This Row],[C]]))</f>
        <v>1880000</v>
      </c>
      <c r="Y350" s="54">
        <f>IF(NOTA[[#This Row],[JUMLAH]]="","",NOTA[[#This Row],[JUMLAH]]*NOTA[[#This Row],[DISC 1]])</f>
        <v>235000</v>
      </c>
      <c r="Z350" s="54">
        <f>IF(NOTA[[#This Row],[JUMLAH]]="","",(NOTA[[#This Row],[JUMLAH]]-NOTA[[#This Row],[DISC 1-]])*NOTA[[#This Row],[DISC 2]])</f>
        <v>82250</v>
      </c>
      <c r="AA350" s="54">
        <f>IF(NOTA[[#This Row],[JUMLAH]]="","",NOTA[[#This Row],[DISC 1-]]+NOTA[[#This Row],[DISC 2-]])</f>
        <v>317250</v>
      </c>
      <c r="AB350" s="54">
        <f>IF(NOTA[[#This Row],[JUMLAH]]="","",NOTA[[#This Row],[JUMLAH]]-NOTA[[#This Row],[DISC]])</f>
        <v>1562750</v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350" s="54">
        <f>IF(OR(NOTA[[#This Row],[QTY]]="",NOTA[[#This Row],[HARGA SATUAN]]="",),"",NOTA[[#This Row],[QTY]]*NOTA[[#This Row],[HARGA SATUAN]])</f>
        <v>1880000</v>
      </c>
      <c r="AG350" s="51">
        <f ca="1">IF(NOTA[ID_H]="","",INDEX(NOTA[TANGGAL],MATCH(,INDIRECT(ADDRESS(ROW(NOTA[TANGGAL]),COLUMN(NOTA[TANGGAL]))&amp;":"&amp;ADDRESS(ROW(),COLUMN(NOTA[TANGGAL]))),-1)))</f>
        <v>44938</v>
      </c>
      <c r="AH350" s="65" t="str">
        <f ca="1">IF(NOTA[[#This Row],[NAMA BARANG]]="","",INDEX(NOTA[SUPPLIER],MATCH(,INDIRECT(ADDRESS(ROW(NOTA[ID]),COLUMN(NOTA[ID]))&amp;":"&amp;ADDRESS(ROW(),COLUMN(NOTA[ID]))),-1)))</f>
        <v>KALINDO SUKSES</v>
      </c>
      <c r="AI350" s="65" t="str">
        <f ca="1">IF(NOTA[[#This Row],[ID_H]]="","",IF(NOTA[[#This Row],[FAKTUR]]="",INDIRECT(ADDRESS(ROW()-1,COLUMN())),NOTA[[#This Row],[FAKTUR]]))</f>
        <v>ARTO MORO</v>
      </c>
      <c r="AJ350" s="38" t="str">
        <f ca="1">IF(NOTA[[#This Row],[ID]]="","",COUNTIF(NOTA[ID_H],NOTA[[#This Row],[ID_H]]))</f>
        <v/>
      </c>
      <c r="AK350" s="38">
        <f ca="1">IF(NOTA[[#This Row],[TGL.NOTA]]="",IF(NOTA[[#This Row],[SUPPLIER_H]]="","",AK349),MONTH(NOTA[[#This Row],[TGL.NOTA]]))</f>
        <v>1</v>
      </c>
      <c r="AL35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350" s="38" t="str">
        <f>IF(NOTA[C]="",NOTA[[#This Row],[CONCAT1]]&amp;NOTA[[#This Row],[HARGA SATUAN]],NOTA[[#This Row],[CONCAT1]]&amp;NOTA[[#This Row],[HARGA/ CTN_H]]&amp;NOTA[[#This Row],[DISC 1]]&amp;NOTA[[#This Row],[DISC 2]])</f>
        <v>calculatorjoykocc8cogreen47000</v>
      </c>
      <c r="AN350" s="184">
        <f>IF(NOTA[[#This Row],[CONCAT1]]="","",MATCH(NOTA[[#This Row],[CONCAT1]],[1]!db[NB NOTA_C],0)+1)</f>
        <v>418</v>
      </c>
    </row>
    <row r="351" spans="1:40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Row],[CEK_EXP]]&lt;D350,"err","")</f>
        <v/>
      </c>
      <c r="D351" s="50">
        <f>IF(NOTA[[#This Row],[TANGGAL]]="",D350,NOTA[[#This Row],[TANGGAL]])</f>
        <v>44938</v>
      </c>
      <c r="E351" s="50">
        <f ca="1">IF(NOTA[[#This Row],[NAMA BARANG]]="","",INDEX(NOTA[ID],MATCH(,INDIRECT(ADDRESS(ROW(NOTA[ID]),COLUMN(NOTA[ID]))&amp;":"&amp;ADDRESS(ROW(),COLUMN(NOTA[ID]))),-1)))</f>
        <v>67</v>
      </c>
      <c r="F351" s="23"/>
      <c r="G351" s="26"/>
      <c r="H351" s="26"/>
      <c r="I351" s="31"/>
      <c r="J351" s="26"/>
      <c r="K351" s="51"/>
      <c r="L351" s="26"/>
      <c r="M351" s="26" t="s">
        <v>511</v>
      </c>
      <c r="N351" s="39"/>
      <c r="O351" s="26">
        <v>40</v>
      </c>
      <c r="P351" s="26" t="s">
        <v>104</v>
      </c>
      <c r="Q351" s="49">
        <v>47000</v>
      </c>
      <c r="R351" s="52"/>
      <c r="S351" s="39" t="s">
        <v>517</v>
      </c>
      <c r="T351" s="53">
        <v>0.125</v>
      </c>
      <c r="U351" s="53">
        <v>0.05</v>
      </c>
      <c r="V351" s="54"/>
      <c r="W351" s="37"/>
      <c r="X351" s="54">
        <f>IF(NOTA[[#This Row],[HARGA/ CTN]]="",NOTA[[#This Row],[JUMLAH_H]],NOTA[[#This Row],[HARGA/ CTN]]*IF(NOTA[[#This Row],[C]]="",0,NOTA[[#This Row],[C]]))</f>
        <v>1880000</v>
      </c>
      <c r="Y351" s="54">
        <f>IF(NOTA[[#This Row],[JUMLAH]]="","",NOTA[[#This Row],[JUMLAH]]*NOTA[[#This Row],[DISC 1]])</f>
        <v>235000</v>
      </c>
      <c r="Z351" s="54">
        <f>IF(NOTA[[#This Row],[JUMLAH]]="","",(NOTA[[#This Row],[JUMLAH]]-NOTA[[#This Row],[DISC 1-]])*NOTA[[#This Row],[DISC 2]])</f>
        <v>82250</v>
      </c>
      <c r="AA351" s="54">
        <f>IF(NOTA[[#This Row],[JUMLAH]]="","",NOTA[[#This Row],[DISC 1-]]+NOTA[[#This Row],[DISC 2-]])</f>
        <v>317250</v>
      </c>
      <c r="AB351" s="54">
        <f>IF(NOTA[[#This Row],[JUMLAH]]="","",NOTA[[#This Row],[JUMLAH]]-NOTA[[#This Row],[DISC]])</f>
        <v>1562750</v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351" s="54">
        <f>IF(OR(NOTA[[#This Row],[QTY]]="",NOTA[[#This Row],[HARGA SATUAN]]="",),"",NOTA[[#This Row],[QTY]]*NOTA[[#This Row],[HARGA SATUAN]])</f>
        <v>1880000</v>
      </c>
      <c r="AG351" s="51">
        <f ca="1">IF(NOTA[ID_H]="","",INDEX(NOTA[TANGGAL],MATCH(,INDIRECT(ADDRESS(ROW(NOTA[TANGGAL]),COLUMN(NOTA[TANGGAL]))&amp;":"&amp;ADDRESS(ROW(),COLUMN(NOTA[TANGGAL]))),-1)))</f>
        <v>44938</v>
      </c>
      <c r="AH351" s="65" t="str">
        <f ca="1">IF(NOTA[[#This Row],[NAMA BARANG]]="","",INDEX(NOTA[SUPPLIER],MATCH(,INDIRECT(ADDRESS(ROW(NOTA[ID]),COLUMN(NOTA[ID]))&amp;":"&amp;ADDRESS(ROW(),COLUMN(NOTA[ID]))),-1)))</f>
        <v>KALINDO SUKSES</v>
      </c>
      <c r="AI351" s="65" t="str">
        <f ca="1">IF(NOTA[[#This Row],[ID_H]]="","",IF(NOTA[[#This Row],[FAKTUR]]="",INDIRECT(ADDRESS(ROW()-1,COLUMN())),NOTA[[#This Row],[FAKTUR]]))</f>
        <v>ARTO MORO</v>
      </c>
      <c r="AJ351" s="38" t="str">
        <f ca="1">IF(NOTA[[#This Row],[ID]]="","",COUNTIF(NOTA[ID_H],NOTA[[#This Row],[ID_H]]))</f>
        <v/>
      </c>
      <c r="AK351" s="38">
        <f ca="1">IF(NOTA[[#This Row],[TGL.NOTA]]="",IF(NOTA[[#This Row],[SUPPLIER_H]]="","",AK350),MONTH(NOTA[[#This Row],[TGL.NOTA]]))</f>
        <v>1</v>
      </c>
      <c r="AL35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351" s="38" t="str">
        <f>IF(NOTA[C]="",NOTA[[#This Row],[CONCAT1]]&amp;NOTA[[#This Row],[HARGA SATUAN]],NOTA[[#This Row],[CONCAT1]]&amp;NOTA[[#This Row],[HARGA/ CTN_H]]&amp;NOTA[[#This Row],[DISC 1]]&amp;NOTA[[#This Row],[DISC 2]])</f>
        <v>calculatorjoykocc8coorange47000</v>
      </c>
      <c r="AN351" s="184">
        <f>IF(NOTA[[#This Row],[CONCAT1]]="","",MATCH(NOTA[[#This Row],[CONCAT1]],[1]!db[NB NOTA_C],0)+1)</f>
        <v>426</v>
      </c>
    </row>
    <row r="352" spans="1:40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Row],[CEK_EXP]]&lt;D351,"err","")</f>
        <v/>
      </c>
      <c r="D352" s="50">
        <f>IF(NOTA[[#This Row],[TANGGAL]]="",D351,NOTA[[#This Row],[TANGGAL]])</f>
        <v>44938</v>
      </c>
      <c r="E352" s="50">
        <f ca="1">IF(NOTA[[#This Row],[NAMA BARANG]]="","",INDEX(NOTA[ID],MATCH(,INDIRECT(ADDRESS(ROW(NOTA[ID]),COLUMN(NOTA[ID]))&amp;":"&amp;ADDRESS(ROW(),COLUMN(NOTA[ID]))),-1)))</f>
        <v>67</v>
      </c>
      <c r="F352" s="23"/>
      <c r="G352" s="26"/>
      <c r="H352" s="26"/>
      <c r="I352" s="31"/>
      <c r="J352" s="26"/>
      <c r="K352" s="51"/>
      <c r="L352" s="26"/>
      <c r="M352" s="26" t="s">
        <v>512</v>
      </c>
      <c r="N352" s="39">
        <v>1</v>
      </c>
      <c r="O352" s="26">
        <v>120</v>
      </c>
      <c r="P352" s="26" t="s">
        <v>104</v>
      </c>
      <c r="Q352" s="49">
        <v>47000</v>
      </c>
      <c r="R352" s="52"/>
      <c r="S352" s="39" t="s">
        <v>517</v>
      </c>
      <c r="T352" s="53">
        <v>0.125</v>
      </c>
      <c r="U352" s="53">
        <v>0.05</v>
      </c>
      <c r="V352" s="54"/>
      <c r="W352" s="37"/>
      <c r="X352" s="54">
        <f>IF(NOTA[[#This Row],[HARGA/ CTN]]="",NOTA[[#This Row],[JUMLAH_H]],NOTA[[#This Row],[HARGA/ CTN]]*IF(NOTA[[#This Row],[C]]="",0,NOTA[[#This Row],[C]]))</f>
        <v>5640000</v>
      </c>
      <c r="Y352" s="54">
        <f>IF(NOTA[[#This Row],[JUMLAH]]="","",NOTA[[#This Row],[JUMLAH]]*NOTA[[#This Row],[DISC 1]])</f>
        <v>705000</v>
      </c>
      <c r="Z352" s="54">
        <f>IF(NOTA[[#This Row],[JUMLAH]]="","",(NOTA[[#This Row],[JUMLAH]]-NOTA[[#This Row],[DISC 1-]])*NOTA[[#This Row],[DISC 2]])</f>
        <v>246750</v>
      </c>
      <c r="AA352" s="54">
        <f>IF(NOTA[[#This Row],[JUMLAH]]="","",NOTA[[#This Row],[DISC 1-]]+NOTA[[#This Row],[DISC 2-]])</f>
        <v>951750</v>
      </c>
      <c r="AB352" s="54">
        <f>IF(NOTA[[#This Row],[JUMLAH]]="","",NOTA[[#This Row],[JUMLAH]]-NOTA[[#This Row],[DISC]])</f>
        <v>4688250</v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352" s="54">
        <f>IF(OR(NOTA[[#This Row],[QTY]]="",NOTA[[#This Row],[HARGA SATUAN]]="",),"",NOTA[[#This Row],[QTY]]*NOTA[[#This Row],[HARGA SATUAN]])</f>
        <v>5640000</v>
      </c>
      <c r="AG352" s="51">
        <f ca="1">IF(NOTA[ID_H]="","",INDEX(NOTA[TANGGAL],MATCH(,INDIRECT(ADDRESS(ROW(NOTA[TANGGAL]),COLUMN(NOTA[TANGGAL]))&amp;":"&amp;ADDRESS(ROW(),COLUMN(NOTA[TANGGAL]))),-1)))</f>
        <v>44938</v>
      </c>
      <c r="AH352" s="65" t="str">
        <f ca="1">IF(NOTA[[#This Row],[NAMA BARANG]]="","",INDEX(NOTA[SUPPLIER],MATCH(,INDIRECT(ADDRESS(ROW(NOTA[ID]),COLUMN(NOTA[ID]))&amp;":"&amp;ADDRESS(ROW(),COLUMN(NOTA[ID]))),-1)))</f>
        <v>KALINDO SUKSES</v>
      </c>
      <c r="AI352" s="65" t="str">
        <f ca="1">IF(NOTA[[#This Row],[ID_H]]="","",IF(NOTA[[#This Row],[FAKTUR]]="",INDIRECT(ADDRESS(ROW()-1,COLUMN())),NOTA[[#This Row],[FAKTUR]]))</f>
        <v>ARTO MORO</v>
      </c>
      <c r="AJ352" s="38" t="str">
        <f ca="1">IF(NOTA[[#This Row],[ID]]="","",COUNTIF(NOTA[ID_H],NOTA[[#This Row],[ID_H]]))</f>
        <v/>
      </c>
      <c r="AK352" s="38">
        <f ca="1">IF(NOTA[[#This Row],[TGL.NOTA]]="",IF(NOTA[[#This Row],[SUPPLIER_H]]="","",AK351),MONTH(NOTA[[#This Row],[TGL.NOTA]]))</f>
        <v>1</v>
      </c>
      <c r="AL352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M352" s="38" t="str">
        <f>IF(NOTA[C]="",NOTA[[#This Row],[CONCAT1]]&amp;NOTA[[#This Row],[HARGA SATUAN]],NOTA[[#This Row],[CONCAT1]]&amp;NOTA[[#This Row],[HARGA/ CTN_H]]&amp;NOTA[[#This Row],[DISC 1]]&amp;NOTA[[#This Row],[DISC 2]])</f>
        <v>calculatorjoykocc8a56400000.1250.05</v>
      </c>
      <c r="AN352" s="184">
        <f>IF(NOTA[[#This Row],[CONCAT1]]="","",MATCH(NOTA[[#This Row],[CONCAT1]],[1]!db[NB NOTA_C],0)+1)</f>
        <v>424</v>
      </c>
    </row>
    <row r="353" spans="1:40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Row],[CEK_EXP]]&lt;D352,"err","")</f>
        <v/>
      </c>
      <c r="D353" s="50">
        <f>IF(NOTA[[#This Row],[TANGGAL]]="",D352,NOTA[[#This Row],[TANGGAL]])</f>
        <v>44938</v>
      </c>
      <c r="E353" s="50">
        <f ca="1">IF(NOTA[[#This Row],[NAMA BARANG]]="","",INDEX(NOTA[ID],MATCH(,INDIRECT(ADDRESS(ROW(NOTA[ID]),COLUMN(NOTA[ID]))&amp;":"&amp;ADDRESS(ROW(),COLUMN(NOTA[ID]))),-1)))</f>
        <v>67</v>
      </c>
      <c r="F353" s="23"/>
      <c r="G353" s="26"/>
      <c r="H353" s="26"/>
      <c r="I353" s="31"/>
      <c r="J353" s="26"/>
      <c r="K353" s="51"/>
      <c r="L353" s="26"/>
      <c r="M353" s="26" t="s">
        <v>513</v>
      </c>
      <c r="N353" s="39"/>
      <c r="O353" s="26">
        <v>27</v>
      </c>
      <c r="P353" s="26" t="s">
        <v>104</v>
      </c>
      <c r="Q353" s="49">
        <v>56000</v>
      </c>
      <c r="R353" s="52"/>
      <c r="S353" s="39" t="s">
        <v>442</v>
      </c>
      <c r="T353" s="53">
        <v>0.125</v>
      </c>
      <c r="U353" s="53">
        <v>0.05</v>
      </c>
      <c r="V353" s="54"/>
      <c r="W353" s="37"/>
      <c r="X353" s="54">
        <f>IF(NOTA[[#This Row],[HARGA/ CTN]]="",NOTA[[#This Row],[JUMLAH_H]],NOTA[[#This Row],[HARGA/ CTN]]*IF(NOTA[[#This Row],[C]]="",0,NOTA[[#This Row],[C]]))</f>
        <v>1512000</v>
      </c>
      <c r="Y353" s="54">
        <f>IF(NOTA[[#This Row],[JUMLAH]]="","",NOTA[[#This Row],[JUMLAH]]*NOTA[[#This Row],[DISC 1]])</f>
        <v>189000</v>
      </c>
      <c r="Z353" s="54">
        <f>IF(NOTA[[#This Row],[JUMLAH]]="","",(NOTA[[#This Row],[JUMLAH]]-NOTA[[#This Row],[DISC 1-]])*NOTA[[#This Row],[DISC 2]])</f>
        <v>66150</v>
      </c>
      <c r="AA353" s="54">
        <f>IF(NOTA[[#This Row],[JUMLAH]]="","",NOTA[[#This Row],[DISC 1-]]+NOTA[[#This Row],[DISC 2-]])</f>
        <v>255150</v>
      </c>
      <c r="AB353" s="54">
        <f>IF(NOTA[[#This Row],[JUMLAH]]="","",NOTA[[#This Row],[JUMLAH]]-NOTA[[#This Row],[DISC]])</f>
        <v>1256850</v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9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3" s="54">
        <f>IF(OR(NOTA[[#This Row],[QTY]]="",NOTA[[#This Row],[HARGA SATUAN]]="",),"",NOTA[[#This Row],[QTY]]*NOTA[[#This Row],[HARGA SATUAN]])</f>
        <v>1512000</v>
      </c>
      <c r="AG353" s="51">
        <f ca="1">IF(NOTA[ID_H]="","",INDEX(NOTA[TANGGAL],MATCH(,INDIRECT(ADDRESS(ROW(NOTA[TANGGAL]),COLUMN(NOTA[TANGGAL]))&amp;":"&amp;ADDRESS(ROW(),COLUMN(NOTA[TANGGAL]))),-1)))</f>
        <v>44938</v>
      </c>
      <c r="AH353" s="65" t="str">
        <f ca="1">IF(NOTA[[#This Row],[NAMA BARANG]]="","",INDEX(NOTA[SUPPLIER],MATCH(,INDIRECT(ADDRESS(ROW(NOTA[ID]),COLUMN(NOTA[ID]))&amp;":"&amp;ADDRESS(ROW(),COLUMN(NOTA[ID]))),-1)))</f>
        <v>KALINDO SUKSES</v>
      </c>
      <c r="AI353" s="65" t="str">
        <f ca="1">IF(NOTA[[#This Row],[ID_H]]="","",IF(NOTA[[#This Row],[FAKTUR]]="",INDIRECT(ADDRESS(ROW()-1,COLUMN())),NOTA[[#This Row],[FAKTUR]]))</f>
        <v>ARTO MORO</v>
      </c>
      <c r="AJ353" s="38" t="str">
        <f ca="1">IF(NOTA[[#This Row],[ID]]="","",COUNTIF(NOTA[ID_H],NOTA[[#This Row],[ID_H]]))</f>
        <v/>
      </c>
      <c r="AK353" s="38">
        <f ca="1">IF(NOTA[[#This Row],[TGL.NOTA]]="",IF(NOTA[[#This Row],[SUPPLIER_H]]="","",AK352),MONTH(NOTA[[#This Row],[TGL.NOTA]]))</f>
        <v>1</v>
      </c>
      <c r="AL353" s="38" t="str">
        <f>LOWER(SUBSTITUTE(SUBSTITUTE(SUBSTITUTE(SUBSTITUTE(SUBSTITUTE(SUBSTITUTE(SUBSTITUTE(SUBSTITUTE(SUBSTITUTE(NOTA[NAMA BARANG]," ",),".",""),"-",""),"(",""),")",""),",",""),"/",""),"""",""),"+",""))</f>
        <v>calculatorjoykocc12coblue</v>
      </c>
      <c r="AM353" s="38" t="str">
        <f>IF(NOTA[C]="",NOTA[[#This Row],[CONCAT1]]&amp;NOTA[[#This Row],[HARGA SATUAN]],NOTA[[#This Row],[CONCAT1]]&amp;NOTA[[#This Row],[HARGA/ CTN_H]]&amp;NOTA[[#This Row],[DISC 1]]&amp;NOTA[[#This Row],[DISC 2]])</f>
        <v>calculatorjoykocc12coblue56000</v>
      </c>
      <c r="AN353" s="184">
        <f>IF(NOTA[[#This Row],[CONCAT1]]="","",MATCH(NOTA[[#This Row],[CONCAT1]],[1]!db[NB NOTA_C],0)+1)</f>
        <v>389</v>
      </c>
    </row>
    <row r="354" spans="1:40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Row],[CEK_EXP]]&lt;D353,"err","")</f>
        <v/>
      </c>
      <c r="D354" s="50">
        <f>IF(NOTA[[#This Row],[TANGGAL]]="",D353,NOTA[[#This Row],[TANGGAL]])</f>
        <v>44938</v>
      </c>
      <c r="E354" s="50">
        <f ca="1">IF(NOTA[[#This Row],[NAMA BARANG]]="","",INDEX(NOTA[ID],MATCH(,INDIRECT(ADDRESS(ROW(NOTA[ID]),COLUMN(NOTA[ID]))&amp;":"&amp;ADDRESS(ROW(),COLUMN(NOTA[ID]))),-1)))</f>
        <v>67</v>
      </c>
      <c r="F354" s="23"/>
      <c r="G354" s="26"/>
      <c r="H354" s="26"/>
      <c r="I354" s="31"/>
      <c r="J354" s="26"/>
      <c r="K354" s="51"/>
      <c r="L354" s="26"/>
      <c r="M354" s="26" t="s">
        <v>518</v>
      </c>
      <c r="N354" s="39"/>
      <c r="O354" s="26">
        <v>27</v>
      </c>
      <c r="P354" s="26" t="s">
        <v>104</v>
      </c>
      <c r="Q354" s="49">
        <v>56000</v>
      </c>
      <c r="R354" s="52"/>
      <c r="S354" s="39" t="s">
        <v>442</v>
      </c>
      <c r="T354" s="53">
        <v>0.125</v>
      </c>
      <c r="U354" s="53">
        <v>0.05</v>
      </c>
      <c r="V354" s="54"/>
      <c r="W354" s="37"/>
      <c r="X354" s="54">
        <f>IF(NOTA[[#This Row],[HARGA/ CTN]]="",NOTA[[#This Row],[JUMLAH_H]],NOTA[[#This Row],[HARGA/ CTN]]*IF(NOTA[[#This Row],[C]]="",0,NOTA[[#This Row],[C]]))</f>
        <v>1512000</v>
      </c>
      <c r="Y354" s="54">
        <f>IF(NOTA[[#This Row],[JUMLAH]]="","",NOTA[[#This Row],[JUMLAH]]*NOTA[[#This Row],[DISC 1]])</f>
        <v>189000</v>
      </c>
      <c r="Z354" s="54">
        <f>IF(NOTA[[#This Row],[JUMLAH]]="","",(NOTA[[#This Row],[JUMLAH]]-NOTA[[#This Row],[DISC 1-]])*NOTA[[#This Row],[DISC 2]])</f>
        <v>66150</v>
      </c>
      <c r="AA354" s="54">
        <f>IF(NOTA[[#This Row],[JUMLAH]]="","",NOTA[[#This Row],[DISC 1-]]+NOTA[[#This Row],[DISC 2-]])</f>
        <v>255150</v>
      </c>
      <c r="AB354" s="54">
        <f>IF(NOTA[[#This Row],[JUMLAH]]="","",NOTA[[#This Row],[JUMLAH]]-NOTA[[#This Row],[DISC]])</f>
        <v>1256850</v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9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4" s="54">
        <f>IF(OR(NOTA[[#This Row],[QTY]]="",NOTA[[#This Row],[HARGA SATUAN]]="",),"",NOTA[[#This Row],[QTY]]*NOTA[[#This Row],[HARGA SATUAN]])</f>
        <v>1512000</v>
      </c>
      <c r="AG354" s="51">
        <f ca="1">IF(NOTA[ID_H]="","",INDEX(NOTA[TANGGAL],MATCH(,INDIRECT(ADDRESS(ROW(NOTA[TANGGAL]),COLUMN(NOTA[TANGGAL]))&amp;":"&amp;ADDRESS(ROW(),COLUMN(NOTA[TANGGAL]))),-1)))</f>
        <v>44938</v>
      </c>
      <c r="AH354" s="65" t="str">
        <f ca="1">IF(NOTA[[#This Row],[NAMA BARANG]]="","",INDEX(NOTA[SUPPLIER],MATCH(,INDIRECT(ADDRESS(ROW(NOTA[ID]),COLUMN(NOTA[ID]))&amp;":"&amp;ADDRESS(ROW(),COLUMN(NOTA[ID]))),-1)))</f>
        <v>KALINDO SUKSES</v>
      </c>
      <c r="AI354" s="65" t="str">
        <f ca="1">IF(NOTA[[#This Row],[ID_H]]="","",IF(NOTA[[#This Row],[FAKTUR]]="",INDIRECT(ADDRESS(ROW()-1,COLUMN())),NOTA[[#This Row],[FAKTUR]]))</f>
        <v>ARTO MORO</v>
      </c>
      <c r="AJ354" s="38" t="str">
        <f ca="1">IF(NOTA[[#This Row],[ID]]="","",COUNTIF(NOTA[ID_H],NOTA[[#This Row],[ID_H]]))</f>
        <v/>
      </c>
      <c r="AK354" s="38">
        <f ca="1">IF(NOTA[[#This Row],[TGL.NOTA]]="",IF(NOTA[[#This Row],[SUPPLIER_H]]="","",AK353),MONTH(NOTA[[#This Row],[TGL.NOTA]]))</f>
        <v>1</v>
      </c>
      <c r="AL354" s="38" t="str">
        <f>LOWER(SUBSTITUTE(SUBSTITUTE(SUBSTITUTE(SUBSTITUTE(SUBSTITUTE(SUBSTITUTE(SUBSTITUTE(SUBSTITUTE(SUBSTITUTE(NOTA[NAMA BARANG]," ",),".",""),"-",""),"(",""),")",""),",",""),"/",""),"""",""),"+",""))</f>
        <v>calculatorjoykocc12cogreen</v>
      </c>
      <c r="AM354" s="38" t="str">
        <f>IF(NOTA[C]="",NOTA[[#This Row],[CONCAT1]]&amp;NOTA[[#This Row],[HARGA SATUAN]],NOTA[[#This Row],[CONCAT1]]&amp;NOTA[[#This Row],[HARGA/ CTN_H]]&amp;NOTA[[#This Row],[DISC 1]]&amp;NOTA[[#This Row],[DISC 2]])</f>
        <v>calculatorjoykocc12cogreen56000</v>
      </c>
      <c r="AN354" s="184">
        <f>IF(NOTA[[#This Row],[CONCAT1]]="","",MATCH(NOTA[[#This Row],[CONCAT1]],[1]!db[NB NOTA_C],0)+1)</f>
        <v>390</v>
      </c>
    </row>
    <row r="355" spans="1:40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Row],[CEK_EXP]]&lt;D354,"err","")</f>
        <v/>
      </c>
      <c r="D355" s="50">
        <f>IF(NOTA[[#This Row],[TANGGAL]]="",D354,NOTA[[#This Row],[TANGGAL]])</f>
        <v>44938</v>
      </c>
      <c r="E355" s="50">
        <f ca="1">IF(NOTA[[#This Row],[NAMA BARANG]]="","",INDEX(NOTA[ID],MATCH(,INDIRECT(ADDRESS(ROW(NOTA[ID]),COLUMN(NOTA[ID]))&amp;":"&amp;ADDRESS(ROW(),COLUMN(NOTA[ID]))),-1)))</f>
        <v>67</v>
      </c>
      <c r="F355" s="23"/>
      <c r="G355" s="26"/>
      <c r="H355" s="26"/>
      <c r="I355" s="31"/>
      <c r="J355" s="26"/>
      <c r="K355" s="51"/>
      <c r="L355" s="26"/>
      <c r="M355" s="26" t="s">
        <v>514</v>
      </c>
      <c r="N355" s="39"/>
      <c r="O355" s="26">
        <v>26</v>
      </c>
      <c r="P355" s="26" t="s">
        <v>104</v>
      </c>
      <c r="Q355" s="49">
        <v>56000</v>
      </c>
      <c r="R355" s="52"/>
      <c r="S355" s="39" t="s">
        <v>442</v>
      </c>
      <c r="T355" s="53">
        <v>0.125</v>
      </c>
      <c r="U355" s="53">
        <v>0.05</v>
      </c>
      <c r="V355" s="54"/>
      <c r="W355" s="37"/>
      <c r="X355" s="54">
        <f>IF(NOTA[[#This Row],[HARGA/ CTN]]="",NOTA[[#This Row],[JUMLAH_H]],NOTA[[#This Row],[HARGA/ CTN]]*IF(NOTA[[#This Row],[C]]="",0,NOTA[[#This Row],[C]]))</f>
        <v>1456000</v>
      </c>
      <c r="Y355" s="54">
        <f>IF(NOTA[[#This Row],[JUMLAH]]="","",NOTA[[#This Row],[JUMLAH]]*NOTA[[#This Row],[DISC 1]])</f>
        <v>182000</v>
      </c>
      <c r="Z355" s="54">
        <f>IF(NOTA[[#This Row],[JUMLAH]]="","",(NOTA[[#This Row],[JUMLAH]]-NOTA[[#This Row],[DISC 1-]])*NOTA[[#This Row],[DISC 2]])</f>
        <v>63700</v>
      </c>
      <c r="AA355" s="54">
        <f>IF(NOTA[[#This Row],[JUMLAH]]="","",NOTA[[#This Row],[DISC 1-]]+NOTA[[#This Row],[DISC 2-]])</f>
        <v>245700</v>
      </c>
      <c r="AB355" s="54">
        <f>IF(NOTA[[#This Row],[JUMLAH]]="","",NOTA[[#This Row],[JUMLAH]]-NOTA[[#This Row],[DISC]])</f>
        <v>1210300</v>
      </c>
      <c r="AC35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7521250</v>
      </c>
      <c r="AD35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32278750</v>
      </c>
      <c r="AE355" s="49">
        <f>IF(NOTA[[#This Row],[NAMA BARANG]]="","",IF(NOTA[[#This Row],[JUMLAH_H]]="",NOTA[[#This Row],[HARGA/ CTN]],NOTA[[#This Row],[QTY]]*NOTA[[#This Row],[HARGA SATUAN]]/IF(ISNUMBER(NOTA[[#This Row],[C]]),NOTA[[#This Row],[C]],1)))</f>
        <v>1456000</v>
      </c>
      <c r="AF355" s="54">
        <f>IF(OR(NOTA[[#This Row],[QTY]]="",NOTA[[#This Row],[HARGA SATUAN]]="",),"",NOTA[[#This Row],[QTY]]*NOTA[[#This Row],[HARGA SATUAN]])</f>
        <v>1456000</v>
      </c>
      <c r="AG355" s="51">
        <f ca="1">IF(NOTA[ID_H]="","",INDEX(NOTA[TANGGAL],MATCH(,INDIRECT(ADDRESS(ROW(NOTA[TANGGAL]),COLUMN(NOTA[TANGGAL]))&amp;":"&amp;ADDRESS(ROW(),COLUMN(NOTA[TANGGAL]))),-1)))</f>
        <v>44938</v>
      </c>
      <c r="AH355" s="65" t="str">
        <f ca="1">IF(NOTA[[#This Row],[NAMA BARANG]]="","",INDEX(NOTA[SUPPLIER],MATCH(,INDIRECT(ADDRESS(ROW(NOTA[ID]),COLUMN(NOTA[ID]))&amp;":"&amp;ADDRESS(ROW(),COLUMN(NOTA[ID]))),-1)))</f>
        <v>KALINDO SUKSES</v>
      </c>
      <c r="AI355" s="65" t="str">
        <f ca="1">IF(NOTA[[#This Row],[ID_H]]="","",IF(NOTA[[#This Row],[FAKTUR]]="",INDIRECT(ADDRESS(ROW()-1,COLUMN())),NOTA[[#This Row],[FAKTUR]]))</f>
        <v>ARTO MORO</v>
      </c>
      <c r="AJ355" s="38" t="str">
        <f ca="1">IF(NOTA[[#This Row],[ID]]="","",COUNTIF(NOTA[ID_H],NOTA[[#This Row],[ID_H]]))</f>
        <v/>
      </c>
      <c r="AK355" s="38">
        <f ca="1">IF(NOTA[[#This Row],[TGL.NOTA]]="",IF(NOTA[[#This Row],[SUPPLIER_H]]="","",AK354),MONTH(NOTA[[#This Row],[TGL.NOTA]]))</f>
        <v>1</v>
      </c>
      <c r="AL355" s="38" t="str">
        <f>LOWER(SUBSTITUTE(SUBSTITUTE(SUBSTITUTE(SUBSTITUTE(SUBSTITUTE(SUBSTITUTE(SUBSTITUTE(SUBSTITUTE(SUBSTITUTE(NOTA[NAMA BARANG]," ",),".",""),"-",""),"(",""),")",""),",",""),"/",""),"""",""),"+",""))</f>
        <v>calculatorjoykocc12coyellow</v>
      </c>
      <c r="AM355" s="38" t="str">
        <f>IF(NOTA[C]="",NOTA[[#This Row],[CONCAT1]]&amp;NOTA[[#This Row],[HARGA SATUAN]],NOTA[[#This Row],[CONCAT1]]&amp;NOTA[[#This Row],[HARGA/ CTN_H]]&amp;NOTA[[#This Row],[DISC 1]]&amp;NOTA[[#This Row],[DISC 2]])</f>
        <v>calculatorjoykocc12coyellow56000</v>
      </c>
      <c r="AN355" s="184">
        <f>IF(NOTA[[#This Row],[CONCAT1]]="","",MATCH(NOTA[[#This Row],[CONCAT1]],[1]!db[NB NOTA_C],0)+1)</f>
        <v>391</v>
      </c>
    </row>
    <row r="356" spans="1:40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Row],[CEK_EXP]]&lt;D355,"err","")</f>
        <v/>
      </c>
      <c r="D356" s="50">
        <f>IF(NOTA[[#This Row],[TANGGAL]]="",D355,NOTA[[#This Row],[TANGGAL]])</f>
        <v>44938</v>
      </c>
      <c r="E356" s="50" t="str">
        <f ca="1">IF(NOTA[[#This Row],[NAMA BARANG]]="","",INDEX(NOTA[ID],MATCH(,INDIRECT(ADDRESS(ROW(NOTA[ID]),COLUMN(NOTA[ID]))&amp;":"&amp;ADDRESS(ROW(),COLUMN(NOTA[ID]))),-1)))</f>
        <v/>
      </c>
      <c r="F356" s="23"/>
      <c r="G356" s="26"/>
      <c r="H356" s="26"/>
      <c r="I356" s="31"/>
      <c r="J356" s="26"/>
      <c r="K356" s="51"/>
      <c r="L356" s="26"/>
      <c r="M356" s="26"/>
      <c r="N356" s="39"/>
      <c r="O356" s="26"/>
      <c r="P356" s="26"/>
      <c r="Q356" s="49"/>
      <c r="R356" s="52"/>
      <c r="S356" s="39"/>
      <c r="T356" s="53"/>
      <c r="U356" s="53"/>
      <c r="V356" s="54"/>
      <c r="W356" s="37"/>
      <c r="X356" s="54" t="str">
        <f>IF(NOTA[[#This Row],[HARGA/ CTN]]="",NOTA[[#This Row],[JUMLAH_H]],NOTA[[#This Row],[HARGA/ CTN]]*IF(NOTA[[#This Row],[C]]="",0,NOTA[[#This Row],[C]]))</f>
        <v/>
      </c>
      <c r="Y356" s="54" t="str">
        <f>IF(NOTA[[#This Row],[JUMLAH]]="","",NOTA[[#This Row],[JUMLAH]]*NOTA[[#This Row],[DISC 1]])</f>
        <v/>
      </c>
      <c r="Z356" s="54" t="str">
        <f>IF(NOTA[[#This Row],[JUMLAH]]="","",(NOTA[[#This Row],[JUMLAH]]-NOTA[[#This Row],[DISC 1-]])*NOTA[[#This Row],[DISC 2]])</f>
        <v/>
      </c>
      <c r="AA356" s="54" t="str">
        <f>IF(NOTA[[#This Row],[JUMLAH]]="","",NOTA[[#This Row],[DISC 1-]]+NOTA[[#This Row],[DISC 2-]])</f>
        <v/>
      </c>
      <c r="AB356" s="54" t="str">
        <f>IF(NOTA[[#This Row],[JUMLAH]]="","",NOTA[[#This Row],[JUMLAH]]-NOTA[[#This Row],[DISC]])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54" t="str">
        <f>IF(OR(NOTA[[#This Row],[QTY]]="",NOTA[[#This Row],[HARGA SATUAN]]="",),"",NOTA[[#This Row],[QTY]]*NOTA[[#This Row],[HARGA SATUAN]])</f>
        <v/>
      </c>
      <c r="AG356" s="51" t="str">
        <f ca="1">IF(NOTA[ID_H]="","",INDEX(NOTA[TANGGAL],MATCH(,INDIRECT(ADDRESS(ROW(NOTA[TANGGAL]),COLUMN(NOTA[TANGGAL]))&amp;":"&amp;ADDRESS(ROW(),COLUMN(NOTA[TANGGAL]))),-1)))</f>
        <v/>
      </c>
      <c r="AH356" s="65" t="str">
        <f ca="1">IF(NOTA[[#This Row],[NAMA BARANG]]="","",INDEX(NOTA[SUPPLIER],MATCH(,INDIRECT(ADDRESS(ROW(NOTA[ID]),COLUMN(NOTA[ID]))&amp;":"&amp;ADDRESS(ROW(),COLUMN(NOTA[ID]))),-1)))</f>
        <v/>
      </c>
      <c r="AI356" s="65" t="str">
        <f ca="1">IF(NOTA[[#This Row],[ID_H]]="","",IF(NOTA[[#This Row],[FAKTUR]]="",INDIRECT(ADDRESS(ROW()-1,COLUMN())),NOTA[[#This Row],[FAKTUR]]))</f>
        <v/>
      </c>
      <c r="AJ356" s="38" t="str">
        <f ca="1">IF(NOTA[[#This Row],[ID]]="","",COUNTIF(NOTA[ID_H],NOTA[[#This Row],[ID_H]]))</f>
        <v/>
      </c>
      <c r="AK356" s="38" t="str">
        <f ca="1">IF(NOTA[[#This Row],[TGL.NOTA]]="",IF(NOTA[[#This Row],[SUPPLIER_H]]="","",AK355),MONTH(NOTA[[#This Row],[TGL.NOTA]]))</f>
        <v/>
      </c>
      <c r="AL356" s="38" t="str">
        <f>LOWER(SUBSTITUTE(SUBSTITUTE(SUBSTITUTE(SUBSTITUTE(SUBSTITUTE(SUBSTITUTE(SUBSTITUTE(SUBSTITUTE(SUBSTITUTE(NOTA[NAMA BARANG]," ",),".",""),"-",""),"(",""),")",""),",",""),"/",""),"""",""),"+",""))</f>
        <v/>
      </c>
      <c r="AM356" s="38" t="str">
        <f>IF(NOTA[C]="",NOTA[[#This Row],[CONCAT1]]&amp;NOTA[[#This Row],[HARGA SATUAN]],NOTA[[#This Row],[CONCAT1]]&amp;NOTA[[#This Row],[HARGA/ CTN_H]]&amp;NOTA[[#This Row],[DISC 1]]&amp;NOTA[[#This Row],[DISC 2]])</f>
        <v/>
      </c>
      <c r="AN356" s="184" t="str">
        <f>IF(NOTA[[#This Row],[CONCAT1]]="","",MATCH(NOTA[[#This Row],[CONCAT1]],[1]!db[NB NOTA_C],0)+1)</f>
        <v/>
      </c>
    </row>
    <row r="357" spans="1:40" ht="20.100000000000001" customHeight="1" x14ac:dyDescent="0.25">
      <c r="A357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5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KAL_1201_094-1</v>
      </c>
      <c r="C357" s="50" t="str">
        <f>IF(NOTA[[#This Row],[CEK_EXP]]&lt;D356,"err","")</f>
        <v/>
      </c>
      <c r="D357" s="50">
        <f>IF(NOTA[[#This Row],[TANGGAL]]="",D356,NOTA[[#This Row],[TANGGAL]])</f>
        <v>44938</v>
      </c>
      <c r="E357" s="50">
        <f ca="1">IF(NOTA[[#This Row],[NAMA BARANG]]="","",INDEX(NOTA[ID],MATCH(,INDIRECT(ADDRESS(ROW(NOTA[ID]),COLUMN(NOTA[ID]))&amp;":"&amp;ADDRESS(ROW(),COLUMN(NOTA[ID]))),-1)))</f>
        <v>68</v>
      </c>
      <c r="F357" s="23"/>
      <c r="G357" s="26" t="s">
        <v>52</v>
      </c>
      <c r="H357" s="26" t="s">
        <v>24</v>
      </c>
      <c r="I357" s="31" t="s">
        <v>519</v>
      </c>
      <c r="J357" s="26"/>
      <c r="K357" s="51">
        <v>44935</v>
      </c>
      <c r="L357" s="26"/>
      <c r="M357" s="26" t="s">
        <v>520</v>
      </c>
      <c r="N357" s="39">
        <v>1</v>
      </c>
      <c r="O357" s="26">
        <v>60</v>
      </c>
      <c r="P357" s="26" t="s">
        <v>104</v>
      </c>
      <c r="Q357" s="49">
        <v>79000</v>
      </c>
      <c r="R357" s="52"/>
      <c r="S357" s="39" t="s">
        <v>516</v>
      </c>
      <c r="T357" s="53">
        <v>0.125</v>
      </c>
      <c r="U357" s="53">
        <v>0.05</v>
      </c>
      <c r="V357" s="54"/>
      <c r="W357" s="37"/>
      <c r="X357" s="54">
        <f>IF(NOTA[[#This Row],[HARGA/ CTN]]="",NOTA[[#This Row],[JUMLAH_H]],NOTA[[#This Row],[HARGA/ CTN]]*IF(NOTA[[#This Row],[C]]="",0,NOTA[[#This Row],[C]]))</f>
        <v>4740000</v>
      </c>
      <c r="Y357" s="54">
        <f>IF(NOTA[[#This Row],[JUMLAH]]="","",NOTA[[#This Row],[JUMLAH]]*NOTA[[#This Row],[DISC 1]])</f>
        <v>592500</v>
      </c>
      <c r="Z357" s="54">
        <f>IF(NOTA[[#This Row],[JUMLAH]]="","",(NOTA[[#This Row],[JUMLAH]]-NOTA[[#This Row],[DISC 1-]])*NOTA[[#This Row],[DISC 2]])</f>
        <v>207375</v>
      </c>
      <c r="AA357" s="54">
        <f>IF(NOTA[[#This Row],[JUMLAH]]="","",NOTA[[#This Row],[DISC 1-]]+NOTA[[#This Row],[DISC 2-]])</f>
        <v>799875</v>
      </c>
      <c r="AB357" s="54">
        <f>IF(NOTA[[#This Row],[JUMLAH]]="","",NOTA[[#This Row],[JUMLAH]]-NOTA[[#This Row],[DISC]])</f>
        <v>3940125</v>
      </c>
      <c r="AC3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799875</v>
      </c>
      <c r="AD3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3940125</v>
      </c>
      <c r="AE357" s="49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F357" s="54">
        <f>IF(OR(NOTA[[#This Row],[QTY]]="",NOTA[[#This Row],[HARGA SATUAN]]="",),"",NOTA[[#This Row],[QTY]]*NOTA[[#This Row],[HARGA SATUAN]])</f>
        <v>4740000</v>
      </c>
      <c r="AG357" s="51">
        <f ca="1">IF(NOTA[ID_H]="","",INDEX(NOTA[TANGGAL],MATCH(,INDIRECT(ADDRESS(ROW(NOTA[TANGGAL]),COLUMN(NOTA[TANGGAL]))&amp;":"&amp;ADDRESS(ROW(),COLUMN(NOTA[TANGGAL]))),-1)))</f>
        <v>44938</v>
      </c>
      <c r="AH357" s="65" t="str">
        <f ca="1">IF(NOTA[[#This Row],[NAMA BARANG]]="","",INDEX(NOTA[SUPPLIER],MATCH(,INDIRECT(ADDRESS(ROW(NOTA[ID]),COLUMN(NOTA[ID]))&amp;":"&amp;ADDRESS(ROW(),COLUMN(NOTA[ID]))),-1)))</f>
        <v>KALINDO SUKSES</v>
      </c>
      <c r="AI357" s="65" t="str">
        <f ca="1">IF(NOTA[[#This Row],[ID_H]]="","",IF(NOTA[[#This Row],[FAKTUR]]="",INDIRECT(ADDRESS(ROW()-1,COLUMN())),NOTA[[#This Row],[FAKTUR]]))</f>
        <v>ARTO MORO</v>
      </c>
      <c r="AJ357" s="38">
        <f ca="1">IF(NOTA[[#This Row],[ID]]="","",COUNTIF(NOTA[ID_H],NOTA[[#This Row],[ID_H]]))</f>
        <v>1</v>
      </c>
      <c r="AK357" s="38">
        <f>IF(NOTA[[#This Row],[TGL.NOTA]]="",IF(NOTA[[#This Row],[SUPPLIER_H]]="","",AK356),MONTH(NOTA[[#This Row],[TGL.NOTA]]))</f>
        <v>1</v>
      </c>
      <c r="AL357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M357" s="38" t="str">
        <f>IF(NOTA[C]="",NOTA[[#This Row],[CONCAT1]]&amp;NOTA[[#This Row],[HARGA SATUAN]],NOTA[[#This Row],[CONCAT1]]&amp;NOTA[[#This Row],[HARGA/ CTN_H]]&amp;NOTA[[#This Row],[DISC 1]]&amp;NOTA[[#This Row],[DISC 2]])</f>
        <v>calculatorjoykocc800ch47400000.1250.05</v>
      </c>
      <c r="AN357" s="184">
        <f>IF(NOTA[[#This Row],[CONCAT1]]="","",MATCH(NOTA[[#This Row],[CONCAT1]],[1]!db[NB NOTA_C],0)+1)</f>
        <v>419</v>
      </c>
    </row>
    <row r="358" spans="1:40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Row],[CEK_EXP]]&lt;D357,"err","")</f>
        <v/>
      </c>
      <c r="D358" s="50">
        <f>IF(NOTA[[#This Row],[TANGGAL]]="",D357,NOTA[[#This Row],[TANGGAL]])</f>
        <v>44938</v>
      </c>
      <c r="E358" s="50" t="str">
        <f ca="1">IF(NOTA[[#This Row],[NAMA BARANG]]="","",INDEX(NOTA[ID],MATCH(,INDIRECT(ADDRESS(ROW(NOTA[ID]),COLUMN(NOTA[ID]))&amp;":"&amp;ADDRESS(ROW(),COLUMN(NOTA[ID]))),-1)))</f>
        <v/>
      </c>
      <c r="F358" s="23"/>
      <c r="G358" s="26"/>
      <c r="H358" s="26"/>
      <c r="I358" s="31"/>
      <c r="J358" s="26"/>
      <c r="K358" s="51"/>
      <c r="L358" s="26"/>
      <c r="M358" s="26"/>
      <c r="N358" s="39"/>
      <c r="O358" s="26"/>
      <c r="P358" s="26"/>
      <c r="Q358" s="49"/>
      <c r="R358" s="52"/>
      <c r="S358" s="39"/>
      <c r="T358" s="53"/>
      <c r="U358" s="53"/>
      <c r="V358" s="54"/>
      <c r="W358" s="37"/>
      <c r="X358" s="54" t="str">
        <f>IF(NOTA[[#This Row],[HARGA/ CTN]]="",NOTA[[#This Row],[JUMLAH_H]],NOTA[[#This Row],[HARGA/ CTN]]*IF(NOTA[[#This Row],[C]]="",0,NOTA[[#This Row],[C]]))</f>
        <v/>
      </c>
      <c r="Y358" s="54" t="str">
        <f>IF(NOTA[[#This Row],[JUMLAH]]="","",NOTA[[#This Row],[JUMLAH]]*NOTA[[#This Row],[DISC 1]])</f>
        <v/>
      </c>
      <c r="Z358" s="54" t="str">
        <f>IF(NOTA[[#This Row],[JUMLAH]]="","",(NOTA[[#This Row],[JUMLAH]]-NOTA[[#This Row],[DISC 1-]])*NOTA[[#This Row],[DISC 2]])</f>
        <v/>
      </c>
      <c r="AA358" s="54" t="str">
        <f>IF(NOTA[[#This Row],[JUMLAH]]="","",NOTA[[#This Row],[DISC 1-]]+NOTA[[#This Row],[DISC 2-]])</f>
        <v/>
      </c>
      <c r="AB358" s="54" t="str">
        <f>IF(NOTA[[#This Row],[JUMLAH]]="","",NOTA[[#This Row],[JUMLAH]]-NOTA[[#This Row],[DISC]])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54" t="str">
        <f>IF(OR(NOTA[[#This Row],[QTY]]="",NOTA[[#This Row],[HARGA SATUAN]]="",),"",NOTA[[#This Row],[QTY]]*NOTA[[#This Row],[HARGA SATUAN]])</f>
        <v/>
      </c>
      <c r="AG358" s="51" t="str">
        <f ca="1">IF(NOTA[ID_H]="","",INDEX(NOTA[TANGGAL],MATCH(,INDIRECT(ADDRESS(ROW(NOTA[TANGGAL]),COLUMN(NOTA[TANGGAL]))&amp;":"&amp;ADDRESS(ROW(),COLUMN(NOTA[TANGGAL]))),-1)))</f>
        <v/>
      </c>
      <c r="AH358" s="65" t="str">
        <f ca="1">IF(NOTA[[#This Row],[NAMA BARANG]]="","",INDEX(NOTA[SUPPLIER],MATCH(,INDIRECT(ADDRESS(ROW(NOTA[ID]),COLUMN(NOTA[ID]))&amp;":"&amp;ADDRESS(ROW(),COLUMN(NOTA[ID]))),-1)))</f>
        <v/>
      </c>
      <c r="AI358" s="65" t="str">
        <f ca="1">IF(NOTA[[#This Row],[ID_H]]="","",IF(NOTA[[#This Row],[FAKTUR]]="",INDIRECT(ADDRESS(ROW()-1,COLUMN())),NOTA[[#This Row],[FAKTUR]]))</f>
        <v/>
      </c>
      <c r="AJ358" s="38" t="str">
        <f ca="1">IF(NOTA[[#This Row],[ID]]="","",COUNTIF(NOTA[ID_H],NOTA[[#This Row],[ID_H]]))</f>
        <v/>
      </c>
      <c r="AK358" s="38" t="str">
        <f ca="1">IF(NOTA[[#This Row],[TGL.NOTA]]="",IF(NOTA[[#This Row],[SUPPLIER_H]]="","",AK357),MONTH(NOTA[[#This Row],[TGL.NOTA]]))</f>
        <v/>
      </c>
      <c r="AL358" s="38" t="str">
        <f>LOWER(SUBSTITUTE(SUBSTITUTE(SUBSTITUTE(SUBSTITUTE(SUBSTITUTE(SUBSTITUTE(SUBSTITUTE(SUBSTITUTE(SUBSTITUTE(NOTA[NAMA BARANG]," ",),".",""),"-",""),"(",""),")",""),",",""),"/",""),"""",""),"+",""))</f>
        <v/>
      </c>
      <c r="AM358" s="38" t="str">
        <f>IF(NOTA[C]="",NOTA[[#This Row],[CONCAT1]]&amp;NOTA[[#This Row],[HARGA SATUAN]],NOTA[[#This Row],[CONCAT1]]&amp;NOTA[[#This Row],[HARGA/ CTN_H]]&amp;NOTA[[#This Row],[DISC 1]]&amp;NOTA[[#This Row],[DISC 2]])</f>
        <v/>
      </c>
      <c r="AN358" s="184" t="str">
        <f>IF(NOTA[[#This Row],[CONCAT1]]="","",MATCH(NOTA[[#This Row],[CONCAT1]],[1]!db[NB NOTA_C],0)+1)</f>
        <v/>
      </c>
    </row>
    <row r="359" spans="1:40" ht="20.100000000000001" customHeight="1" x14ac:dyDescent="0.25">
      <c r="A359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KEN_1201_574-10</v>
      </c>
      <c r="C359" s="50" t="str">
        <f>IF(NOTA[[#This Row],[CEK_EXP]]&lt;D358,"err","")</f>
        <v/>
      </c>
      <c r="D359" s="50">
        <f>IF(NOTA[[#This Row],[TANGGAL]]="",D358,NOTA[[#This Row],[TANGGAL]])</f>
        <v>44938</v>
      </c>
      <c r="E359" s="50">
        <f ca="1">IF(NOTA[[#This Row],[NAMA BARANG]]="","",INDEX(NOTA[ID],MATCH(,INDIRECT(ADDRESS(ROW(NOTA[ID]),COLUMN(NOTA[ID]))&amp;":"&amp;ADDRESS(ROW(),COLUMN(NOTA[ID]))),-1)))</f>
        <v>69</v>
      </c>
      <c r="F359" s="23"/>
      <c r="G359" s="26" t="s">
        <v>23</v>
      </c>
      <c r="H359" s="26" t="s">
        <v>24</v>
      </c>
      <c r="I359" s="31" t="s">
        <v>521</v>
      </c>
      <c r="J359" s="26" t="s">
        <v>534</v>
      </c>
      <c r="K359" s="51">
        <v>44936</v>
      </c>
      <c r="L359" s="26"/>
      <c r="M359" s="26" t="s">
        <v>455</v>
      </c>
      <c r="N359" s="39">
        <v>2</v>
      </c>
      <c r="O359" s="26"/>
      <c r="P359" s="26"/>
      <c r="Q359" s="49"/>
      <c r="R359" s="52">
        <v>2052000</v>
      </c>
      <c r="S359" s="39" t="s">
        <v>118</v>
      </c>
      <c r="T359" s="53">
        <v>0.17</v>
      </c>
      <c r="U359" s="53"/>
      <c r="V359" s="54"/>
      <c r="W359" s="37"/>
      <c r="X359" s="54">
        <f>IF(NOTA[[#This Row],[HARGA/ CTN]]="",NOTA[[#This Row],[JUMLAH_H]],NOTA[[#This Row],[HARGA/ CTN]]*IF(NOTA[[#This Row],[C]]="",0,NOTA[[#This Row],[C]]))</f>
        <v>4104000</v>
      </c>
      <c r="Y359" s="54">
        <f>IF(NOTA[[#This Row],[JUMLAH]]="","",NOTA[[#This Row],[JUMLAH]]*NOTA[[#This Row],[DISC 1]])</f>
        <v>697680</v>
      </c>
      <c r="Z359" s="54">
        <f>IF(NOTA[[#This Row],[JUMLAH]]="","",(NOTA[[#This Row],[JUMLAH]]-NOTA[[#This Row],[DISC 1-]])*NOTA[[#This Row],[DISC 2]])</f>
        <v>0</v>
      </c>
      <c r="AA359" s="54">
        <f>IF(NOTA[[#This Row],[JUMLAH]]="","",NOTA[[#This Row],[DISC 1-]]+NOTA[[#This Row],[DISC 2-]])</f>
        <v>697680</v>
      </c>
      <c r="AB359" s="54">
        <f>IF(NOTA[[#This Row],[JUMLAH]]="","",NOTA[[#This Row],[JUMLAH]]-NOTA[[#This Row],[DISC]])</f>
        <v>3406320</v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59" s="54" t="str">
        <f>IF(OR(NOTA[[#This Row],[QTY]]="",NOTA[[#This Row],[HARGA SATUAN]]="",),"",NOTA[[#This Row],[QTY]]*NOTA[[#This Row],[HARGA SATUAN]])</f>
        <v/>
      </c>
      <c r="AG359" s="51">
        <f ca="1">IF(NOTA[ID_H]="","",INDEX(NOTA[TANGGAL],MATCH(,INDIRECT(ADDRESS(ROW(NOTA[TANGGAL]),COLUMN(NOTA[TANGGAL]))&amp;":"&amp;ADDRESS(ROW(),COLUMN(NOTA[TANGGAL]))),-1)))</f>
        <v>44938</v>
      </c>
      <c r="AH359" s="65" t="str">
        <f ca="1">IF(NOTA[[#This Row],[NAMA BARANG]]="","",INDEX(NOTA[SUPPLIER],MATCH(,INDIRECT(ADDRESS(ROW(NOTA[ID]),COLUMN(NOTA[ID]))&amp;":"&amp;ADDRESS(ROW(),COLUMN(NOTA[ID]))),-1)))</f>
        <v>KENKO SINAR INDONESIA</v>
      </c>
      <c r="AI359" s="65" t="str">
        <f ca="1">IF(NOTA[[#This Row],[ID_H]]="","",IF(NOTA[[#This Row],[FAKTUR]]="",INDIRECT(ADDRESS(ROW()-1,COLUMN())),NOTA[[#This Row],[FAKTUR]]))</f>
        <v>ARTO MORO</v>
      </c>
      <c r="AJ359" s="38">
        <f ca="1">IF(NOTA[[#This Row],[ID]]="","",COUNTIF(NOTA[ID_H],NOTA[[#This Row],[ID_H]]))</f>
        <v>10</v>
      </c>
      <c r="AK359" s="38">
        <f>IF(NOTA[[#This Row],[TGL.NOTA]]="",IF(NOTA[[#This Row],[SUPPLIER_H]]="","",AK358),MONTH(NOTA[[#This Row],[TGL.NOTA]]))</f>
        <v>1</v>
      </c>
      <c r="AL359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59" s="38" t="str">
        <f>IF(NOTA[C]="",NOTA[[#This Row],[CONCAT1]]&amp;NOTA[[#This Row],[HARGA SATUAN]],NOTA[[#This Row],[CONCAT1]]&amp;NOTA[[#This Row],[HARGA/ CTN_H]]&amp;NOTA[[#This Row],[DISC 1]]&amp;NOTA[[#This Row],[DISC 2]])</f>
        <v>kenkocorrectionfluidke823m20520000.17</v>
      </c>
      <c r="AN359" s="184">
        <f>IF(NOTA[[#This Row],[CONCAT1]]="","",MATCH(NOTA[[#This Row],[CONCAT1]],[1]!db[NB NOTA_C],0)+1)</f>
        <v>1106</v>
      </c>
    </row>
    <row r="360" spans="1:40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Row],[CEK_EXP]]&lt;D359,"err","")</f>
        <v/>
      </c>
      <c r="D360" s="50">
        <f>IF(NOTA[[#This Row],[TANGGAL]]="",D359,NOTA[[#This Row],[TANGGAL]])</f>
        <v>44938</v>
      </c>
      <c r="E360" s="50">
        <f ca="1">IF(NOTA[[#This Row],[NAMA BARANG]]="","",INDEX(NOTA[ID],MATCH(,INDIRECT(ADDRESS(ROW(NOTA[ID]),COLUMN(NOTA[ID]))&amp;":"&amp;ADDRESS(ROW(),COLUMN(NOTA[ID]))),-1)))</f>
        <v>69</v>
      </c>
      <c r="F360" s="23"/>
      <c r="G360" s="26"/>
      <c r="H360" s="26"/>
      <c r="I360" s="31"/>
      <c r="J360" s="26"/>
      <c r="K360" s="51"/>
      <c r="L360" s="26"/>
      <c r="M360" s="26" t="s">
        <v>522</v>
      </c>
      <c r="N360" s="39">
        <v>1</v>
      </c>
      <c r="O360" s="26"/>
      <c r="P360" s="26"/>
      <c r="Q360" s="49"/>
      <c r="R360" s="52">
        <v>570000</v>
      </c>
      <c r="S360" s="39" t="s">
        <v>533</v>
      </c>
      <c r="T360" s="53">
        <v>0.17</v>
      </c>
      <c r="U360" s="53"/>
      <c r="V360" s="54"/>
      <c r="W360" s="37"/>
      <c r="X360" s="54">
        <f>IF(NOTA[[#This Row],[HARGA/ CTN]]="",NOTA[[#This Row],[JUMLAH_H]],NOTA[[#This Row],[HARGA/ CTN]]*IF(NOTA[[#This Row],[C]]="",0,NOTA[[#This Row],[C]]))</f>
        <v>570000</v>
      </c>
      <c r="Y360" s="54">
        <f>IF(NOTA[[#This Row],[JUMLAH]]="","",NOTA[[#This Row],[JUMLAH]]*NOTA[[#This Row],[DISC 1]])</f>
        <v>96900</v>
      </c>
      <c r="Z360" s="54">
        <f>IF(NOTA[[#This Row],[JUMLAH]]="","",(NOTA[[#This Row],[JUMLAH]]-NOTA[[#This Row],[DISC 1-]])*NOTA[[#This Row],[DISC 2]])</f>
        <v>0</v>
      </c>
      <c r="AA360" s="54">
        <f>IF(NOTA[[#This Row],[JUMLAH]]="","",NOTA[[#This Row],[DISC 1-]]+NOTA[[#This Row],[DISC 2-]])</f>
        <v>96900</v>
      </c>
      <c r="AB360" s="54">
        <f>IF(NOTA[[#This Row],[JUMLAH]]="","",NOTA[[#This Row],[JUMLAH]]-NOTA[[#This Row],[DISC]])</f>
        <v>473100</v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9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60" s="54" t="str">
        <f>IF(OR(NOTA[[#This Row],[QTY]]="",NOTA[[#This Row],[HARGA SATUAN]]="",),"",NOTA[[#This Row],[QTY]]*NOTA[[#This Row],[HARGA SATUAN]])</f>
        <v/>
      </c>
      <c r="AG360" s="51">
        <f ca="1">IF(NOTA[ID_H]="","",INDEX(NOTA[TANGGAL],MATCH(,INDIRECT(ADDRESS(ROW(NOTA[TANGGAL]),COLUMN(NOTA[TANGGAL]))&amp;":"&amp;ADDRESS(ROW(),COLUMN(NOTA[TANGGAL]))),-1)))</f>
        <v>44938</v>
      </c>
      <c r="AH360" s="65" t="str">
        <f ca="1">IF(NOTA[[#This Row],[NAMA BARANG]]="","",INDEX(NOTA[SUPPLIER],MATCH(,INDIRECT(ADDRESS(ROW(NOTA[ID]),COLUMN(NOTA[ID]))&amp;":"&amp;ADDRESS(ROW(),COLUMN(NOTA[ID]))),-1)))</f>
        <v>KENKO SINAR INDONESIA</v>
      </c>
      <c r="AI360" s="65" t="str">
        <f ca="1">IF(NOTA[[#This Row],[ID_H]]="","",IF(NOTA[[#This Row],[FAKTUR]]="",INDIRECT(ADDRESS(ROW()-1,COLUMN())),NOTA[[#This Row],[FAKTUR]]))</f>
        <v>ARTO MORO</v>
      </c>
      <c r="AJ360" s="38" t="str">
        <f ca="1">IF(NOTA[[#This Row],[ID]]="","",COUNTIF(NOTA[ID_H],NOTA[[#This Row],[ID_H]]))</f>
        <v/>
      </c>
      <c r="AK360" s="38">
        <f ca="1">IF(NOTA[[#This Row],[TGL.NOTA]]="",IF(NOTA[[#This Row],[SUPPLIER_H]]="","",AK359),MONTH(NOTA[[#This Row],[TGL.NOTA]]))</f>
        <v>1</v>
      </c>
      <c r="AL360" s="38" t="str">
        <f>LOWER(SUBSTITUTE(SUBSTITUTE(SUBSTITUTE(SUBSTITUTE(SUBSTITUTE(SUBSTITUTE(SUBSTITUTE(SUBSTITUTE(SUBSTITUTE(NOTA[NAMA BARANG]," ",),".",""),"-",""),"(",""),")",""),",",""),"/",""),"""",""),"+",""))</f>
        <v>kenkodoubletape48mmhgbluecorebt</v>
      </c>
      <c r="AM360" s="38" t="str">
        <f>IF(NOTA[C]="",NOTA[[#This Row],[CONCAT1]]&amp;NOTA[[#This Row],[HARGA SATUAN]],NOTA[[#This Row],[CONCAT1]]&amp;NOTA[[#This Row],[HARGA/ CTN_H]]&amp;NOTA[[#This Row],[DISC 1]]&amp;NOTA[[#This Row],[DISC 2]])</f>
        <v>kenkodoubletape48mmhgbluecorebt5700000.17</v>
      </c>
      <c r="AN360" s="184">
        <f>IF(NOTA[[#This Row],[CONCAT1]]="","",MATCH(NOTA[[#This Row],[CONCAT1]],[1]!db[NB NOTA_C],0)+1)</f>
        <v>1142</v>
      </c>
    </row>
    <row r="361" spans="1:40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Row],[CEK_EXP]]&lt;D360,"err","")</f>
        <v/>
      </c>
      <c r="D361" s="50">
        <f>IF(NOTA[[#This Row],[TANGGAL]]="",D360,NOTA[[#This Row],[TANGGAL]])</f>
        <v>44938</v>
      </c>
      <c r="E361" s="50">
        <f ca="1">IF(NOTA[[#This Row],[NAMA BARANG]]="","",INDEX(NOTA[ID],MATCH(,INDIRECT(ADDRESS(ROW(NOTA[ID]),COLUMN(NOTA[ID]))&amp;":"&amp;ADDRESS(ROW(),COLUMN(NOTA[ID]))),-1)))</f>
        <v>69</v>
      </c>
      <c r="F361" s="23"/>
      <c r="G361" s="26"/>
      <c r="H361" s="26"/>
      <c r="I361" s="31"/>
      <c r="J361" s="26"/>
      <c r="K361" s="51"/>
      <c r="L361" s="26"/>
      <c r="M361" s="26" t="s">
        <v>523</v>
      </c>
      <c r="N361" s="39">
        <v>2</v>
      </c>
      <c r="O361" s="26"/>
      <c r="P361" s="26"/>
      <c r="Q361" s="49"/>
      <c r="R361" s="52">
        <v>2170800</v>
      </c>
      <c r="S361" s="39" t="s">
        <v>118</v>
      </c>
      <c r="T361" s="53">
        <v>0.17</v>
      </c>
      <c r="U361" s="53"/>
      <c r="V361" s="54"/>
      <c r="W361" s="37"/>
      <c r="X361" s="54">
        <f>IF(NOTA[[#This Row],[HARGA/ CTN]]="",NOTA[[#This Row],[JUMLAH_H]],NOTA[[#This Row],[HARGA/ CTN]]*IF(NOTA[[#This Row],[C]]="",0,NOTA[[#This Row],[C]]))</f>
        <v>4341600</v>
      </c>
      <c r="Y361" s="54">
        <f>IF(NOTA[[#This Row],[JUMLAH]]="","",NOTA[[#This Row],[JUMLAH]]*NOTA[[#This Row],[DISC 1]])</f>
        <v>738072</v>
      </c>
      <c r="Z361" s="54">
        <f>IF(NOTA[[#This Row],[JUMLAH]]="","",(NOTA[[#This Row],[JUMLAH]]-NOTA[[#This Row],[DISC 1-]])*NOTA[[#This Row],[DISC 2]])</f>
        <v>0</v>
      </c>
      <c r="AA361" s="54">
        <f>IF(NOTA[[#This Row],[JUMLAH]]="","",NOTA[[#This Row],[DISC 1-]]+NOTA[[#This Row],[DISC 2-]])</f>
        <v>738072</v>
      </c>
      <c r="AB361" s="54">
        <f>IF(NOTA[[#This Row],[JUMLAH]]="","",NOTA[[#This Row],[JUMLAH]]-NOTA[[#This Row],[DISC]])</f>
        <v>3603528</v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361" s="54" t="str">
        <f>IF(OR(NOTA[[#This Row],[QTY]]="",NOTA[[#This Row],[HARGA SATUAN]]="",),"",NOTA[[#This Row],[QTY]]*NOTA[[#This Row],[HARGA SATUAN]])</f>
        <v/>
      </c>
      <c r="AG361" s="51">
        <f ca="1">IF(NOTA[ID_H]="","",INDEX(NOTA[TANGGAL],MATCH(,INDIRECT(ADDRESS(ROW(NOTA[TANGGAL]),COLUMN(NOTA[TANGGAL]))&amp;":"&amp;ADDRESS(ROW(),COLUMN(NOTA[TANGGAL]))),-1)))</f>
        <v>44938</v>
      </c>
      <c r="AH361" s="65" t="str">
        <f ca="1">IF(NOTA[[#This Row],[NAMA BARANG]]="","",INDEX(NOTA[SUPPLIER],MATCH(,INDIRECT(ADDRESS(ROW(NOTA[ID]),COLUMN(NOTA[ID]))&amp;":"&amp;ADDRESS(ROW(),COLUMN(NOTA[ID]))),-1)))</f>
        <v>KENKO SINAR INDONESIA</v>
      </c>
      <c r="AI361" s="65" t="str">
        <f ca="1">IF(NOTA[[#This Row],[ID_H]]="","",IF(NOTA[[#This Row],[FAKTUR]]="",INDIRECT(ADDRESS(ROW()-1,COLUMN())),NOTA[[#This Row],[FAKTUR]]))</f>
        <v>ARTO MORO</v>
      </c>
      <c r="AJ361" s="38" t="str">
        <f ca="1">IF(NOTA[[#This Row],[ID]]="","",COUNTIF(NOTA[ID_H],NOTA[[#This Row],[ID_H]]))</f>
        <v/>
      </c>
      <c r="AK361" s="38">
        <f ca="1">IF(NOTA[[#This Row],[TGL.NOTA]]="",IF(NOTA[[#This Row],[SUPPLIER_H]]="","",AK360),MONTH(NOTA[[#This Row],[TGL.NOTA]]))</f>
        <v>1</v>
      </c>
      <c r="AL36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361" s="38" t="str">
        <f>IF(NOTA[C]="",NOTA[[#This Row],[CONCAT1]]&amp;NOTA[[#This Row],[HARGA SATUAN]],NOTA[[#This Row],[CONCAT1]]&amp;NOTA[[#This Row],[HARGA/ CTN_H]]&amp;NOTA[[#This Row],[DISC 1]]&amp;NOTA[[#This Row],[DISC 2]])</f>
        <v>kenkocorrectionfluidke826m21708000.17</v>
      </c>
      <c r="AN361" s="184">
        <f>IF(NOTA[[#This Row],[CONCAT1]]="","",MATCH(NOTA[[#This Row],[CONCAT1]],[1]!db[NB NOTA_C],0)+1)</f>
        <v>1107</v>
      </c>
    </row>
    <row r="362" spans="1:40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Row],[CEK_EXP]]&lt;D361,"err","")</f>
        <v/>
      </c>
      <c r="D362" s="50">
        <f>IF(NOTA[[#This Row],[TANGGAL]]="",D361,NOTA[[#This Row],[TANGGAL]])</f>
        <v>44938</v>
      </c>
      <c r="E362" s="50">
        <f ca="1">IF(NOTA[[#This Row],[NAMA BARANG]]="","",INDEX(NOTA[ID],MATCH(,INDIRECT(ADDRESS(ROW(NOTA[ID]),COLUMN(NOTA[ID]))&amp;":"&amp;ADDRESS(ROW(),COLUMN(NOTA[ID]))),-1)))</f>
        <v>69</v>
      </c>
      <c r="F362" s="23"/>
      <c r="G362" s="26"/>
      <c r="H362" s="26"/>
      <c r="I362" s="31"/>
      <c r="J362" s="26"/>
      <c r="K362" s="51"/>
      <c r="L362" s="26"/>
      <c r="M362" s="26" t="s">
        <v>524</v>
      </c>
      <c r="N362" s="39">
        <v>1</v>
      </c>
      <c r="O362" s="26"/>
      <c r="P362" s="26"/>
      <c r="Q362" s="49"/>
      <c r="R362" s="52">
        <v>844800</v>
      </c>
      <c r="S362" s="39" t="s">
        <v>106</v>
      </c>
      <c r="T362" s="53">
        <v>0.17</v>
      </c>
      <c r="U362" s="53"/>
      <c r="V362" s="54"/>
      <c r="W362" s="37"/>
      <c r="X362" s="54">
        <f>IF(NOTA[[#This Row],[HARGA/ CTN]]="",NOTA[[#This Row],[JUMLAH_H]],NOTA[[#This Row],[HARGA/ CTN]]*IF(NOTA[[#This Row],[C]]="",0,NOTA[[#This Row],[C]]))</f>
        <v>844800</v>
      </c>
      <c r="Y362" s="54">
        <f>IF(NOTA[[#This Row],[JUMLAH]]="","",NOTA[[#This Row],[JUMLAH]]*NOTA[[#This Row],[DISC 1]])</f>
        <v>143616</v>
      </c>
      <c r="Z362" s="54">
        <f>IF(NOTA[[#This Row],[JUMLAH]]="","",(NOTA[[#This Row],[JUMLAH]]-NOTA[[#This Row],[DISC 1-]])*NOTA[[#This Row],[DISC 2]])</f>
        <v>0</v>
      </c>
      <c r="AA362" s="54">
        <f>IF(NOTA[[#This Row],[JUMLAH]]="","",NOTA[[#This Row],[DISC 1-]]+NOTA[[#This Row],[DISC 2-]])</f>
        <v>143616</v>
      </c>
      <c r="AB362" s="54">
        <f>IF(NOTA[[#This Row],[JUMLAH]]="","",NOTA[[#This Row],[JUMLAH]]-NOTA[[#This Row],[DISC]])</f>
        <v>701184</v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362" s="54" t="str">
        <f>IF(OR(NOTA[[#This Row],[QTY]]="",NOTA[[#This Row],[HARGA SATUAN]]="",),"",NOTA[[#This Row],[QTY]]*NOTA[[#This Row],[HARGA SATUAN]])</f>
        <v/>
      </c>
      <c r="AG362" s="51">
        <f ca="1">IF(NOTA[ID_H]="","",INDEX(NOTA[TANGGAL],MATCH(,INDIRECT(ADDRESS(ROW(NOTA[TANGGAL]),COLUMN(NOTA[TANGGAL]))&amp;":"&amp;ADDRESS(ROW(),COLUMN(NOTA[TANGGAL]))),-1)))</f>
        <v>44938</v>
      </c>
      <c r="AH362" s="65" t="str">
        <f ca="1">IF(NOTA[[#This Row],[NAMA BARANG]]="","",INDEX(NOTA[SUPPLIER],MATCH(,INDIRECT(ADDRESS(ROW(NOTA[ID]),COLUMN(NOTA[ID]))&amp;":"&amp;ADDRESS(ROW(),COLUMN(NOTA[ID]))),-1)))</f>
        <v>KENKO SINAR INDONESIA</v>
      </c>
      <c r="AI362" s="65" t="str">
        <f ca="1">IF(NOTA[[#This Row],[ID_H]]="","",IF(NOTA[[#This Row],[FAKTUR]]="",INDIRECT(ADDRESS(ROW()-1,COLUMN())),NOTA[[#This Row],[FAKTUR]]))</f>
        <v>ARTO MORO</v>
      </c>
      <c r="AJ362" s="38" t="str">
        <f ca="1">IF(NOTA[[#This Row],[ID]]="","",COUNTIF(NOTA[ID_H],NOTA[[#This Row],[ID_H]]))</f>
        <v/>
      </c>
      <c r="AK362" s="38">
        <f ca="1">IF(NOTA[[#This Row],[TGL.NOTA]]="",IF(NOTA[[#This Row],[SUPPLIER_H]]="","",AK361),MONTH(NOTA[[#This Row],[TGL.NOTA]]))</f>
        <v>1</v>
      </c>
      <c r="AL362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362" s="38" t="str">
        <f>IF(NOTA[C]="",NOTA[[#This Row],[CONCAT1]]&amp;NOTA[[#This Row],[HARGA SATUAN]],NOTA[[#This Row],[CONCAT1]]&amp;NOTA[[#This Row],[HARGA/ CTN_H]]&amp;NOTA[[#This Row],[DISC 1]]&amp;NOTA[[#This Row],[DISC 2]])</f>
        <v>kenkolooseleafa5ll5020708448000.17</v>
      </c>
      <c r="AN362" s="184">
        <f>IF(NOTA[[#This Row],[CONCAT1]]="","",MATCH(NOTA[[#This Row],[CONCAT1]],[1]!db[NB NOTA_C],0)+1)</f>
        <v>1215</v>
      </c>
    </row>
    <row r="363" spans="1:40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Row],[CEK_EXP]]&lt;D362,"err","")</f>
        <v/>
      </c>
      <c r="D363" s="50">
        <f>IF(NOTA[[#This Row],[TANGGAL]]="",D362,NOTA[[#This Row],[TANGGAL]])</f>
        <v>44938</v>
      </c>
      <c r="E363" s="50">
        <f ca="1">IF(NOTA[[#This Row],[NAMA BARANG]]="","",INDEX(NOTA[ID],MATCH(,INDIRECT(ADDRESS(ROW(NOTA[ID]),COLUMN(NOTA[ID]))&amp;":"&amp;ADDRESS(ROW(),COLUMN(NOTA[ID]))),-1)))</f>
        <v>69</v>
      </c>
      <c r="F363" s="23"/>
      <c r="G363" s="26"/>
      <c r="H363" s="26"/>
      <c r="I363" s="31"/>
      <c r="J363" s="26"/>
      <c r="K363" s="51"/>
      <c r="L363" s="26"/>
      <c r="M363" s="26" t="s">
        <v>525</v>
      </c>
      <c r="N363" s="39">
        <v>1</v>
      </c>
      <c r="O363" s="26"/>
      <c r="P363" s="26"/>
      <c r="Q363" s="49"/>
      <c r="R363" s="52">
        <v>1040000</v>
      </c>
      <c r="S363" s="39" t="s">
        <v>531</v>
      </c>
      <c r="T363" s="53">
        <v>0.17</v>
      </c>
      <c r="U363" s="53"/>
      <c r="V363" s="54"/>
      <c r="W363" s="37"/>
      <c r="X363" s="54">
        <f>IF(NOTA[[#This Row],[HARGA/ CTN]]="",NOTA[[#This Row],[JUMLAH_H]],NOTA[[#This Row],[HARGA/ CTN]]*IF(NOTA[[#This Row],[C]]="",0,NOTA[[#This Row],[C]]))</f>
        <v>1040000</v>
      </c>
      <c r="Y363" s="54">
        <f>IF(NOTA[[#This Row],[JUMLAH]]="","",NOTA[[#This Row],[JUMLAH]]*NOTA[[#This Row],[DISC 1]])</f>
        <v>176800</v>
      </c>
      <c r="Z363" s="54">
        <f>IF(NOTA[[#This Row],[JUMLAH]]="","",(NOTA[[#This Row],[JUMLAH]]-NOTA[[#This Row],[DISC 1-]])*NOTA[[#This Row],[DISC 2]])</f>
        <v>0</v>
      </c>
      <c r="AA363" s="54">
        <f>IF(NOTA[[#This Row],[JUMLAH]]="","",NOTA[[#This Row],[DISC 1-]]+NOTA[[#This Row],[DISC 2-]])</f>
        <v>176800</v>
      </c>
      <c r="AB363" s="54">
        <f>IF(NOTA[[#This Row],[JUMLAH]]="","",NOTA[[#This Row],[JUMLAH]]-NOTA[[#This Row],[DISC]])</f>
        <v>863200</v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363" s="54" t="str">
        <f>IF(OR(NOTA[[#This Row],[QTY]]="",NOTA[[#This Row],[HARGA SATUAN]]="",),"",NOTA[[#This Row],[QTY]]*NOTA[[#This Row],[HARGA SATUAN]])</f>
        <v/>
      </c>
      <c r="AG363" s="51">
        <f ca="1">IF(NOTA[ID_H]="","",INDEX(NOTA[TANGGAL],MATCH(,INDIRECT(ADDRESS(ROW(NOTA[TANGGAL]),COLUMN(NOTA[TANGGAL]))&amp;":"&amp;ADDRESS(ROW(),COLUMN(NOTA[TANGGAL]))),-1)))</f>
        <v>44938</v>
      </c>
      <c r="AH363" s="65" t="str">
        <f ca="1">IF(NOTA[[#This Row],[NAMA BARANG]]="","",INDEX(NOTA[SUPPLIER],MATCH(,INDIRECT(ADDRESS(ROW(NOTA[ID]),COLUMN(NOTA[ID]))&amp;":"&amp;ADDRESS(ROW(),COLUMN(NOTA[ID]))),-1)))</f>
        <v>KENKO SINAR INDONESIA</v>
      </c>
      <c r="AI363" s="65" t="str">
        <f ca="1">IF(NOTA[[#This Row],[ID_H]]="","",IF(NOTA[[#This Row],[FAKTUR]]="",INDIRECT(ADDRESS(ROW()-1,COLUMN())),NOTA[[#This Row],[FAKTUR]]))</f>
        <v>ARTO MORO</v>
      </c>
      <c r="AJ363" s="38" t="str">
        <f ca="1">IF(NOTA[[#This Row],[ID]]="","",COUNTIF(NOTA[ID_H],NOTA[[#This Row],[ID_H]]))</f>
        <v/>
      </c>
      <c r="AK363" s="38">
        <f ca="1">IF(NOTA[[#This Row],[TGL.NOTA]]="",IF(NOTA[[#This Row],[SUPPLIER_H]]="","",AK362),MONTH(NOTA[[#This Row],[TGL.NOTA]]))</f>
        <v>1</v>
      </c>
      <c r="AL363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363" s="38" t="str">
        <f>IF(NOTA[C]="",NOTA[[#This Row],[CONCAT1]]&amp;NOTA[[#This Row],[HARGA SATUAN]],NOTA[[#This Row],[CONCAT1]]&amp;NOTA[[#This Row],[HARGA/ CTN_H]]&amp;NOTA[[#This Row],[DISC 1]]&amp;NOTA[[#This Row],[DISC 2]])</f>
        <v>kenkolooseleafb5ll100267010400000.17</v>
      </c>
      <c r="AN363" s="184">
        <f>IF(NOTA[[#This Row],[CONCAT1]]="","",MATCH(NOTA[[#This Row],[CONCAT1]],[1]!db[NB NOTA_C],0)+1)</f>
        <v>1216</v>
      </c>
    </row>
    <row r="364" spans="1:40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Row],[CEK_EXP]]&lt;D363,"err","")</f>
        <v/>
      </c>
      <c r="D364" s="50">
        <f>IF(NOTA[[#This Row],[TANGGAL]]="",D363,NOTA[[#This Row],[TANGGAL]])</f>
        <v>44938</v>
      </c>
      <c r="E364" s="50">
        <f ca="1">IF(NOTA[[#This Row],[NAMA BARANG]]="","",INDEX(NOTA[ID],MATCH(,INDIRECT(ADDRESS(ROW(NOTA[ID]),COLUMN(NOTA[ID]))&amp;":"&amp;ADDRESS(ROW(),COLUMN(NOTA[ID]))),-1)))</f>
        <v>69</v>
      </c>
      <c r="F364" s="23"/>
      <c r="G364" s="26"/>
      <c r="H364" s="26"/>
      <c r="I364" s="31"/>
      <c r="J364" s="26"/>
      <c r="K364" s="51"/>
      <c r="L364" s="26"/>
      <c r="M364" s="26" t="s">
        <v>526</v>
      </c>
      <c r="N364" s="39">
        <v>2</v>
      </c>
      <c r="O364" s="26"/>
      <c r="P364" s="26"/>
      <c r="Q364" s="49"/>
      <c r="R364" s="52">
        <v>2008800</v>
      </c>
      <c r="S364" s="39" t="s">
        <v>118</v>
      </c>
      <c r="T364" s="53">
        <v>0.17</v>
      </c>
      <c r="U364" s="53"/>
      <c r="V364" s="54"/>
      <c r="W364" s="37"/>
      <c r="X364" s="54">
        <f>IF(NOTA[[#This Row],[HARGA/ CTN]]="",NOTA[[#This Row],[JUMLAH_H]],NOTA[[#This Row],[HARGA/ CTN]]*IF(NOTA[[#This Row],[C]]="",0,NOTA[[#This Row],[C]]))</f>
        <v>4017600</v>
      </c>
      <c r="Y364" s="54">
        <f>IF(NOTA[[#This Row],[JUMLAH]]="","",NOTA[[#This Row],[JUMLAH]]*NOTA[[#This Row],[DISC 1]])</f>
        <v>682992</v>
      </c>
      <c r="Z364" s="54">
        <f>IF(NOTA[[#This Row],[JUMLAH]]="","",(NOTA[[#This Row],[JUMLAH]]-NOTA[[#This Row],[DISC 1-]])*NOTA[[#This Row],[DISC 2]])</f>
        <v>0</v>
      </c>
      <c r="AA364" s="54">
        <f>IF(NOTA[[#This Row],[JUMLAH]]="","",NOTA[[#This Row],[DISC 1-]]+NOTA[[#This Row],[DISC 2-]])</f>
        <v>682992</v>
      </c>
      <c r="AB364" s="54">
        <f>IF(NOTA[[#This Row],[JUMLAH]]="","",NOTA[[#This Row],[JUMLAH]]-NOTA[[#This Row],[DISC]])</f>
        <v>3334608</v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64" s="54" t="str">
        <f>IF(OR(NOTA[[#This Row],[QTY]]="",NOTA[[#This Row],[HARGA SATUAN]]="",),"",NOTA[[#This Row],[QTY]]*NOTA[[#This Row],[HARGA SATUAN]])</f>
        <v/>
      </c>
      <c r="AG364" s="51">
        <f ca="1">IF(NOTA[ID_H]="","",INDEX(NOTA[TANGGAL],MATCH(,INDIRECT(ADDRESS(ROW(NOTA[TANGGAL]),COLUMN(NOTA[TANGGAL]))&amp;":"&amp;ADDRESS(ROW(),COLUMN(NOTA[TANGGAL]))),-1)))</f>
        <v>44938</v>
      </c>
      <c r="AH364" s="65" t="str">
        <f ca="1">IF(NOTA[[#This Row],[NAMA BARANG]]="","",INDEX(NOTA[SUPPLIER],MATCH(,INDIRECT(ADDRESS(ROW(NOTA[ID]),COLUMN(NOTA[ID]))&amp;":"&amp;ADDRESS(ROW(),COLUMN(NOTA[ID]))),-1)))</f>
        <v>KENKO SINAR INDONESIA</v>
      </c>
      <c r="AI364" s="65" t="str">
        <f ca="1">IF(NOTA[[#This Row],[ID_H]]="","",IF(NOTA[[#This Row],[FAKTUR]]="",INDIRECT(ADDRESS(ROW()-1,COLUMN())),NOTA[[#This Row],[FAKTUR]]))</f>
        <v>ARTO MORO</v>
      </c>
      <c r="AJ364" s="38" t="str">
        <f ca="1">IF(NOTA[[#This Row],[ID]]="","",COUNTIF(NOTA[ID_H],NOTA[[#This Row],[ID_H]]))</f>
        <v/>
      </c>
      <c r="AK364" s="38">
        <f ca="1">IF(NOTA[[#This Row],[TGL.NOTA]]="",IF(NOTA[[#This Row],[SUPPLIER_H]]="","",AK363),MONTH(NOTA[[#This Row],[TGL.NOTA]]))</f>
        <v>1</v>
      </c>
      <c r="AL364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64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N364" s="184">
        <f>IF(NOTA[[#This Row],[CONCAT1]]="","",MATCH(NOTA[[#This Row],[CONCAT1]],[1]!db[NB NOTA_C],0)+1)</f>
        <v>1103</v>
      </c>
    </row>
    <row r="365" spans="1:40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Row],[CEK_EXP]]&lt;D364,"err","")</f>
        <v/>
      </c>
      <c r="D365" s="50">
        <f>IF(NOTA[[#This Row],[TANGGAL]]="",D364,NOTA[[#This Row],[TANGGAL]])</f>
        <v>44938</v>
      </c>
      <c r="E365" s="50">
        <f ca="1">IF(NOTA[[#This Row],[NAMA BARANG]]="","",INDEX(NOTA[ID],MATCH(,INDIRECT(ADDRESS(ROW(NOTA[ID]),COLUMN(NOTA[ID]))&amp;":"&amp;ADDRESS(ROW(),COLUMN(NOTA[ID]))),-1)))</f>
        <v>69</v>
      </c>
      <c r="F365" s="23"/>
      <c r="G365" s="26"/>
      <c r="H365" s="26"/>
      <c r="I365" s="31"/>
      <c r="J365" s="26"/>
      <c r="K365" s="51"/>
      <c r="L365" s="26"/>
      <c r="M365" s="26" t="s">
        <v>135</v>
      </c>
      <c r="N365" s="39">
        <v>2</v>
      </c>
      <c r="O365" s="26"/>
      <c r="P365" s="26"/>
      <c r="Q365" s="49"/>
      <c r="R365" s="52">
        <v>462000</v>
      </c>
      <c r="S365" s="39" t="s">
        <v>130</v>
      </c>
      <c r="T365" s="53">
        <v>0.17</v>
      </c>
      <c r="U365" s="53"/>
      <c r="V365" s="54"/>
      <c r="W365" s="37"/>
      <c r="X365" s="54">
        <f>IF(NOTA[[#This Row],[HARGA/ CTN]]="",NOTA[[#This Row],[JUMLAH_H]],NOTA[[#This Row],[HARGA/ CTN]]*IF(NOTA[[#This Row],[C]]="",0,NOTA[[#This Row],[C]]))</f>
        <v>924000</v>
      </c>
      <c r="Y365" s="54">
        <f>IF(NOTA[[#This Row],[JUMLAH]]="","",NOTA[[#This Row],[JUMLAH]]*NOTA[[#This Row],[DISC 1]])</f>
        <v>157080</v>
      </c>
      <c r="Z365" s="54">
        <f>IF(NOTA[[#This Row],[JUMLAH]]="","",(NOTA[[#This Row],[JUMLAH]]-NOTA[[#This Row],[DISC 1-]])*NOTA[[#This Row],[DISC 2]])</f>
        <v>0</v>
      </c>
      <c r="AA365" s="54">
        <f>IF(NOTA[[#This Row],[JUMLAH]]="","",NOTA[[#This Row],[DISC 1-]]+NOTA[[#This Row],[DISC 2-]])</f>
        <v>157080</v>
      </c>
      <c r="AB365" s="54">
        <f>IF(NOTA[[#This Row],[JUMLAH]]="","",NOTA[[#This Row],[JUMLAH]]-NOTA[[#This Row],[DISC]])</f>
        <v>766920</v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365" s="54" t="str">
        <f>IF(OR(NOTA[[#This Row],[QTY]]="",NOTA[[#This Row],[HARGA SATUAN]]="",),"",NOTA[[#This Row],[QTY]]*NOTA[[#This Row],[HARGA SATUAN]])</f>
        <v/>
      </c>
      <c r="AG365" s="51">
        <f ca="1">IF(NOTA[ID_H]="","",INDEX(NOTA[TANGGAL],MATCH(,INDIRECT(ADDRESS(ROW(NOTA[TANGGAL]),COLUMN(NOTA[TANGGAL]))&amp;":"&amp;ADDRESS(ROW(),COLUMN(NOTA[TANGGAL]))),-1)))</f>
        <v>44938</v>
      </c>
      <c r="AH365" s="65" t="str">
        <f ca="1">IF(NOTA[[#This Row],[NAMA BARANG]]="","",INDEX(NOTA[SUPPLIER],MATCH(,INDIRECT(ADDRESS(ROW(NOTA[ID]),COLUMN(NOTA[ID]))&amp;":"&amp;ADDRESS(ROW(),COLUMN(NOTA[ID]))),-1)))</f>
        <v>KENKO SINAR INDONESIA</v>
      </c>
      <c r="AI365" s="65" t="str">
        <f ca="1">IF(NOTA[[#This Row],[ID_H]]="","",IF(NOTA[[#This Row],[FAKTUR]]="",INDIRECT(ADDRESS(ROW()-1,COLUMN())),NOTA[[#This Row],[FAKTUR]]))</f>
        <v>ARTO MORO</v>
      </c>
      <c r="AJ365" s="38" t="str">
        <f ca="1">IF(NOTA[[#This Row],[ID]]="","",COUNTIF(NOTA[ID_H],NOTA[[#This Row],[ID_H]]))</f>
        <v/>
      </c>
      <c r="AK365" s="38">
        <f ca="1">IF(NOTA[[#This Row],[TGL.NOTA]]="",IF(NOTA[[#This Row],[SUPPLIER_H]]="","",AK364),MONTH(NOTA[[#This Row],[TGL.NOTA]]))</f>
        <v>1</v>
      </c>
      <c r="AL36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365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N365" s="184">
        <f>IF(NOTA[[#This Row],[CONCAT1]]="","",MATCH(NOTA[[#This Row],[CONCAT1]],[1]!db[NB NOTA_C],0)+1)</f>
        <v>1307</v>
      </c>
    </row>
    <row r="366" spans="1:40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Row],[CEK_EXP]]&lt;D365,"err","")</f>
        <v/>
      </c>
      <c r="D366" s="50">
        <f>IF(NOTA[[#This Row],[TANGGAL]]="",D365,NOTA[[#This Row],[TANGGAL]])</f>
        <v>44938</v>
      </c>
      <c r="E366" s="50">
        <f ca="1">IF(NOTA[[#This Row],[NAMA BARANG]]="","",INDEX(NOTA[ID],MATCH(,INDIRECT(ADDRESS(ROW(NOTA[ID]),COLUMN(NOTA[ID]))&amp;":"&amp;ADDRESS(ROW(),COLUMN(NOTA[ID]))),-1)))</f>
        <v>69</v>
      </c>
      <c r="F366" s="23"/>
      <c r="G366" s="26"/>
      <c r="H366" s="26"/>
      <c r="I366" s="31"/>
      <c r="J366" s="26"/>
      <c r="K366" s="51"/>
      <c r="L366" s="26"/>
      <c r="M366" s="26" t="s">
        <v>527</v>
      </c>
      <c r="N366" s="39">
        <v>1</v>
      </c>
      <c r="O366" s="26"/>
      <c r="P366" s="26"/>
      <c r="Q366" s="49"/>
      <c r="R366" s="52">
        <v>762000</v>
      </c>
      <c r="S366" s="39" t="s">
        <v>132</v>
      </c>
      <c r="T366" s="53">
        <v>0.17</v>
      </c>
      <c r="U366" s="53"/>
      <c r="V366" s="54"/>
      <c r="W366" s="37"/>
      <c r="X366" s="54">
        <f>IF(NOTA[[#This Row],[HARGA/ CTN]]="",NOTA[[#This Row],[JUMLAH_H]],NOTA[[#This Row],[HARGA/ CTN]]*IF(NOTA[[#This Row],[C]]="",0,NOTA[[#This Row],[C]]))</f>
        <v>762000</v>
      </c>
      <c r="Y366" s="54">
        <f>IF(NOTA[[#This Row],[JUMLAH]]="","",NOTA[[#This Row],[JUMLAH]]*NOTA[[#This Row],[DISC 1]])</f>
        <v>129540.00000000001</v>
      </c>
      <c r="Z366" s="54">
        <f>IF(NOTA[[#This Row],[JUMLAH]]="","",(NOTA[[#This Row],[JUMLAH]]-NOTA[[#This Row],[DISC 1-]])*NOTA[[#This Row],[DISC 2]])</f>
        <v>0</v>
      </c>
      <c r="AA366" s="54">
        <f>IF(NOTA[[#This Row],[JUMLAH]]="","",NOTA[[#This Row],[DISC 1-]]+NOTA[[#This Row],[DISC 2-]])</f>
        <v>129540.00000000001</v>
      </c>
      <c r="AB366" s="54">
        <f>IF(NOTA[[#This Row],[JUMLAH]]="","",NOTA[[#This Row],[JUMLAH]]-NOTA[[#This Row],[DISC]])</f>
        <v>632460</v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F366" s="54" t="str">
        <f>IF(OR(NOTA[[#This Row],[QTY]]="",NOTA[[#This Row],[HARGA SATUAN]]="",),"",NOTA[[#This Row],[QTY]]*NOTA[[#This Row],[HARGA SATUAN]])</f>
        <v/>
      </c>
      <c r="AG366" s="51">
        <f ca="1">IF(NOTA[ID_H]="","",INDEX(NOTA[TANGGAL],MATCH(,INDIRECT(ADDRESS(ROW(NOTA[TANGGAL]),COLUMN(NOTA[TANGGAL]))&amp;":"&amp;ADDRESS(ROW(),COLUMN(NOTA[TANGGAL]))),-1)))</f>
        <v>44938</v>
      </c>
      <c r="AH366" s="65" t="str">
        <f ca="1">IF(NOTA[[#This Row],[NAMA BARANG]]="","",INDEX(NOTA[SUPPLIER],MATCH(,INDIRECT(ADDRESS(ROW(NOTA[ID]),COLUMN(NOTA[ID]))&amp;":"&amp;ADDRESS(ROW(),COLUMN(NOTA[ID]))),-1)))</f>
        <v>KENKO SINAR INDONESIA</v>
      </c>
      <c r="AI366" s="65" t="str">
        <f ca="1">IF(NOTA[[#This Row],[ID_H]]="","",IF(NOTA[[#This Row],[FAKTUR]]="",INDIRECT(ADDRESS(ROW()-1,COLUMN())),NOTA[[#This Row],[FAKTUR]]))</f>
        <v>ARTO MORO</v>
      </c>
      <c r="AJ366" s="38" t="str">
        <f ca="1">IF(NOTA[[#This Row],[ID]]="","",COUNTIF(NOTA[ID_H],NOTA[[#This Row],[ID_H]]))</f>
        <v/>
      </c>
      <c r="AK366" s="38">
        <f ca="1">IF(NOTA[[#This Row],[TGL.NOTA]]="",IF(NOTA[[#This Row],[SUPPLIER_H]]="","",AK365),MONTH(NOTA[[#This Row],[TGL.NOTA]]))</f>
        <v>1</v>
      </c>
      <c r="AL366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M366" s="38" t="str">
        <f>IF(NOTA[C]="",NOTA[[#This Row],[CONCAT1]]&amp;NOTA[[#This Row],[HARGA SATUAN]],NOTA[[#This Row],[CONCAT1]]&amp;NOTA[[#This Row],[HARGA/ CTN_H]]&amp;NOTA[[#This Row],[DISC 1]]&amp;NOTA[[#This Row],[DISC 2]])</f>
        <v>kenkoclothtape24mmbluecoreblackbt7620000.17</v>
      </c>
      <c r="AN366" s="184">
        <f>IF(NOTA[[#This Row],[CONCAT1]]="","",MATCH(NOTA[[#This Row],[CONCAT1]],[1]!db[NB NOTA_C],0)+1)</f>
        <v>1078</v>
      </c>
    </row>
    <row r="367" spans="1:40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Row],[CEK_EXP]]&lt;D366,"err","")</f>
        <v/>
      </c>
      <c r="D367" s="50">
        <f>IF(NOTA[[#This Row],[TANGGAL]]="",D366,NOTA[[#This Row],[TANGGAL]])</f>
        <v>44938</v>
      </c>
      <c r="E367" s="50">
        <f ca="1">IF(NOTA[[#This Row],[NAMA BARANG]]="","",INDEX(NOTA[ID],MATCH(,INDIRECT(ADDRESS(ROW(NOTA[ID]),COLUMN(NOTA[ID]))&amp;":"&amp;ADDRESS(ROW(),COLUMN(NOTA[ID]))),-1)))</f>
        <v>69</v>
      </c>
      <c r="F367" s="23"/>
      <c r="G367" s="26"/>
      <c r="H367" s="26"/>
      <c r="I367" s="31"/>
      <c r="J367" s="26"/>
      <c r="K367" s="51"/>
      <c r="L367" s="26"/>
      <c r="M367" s="26" t="s">
        <v>528</v>
      </c>
      <c r="N367" s="39">
        <v>2</v>
      </c>
      <c r="O367" s="26"/>
      <c r="P367" s="26"/>
      <c r="Q367" s="49"/>
      <c r="R367" s="52">
        <v>732000</v>
      </c>
      <c r="S367" s="39" t="s">
        <v>532</v>
      </c>
      <c r="T367" s="53">
        <v>0.17</v>
      </c>
      <c r="U367" s="53"/>
      <c r="V367" s="54"/>
      <c r="W367" s="37"/>
      <c r="X367" s="54">
        <f>IF(NOTA[[#This Row],[HARGA/ CTN]]="",NOTA[[#This Row],[JUMLAH_H]],NOTA[[#This Row],[HARGA/ CTN]]*IF(NOTA[[#This Row],[C]]="",0,NOTA[[#This Row],[C]]))</f>
        <v>1464000</v>
      </c>
      <c r="Y367" s="54">
        <f>IF(NOTA[[#This Row],[JUMLAH]]="","",NOTA[[#This Row],[JUMLAH]]*NOTA[[#This Row],[DISC 1]])</f>
        <v>248880.00000000003</v>
      </c>
      <c r="Z367" s="54">
        <f>IF(NOTA[[#This Row],[JUMLAH]]="","",(NOTA[[#This Row],[JUMLAH]]-NOTA[[#This Row],[DISC 1-]])*NOTA[[#This Row],[DISC 2]])</f>
        <v>0</v>
      </c>
      <c r="AA367" s="54">
        <f>IF(NOTA[[#This Row],[JUMLAH]]="","",NOTA[[#This Row],[DISC 1-]]+NOTA[[#This Row],[DISC 2-]])</f>
        <v>248880.00000000003</v>
      </c>
      <c r="AB367" s="54">
        <f>IF(NOTA[[#This Row],[JUMLAH]]="","",NOTA[[#This Row],[JUMLAH]]-NOTA[[#This Row],[DISC]])</f>
        <v>1215120</v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367" s="54" t="str">
        <f>IF(OR(NOTA[[#This Row],[QTY]]="",NOTA[[#This Row],[HARGA SATUAN]]="",),"",NOTA[[#This Row],[QTY]]*NOTA[[#This Row],[HARGA SATUAN]])</f>
        <v/>
      </c>
      <c r="AG367" s="51">
        <f ca="1">IF(NOTA[ID_H]="","",INDEX(NOTA[TANGGAL],MATCH(,INDIRECT(ADDRESS(ROW(NOTA[TANGGAL]),COLUMN(NOTA[TANGGAL]))&amp;":"&amp;ADDRESS(ROW(),COLUMN(NOTA[TANGGAL]))),-1)))</f>
        <v>44938</v>
      </c>
      <c r="AH367" s="65" t="str">
        <f ca="1">IF(NOTA[[#This Row],[NAMA BARANG]]="","",INDEX(NOTA[SUPPLIER],MATCH(,INDIRECT(ADDRESS(ROW(NOTA[ID]),COLUMN(NOTA[ID]))&amp;":"&amp;ADDRESS(ROW(),COLUMN(NOTA[ID]))),-1)))</f>
        <v>KENKO SINAR INDONESIA</v>
      </c>
      <c r="AI367" s="65" t="str">
        <f ca="1">IF(NOTA[[#This Row],[ID_H]]="","",IF(NOTA[[#This Row],[FAKTUR]]="",INDIRECT(ADDRESS(ROW()-1,COLUMN())),NOTA[[#This Row],[FAKTUR]]))</f>
        <v>ARTO MORO</v>
      </c>
      <c r="AJ367" s="38" t="str">
        <f ca="1">IF(NOTA[[#This Row],[ID]]="","",COUNTIF(NOTA[ID_H],NOTA[[#This Row],[ID_H]]))</f>
        <v/>
      </c>
      <c r="AK367" s="38">
        <f ca="1">IF(NOTA[[#This Row],[TGL.NOTA]]="",IF(NOTA[[#This Row],[SUPPLIER_H]]="","",AK366),MONTH(NOTA[[#This Row],[TGL.NOTA]]))</f>
        <v>1</v>
      </c>
      <c r="AL367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M367" s="38" t="str">
        <f>IF(NOTA[C]="",NOTA[[#This Row],[CONCAT1]]&amp;NOTA[[#This Row],[HARGA SATUAN]],NOTA[[#This Row],[CONCAT1]]&amp;NOTA[[#This Row],[HARGA/ CTN_H]]&amp;NOTA[[#This Row],[DISC 1]]&amp;NOTA[[#This Row],[DISC 2]])</f>
        <v>kenkoclothtape36mmbluecoreblackbt7320000.17</v>
      </c>
      <c r="AN367" s="184">
        <f>IF(NOTA[[#This Row],[CONCAT1]]="","",MATCH(NOTA[[#This Row],[CONCAT1]],[1]!db[NB NOTA_C],0)+1)</f>
        <v>1082</v>
      </c>
    </row>
    <row r="368" spans="1:40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Row],[CEK_EXP]]&lt;D367,"err","")</f>
        <v/>
      </c>
      <c r="D368" s="50">
        <f>IF(NOTA[[#This Row],[TANGGAL]]="",D367,NOTA[[#This Row],[TANGGAL]])</f>
        <v>44938</v>
      </c>
      <c r="E368" s="50">
        <f ca="1">IF(NOTA[[#This Row],[NAMA BARANG]]="","",INDEX(NOTA[ID],MATCH(,INDIRECT(ADDRESS(ROW(NOTA[ID]),COLUMN(NOTA[ID]))&amp;":"&amp;ADDRESS(ROW(),COLUMN(NOTA[ID]))),-1)))</f>
        <v>69</v>
      </c>
      <c r="F368" s="23"/>
      <c r="G368" s="26"/>
      <c r="H368" s="26"/>
      <c r="I368" s="31"/>
      <c r="J368" s="26"/>
      <c r="K368" s="51"/>
      <c r="L368" s="26"/>
      <c r="M368" s="26" t="s">
        <v>529</v>
      </c>
      <c r="N368" s="39">
        <v>2</v>
      </c>
      <c r="O368" s="26"/>
      <c r="P368" s="26"/>
      <c r="Q368" s="49"/>
      <c r="R368" s="52">
        <v>732000</v>
      </c>
      <c r="S368" s="39" t="s">
        <v>533</v>
      </c>
      <c r="T368" s="53">
        <v>0.17</v>
      </c>
      <c r="U368" s="53"/>
      <c r="V368" s="54"/>
      <c r="W368" s="37"/>
      <c r="X368" s="54">
        <f>IF(NOTA[[#This Row],[HARGA/ CTN]]="",NOTA[[#This Row],[JUMLAH_H]],NOTA[[#This Row],[HARGA/ CTN]]*IF(NOTA[[#This Row],[C]]="",0,NOTA[[#This Row],[C]]))</f>
        <v>1464000</v>
      </c>
      <c r="Y368" s="54">
        <f>IF(NOTA[[#This Row],[JUMLAH]]="","",NOTA[[#This Row],[JUMLAH]]*NOTA[[#This Row],[DISC 1]])</f>
        <v>248880.00000000003</v>
      </c>
      <c r="Z368" s="54">
        <f>IF(NOTA[[#This Row],[JUMLAH]]="","",(NOTA[[#This Row],[JUMLAH]]-NOTA[[#This Row],[DISC 1-]])*NOTA[[#This Row],[DISC 2]])</f>
        <v>0</v>
      </c>
      <c r="AA368" s="54">
        <f>IF(NOTA[[#This Row],[JUMLAH]]="","",NOTA[[#This Row],[DISC 1-]]+NOTA[[#This Row],[DISC 2-]])</f>
        <v>248880.00000000003</v>
      </c>
      <c r="AB368" s="54">
        <f>IF(NOTA[[#This Row],[JUMLAH]]="","",NOTA[[#This Row],[JUMLAH]]-NOTA[[#This Row],[DISC]])</f>
        <v>1215120</v>
      </c>
      <c r="AC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3320440</v>
      </c>
      <c r="AD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16211560</v>
      </c>
      <c r="AE368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368" s="54" t="str">
        <f>IF(OR(NOTA[[#This Row],[QTY]]="",NOTA[[#This Row],[HARGA SATUAN]]="",),"",NOTA[[#This Row],[QTY]]*NOTA[[#This Row],[HARGA SATUAN]])</f>
        <v/>
      </c>
      <c r="AG368" s="51">
        <f ca="1">IF(NOTA[ID_H]="","",INDEX(NOTA[TANGGAL],MATCH(,INDIRECT(ADDRESS(ROW(NOTA[TANGGAL]),COLUMN(NOTA[TANGGAL]))&amp;":"&amp;ADDRESS(ROW(),COLUMN(NOTA[TANGGAL]))),-1)))</f>
        <v>44938</v>
      </c>
      <c r="AH368" s="65" t="str">
        <f ca="1">IF(NOTA[[#This Row],[NAMA BARANG]]="","",INDEX(NOTA[SUPPLIER],MATCH(,INDIRECT(ADDRESS(ROW(NOTA[ID]),COLUMN(NOTA[ID]))&amp;":"&amp;ADDRESS(ROW(),COLUMN(NOTA[ID]))),-1)))</f>
        <v>KENKO SINAR INDONESIA</v>
      </c>
      <c r="AI368" s="65" t="str">
        <f ca="1">IF(NOTA[[#This Row],[ID_H]]="","",IF(NOTA[[#This Row],[FAKTUR]]="",INDIRECT(ADDRESS(ROW()-1,COLUMN())),NOTA[[#This Row],[FAKTUR]]))</f>
        <v>ARTO MORO</v>
      </c>
      <c r="AJ368" s="38" t="str">
        <f ca="1">IF(NOTA[[#This Row],[ID]]="","",COUNTIF(NOTA[ID_H],NOTA[[#This Row],[ID_H]]))</f>
        <v/>
      </c>
      <c r="AK368" s="38">
        <f ca="1">IF(NOTA[[#This Row],[TGL.NOTA]]="",IF(NOTA[[#This Row],[SUPPLIER_H]]="","",AK367),MONTH(NOTA[[#This Row],[TGL.NOTA]]))</f>
        <v>1</v>
      </c>
      <c r="AL368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M368" s="38" t="str">
        <f>IF(NOTA[C]="",NOTA[[#This Row],[CONCAT1]]&amp;NOTA[[#This Row],[HARGA SATUAN]],NOTA[[#This Row],[CONCAT1]]&amp;NOTA[[#This Row],[HARGA/ CTN_H]]&amp;NOTA[[#This Row],[DISC 1]]&amp;NOTA[[#This Row],[DISC 2]])</f>
        <v>kenkoclothtape48mmbluecoreblackbt7320000.17</v>
      </c>
      <c r="AN368" s="184">
        <f>IF(NOTA[[#This Row],[CONCAT1]]="","",MATCH(NOTA[[#This Row],[CONCAT1]],[1]!db[NB NOTA_C],0)+1)</f>
        <v>1086</v>
      </c>
    </row>
    <row r="369" spans="1:40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Row],[CEK_EXP]]&lt;D368,"err","")</f>
        <v/>
      </c>
      <c r="D369" s="50">
        <f>IF(NOTA[[#This Row],[TANGGAL]]="",D368,NOTA[[#This Row],[TANGGAL]])</f>
        <v>44938</v>
      </c>
      <c r="E369" s="50" t="str">
        <f ca="1">IF(NOTA[[#This Row],[NAMA BARANG]]="","",INDEX(NOTA[ID],MATCH(,INDIRECT(ADDRESS(ROW(NOTA[ID]),COLUMN(NOTA[ID]))&amp;":"&amp;ADDRESS(ROW(),COLUMN(NOTA[ID]))),-1)))</f>
        <v/>
      </c>
      <c r="F369" s="23"/>
      <c r="G369" s="26"/>
      <c r="H369" s="26"/>
      <c r="I369" s="31"/>
      <c r="J369" s="26"/>
      <c r="K369" s="51"/>
      <c r="L369" s="26"/>
      <c r="M369" s="26"/>
      <c r="N369" s="39"/>
      <c r="O369" s="26"/>
      <c r="P369" s="26"/>
      <c r="Q369" s="49"/>
      <c r="R369" s="52"/>
      <c r="S369" s="39"/>
      <c r="T369" s="53"/>
      <c r="U369" s="53"/>
      <c r="V369" s="54"/>
      <c r="W369" s="37"/>
      <c r="X369" s="54" t="str">
        <f>IF(NOTA[[#This Row],[HARGA/ CTN]]="",NOTA[[#This Row],[JUMLAH_H]],NOTA[[#This Row],[HARGA/ CTN]]*IF(NOTA[[#This Row],[C]]="",0,NOTA[[#This Row],[C]]))</f>
        <v/>
      </c>
      <c r="Y369" s="54" t="str">
        <f>IF(NOTA[[#This Row],[JUMLAH]]="","",NOTA[[#This Row],[JUMLAH]]*NOTA[[#This Row],[DISC 1]])</f>
        <v/>
      </c>
      <c r="Z369" s="54" t="str">
        <f>IF(NOTA[[#This Row],[JUMLAH]]="","",(NOTA[[#This Row],[JUMLAH]]-NOTA[[#This Row],[DISC 1-]])*NOTA[[#This Row],[DISC 2]])</f>
        <v/>
      </c>
      <c r="AA369" s="54" t="str">
        <f>IF(NOTA[[#This Row],[JUMLAH]]="","",NOTA[[#This Row],[DISC 1-]]+NOTA[[#This Row],[DISC 2-]])</f>
        <v/>
      </c>
      <c r="AB369" s="54" t="str">
        <f>IF(NOTA[[#This Row],[JUMLAH]]="","",NOTA[[#This Row],[JUMLAH]]-NOTA[[#This Row],[DISC]])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4" t="str">
        <f>IF(OR(NOTA[[#This Row],[QTY]]="",NOTA[[#This Row],[HARGA SATUAN]]="",),"",NOTA[[#This Row],[QTY]]*NOTA[[#This Row],[HARGA SATUAN]])</f>
        <v/>
      </c>
      <c r="AG369" s="51" t="str">
        <f ca="1">IF(NOTA[ID_H]="","",INDEX(NOTA[TANGGAL],MATCH(,INDIRECT(ADDRESS(ROW(NOTA[TANGGAL]),COLUMN(NOTA[TANGGAL]))&amp;":"&amp;ADDRESS(ROW(),COLUMN(NOTA[TANGGAL]))),-1)))</f>
        <v/>
      </c>
      <c r="AH369" s="65" t="str">
        <f ca="1">IF(NOTA[[#This Row],[NAMA BARANG]]="","",INDEX(NOTA[SUPPLIER],MATCH(,INDIRECT(ADDRESS(ROW(NOTA[ID]),COLUMN(NOTA[ID]))&amp;":"&amp;ADDRESS(ROW(),COLUMN(NOTA[ID]))),-1)))</f>
        <v/>
      </c>
      <c r="AI369" s="65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IF(NOTA[C]="",NOTA[[#This Row],[CONCAT1]]&amp;NOTA[[#This Row],[HARGA SATUAN]],NOTA[[#This Row],[CONCAT1]]&amp;NOTA[[#This Row],[HARGA/ CTN_H]]&amp;NOTA[[#This Row],[DISC 1]]&amp;NOTA[[#This Row],[DISC 2]])</f>
        <v/>
      </c>
      <c r="AN369" s="184" t="str">
        <f>IF(NOTA[[#This Row],[CONCAT1]]="","",MATCH(NOTA[[#This Row],[CONCAT1]],[1]!db[NB NOTA_C],0)+1)</f>
        <v/>
      </c>
    </row>
    <row r="370" spans="1:40" ht="20.100000000000001" customHeight="1" x14ac:dyDescent="0.25">
      <c r="A370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KEN_1201_575-2</v>
      </c>
      <c r="C370" s="50" t="str">
        <f>IF(NOTA[[#This Row],[CEK_EXP]]&lt;D369,"err","")</f>
        <v/>
      </c>
      <c r="D370" s="50">
        <f>IF(NOTA[[#This Row],[TANGGAL]]="",D369,NOTA[[#This Row],[TANGGAL]])</f>
        <v>44938</v>
      </c>
      <c r="E370" s="50">
        <f ca="1">IF(NOTA[[#This Row],[NAMA BARANG]]="","",INDEX(NOTA[ID],MATCH(,INDIRECT(ADDRESS(ROW(NOTA[ID]),COLUMN(NOTA[ID]))&amp;":"&amp;ADDRESS(ROW(),COLUMN(NOTA[ID]))),-1)))</f>
        <v>70</v>
      </c>
      <c r="F370" s="23"/>
      <c r="G370" s="26" t="s">
        <v>23</v>
      </c>
      <c r="H370" s="26" t="s">
        <v>24</v>
      </c>
      <c r="I370" s="31" t="s">
        <v>530</v>
      </c>
      <c r="J370" s="26" t="s">
        <v>535</v>
      </c>
      <c r="K370" s="51">
        <v>44936</v>
      </c>
      <c r="L370" s="26"/>
      <c r="M370" s="26" t="s">
        <v>127</v>
      </c>
      <c r="N370" s="39">
        <v>2</v>
      </c>
      <c r="O370" s="26"/>
      <c r="P370" s="26"/>
      <c r="Q370" s="49"/>
      <c r="R370" s="52">
        <v>1860000</v>
      </c>
      <c r="S370" s="39" t="s">
        <v>119</v>
      </c>
      <c r="T370" s="53">
        <v>0.17</v>
      </c>
      <c r="U370" s="53"/>
      <c r="V370" s="54"/>
      <c r="W370" s="37"/>
      <c r="X370" s="54">
        <f>IF(NOTA[[#This Row],[HARGA/ CTN]]="",NOTA[[#This Row],[JUMLAH_H]],NOTA[[#This Row],[HARGA/ CTN]]*IF(NOTA[[#This Row],[C]]="",0,NOTA[[#This Row],[C]]))</f>
        <v>3720000</v>
      </c>
      <c r="Y370" s="54">
        <f>IF(NOTA[[#This Row],[JUMLAH]]="","",NOTA[[#This Row],[JUMLAH]]*NOTA[[#This Row],[DISC 1]])</f>
        <v>632400</v>
      </c>
      <c r="Z370" s="54">
        <f>IF(NOTA[[#This Row],[JUMLAH]]="","",(NOTA[[#This Row],[JUMLAH]]-NOTA[[#This Row],[DISC 1-]])*NOTA[[#This Row],[DISC 2]])</f>
        <v>0</v>
      </c>
      <c r="AA370" s="54">
        <f>IF(NOTA[[#This Row],[JUMLAH]]="","",NOTA[[#This Row],[DISC 1-]]+NOTA[[#This Row],[DISC 2-]])</f>
        <v>632400</v>
      </c>
      <c r="AB370" s="54">
        <f>IF(NOTA[[#This Row],[JUMLAH]]="","",NOTA[[#This Row],[JUMLAH]]-NOTA[[#This Row],[DISC]])</f>
        <v>3087600</v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370" s="54" t="str">
        <f>IF(OR(NOTA[[#This Row],[QTY]]="",NOTA[[#This Row],[HARGA SATUAN]]="",),"",NOTA[[#This Row],[QTY]]*NOTA[[#This Row],[HARGA SATUAN]])</f>
        <v/>
      </c>
      <c r="AG370" s="51">
        <f ca="1">IF(NOTA[ID_H]="","",INDEX(NOTA[TANGGAL],MATCH(,INDIRECT(ADDRESS(ROW(NOTA[TANGGAL]),COLUMN(NOTA[TANGGAL]))&amp;":"&amp;ADDRESS(ROW(),COLUMN(NOTA[TANGGAL]))),-1)))</f>
        <v>44938</v>
      </c>
      <c r="AH370" s="65" t="str">
        <f ca="1">IF(NOTA[[#This Row],[NAMA BARANG]]="","",INDEX(NOTA[SUPPLIER],MATCH(,INDIRECT(ADDRESS(ROW(NOTA[ID]),COLUMN(NOTA[ID]))&amp;":"&amp;ADDRESS(ROW(),COLUMN(NOTA[ID]))),-1)))</f>
        <v>KENKO SINAR INDONESIA</v>
      </c>
      <c r="AI370" s="65" t="str">
        <f ca="1">IF(NOTA[[#This Row],[ID_H]]="","",IF(NOTA[[#This Row],[FAKTUR]]="",INDIRECT(ADDRESS(ROW()-1,COLUMN())),NOTA[[#This Row],[FAKTUR]]))</f>
        <v>ARTO MORO</v>
      </c>
      <c r="AJ370" s="38">
        <f ca="1">IF(NOTA[[#This Row],[ID]]="","",COUNTIF(NOTA[ID_H],NOTA[[#This Row],[ID_H]]))</f>
        <v>2</v>
      </c>
      <c r="AK370" s="38">
        <f>IF(NOTA[[#This Row],[TGL.NOTA]]="",IF(NOTA[[#This Row],[SUPPLIER_H]]="","",AK369),MONTH(NOTA[[#This Row],[TGL.NOTA]]))</f>
        <v>1</v>
      </c>
      <c r="AL37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370" s="38" t="str">
        <f>IF(NOTA[C]="",NOTA[[#This Row],[CONCAT1]]&amp;NOTA[[#This Row],[HARGA SATUAN]],NOTA[[#This Row],[CONCAT1]]&amp;NOTA[[#This Row],[HARGA/ CTN_H]]&amp;NOTA[[#This Row],[DISC 1]]&amp;NOTA[[#This Row],[DISC 2]])</f>
        <v>kenkostaplerhd1018600000.17</v>
      </c>
      <c r="AN370" s="184">
        <f>IF(NOTA[[#This Row],[CONCAT1]]="","",MATCH(NOTA[[#This Row],[CONCAT1]],[1]!db[NB NOTA_C],0)+1)</f>
        <v>1292</v>
      </c>
    </row>
    <row r="371" spans="1:40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Row],[CEK_EXP]]&lt;D370,"err","")</f>
        <v/>
      </c>
      <c r="D371" s="50">
        <f>IF(NOTA[[#This Row],[TANGGAL]]="",D370,NOTA[[#This Row],[TANGGAL]])</f>
        <v>44938</v>
      </c>
      <c r="E371" s="50">
        <f ca="1">IF(NOTA[[#This Row],[NAMA BARANG]]="","",INDEX(NOTA[ID],MATCH(,INDIRECT(ADDRESS(ROW(NOTA[ID]),COLUMN(NOTA[ID]))&amp;":"&amp;ADDRESS(ROW(),COLUMN(NOTA[ID]))),-1)))</f>
        <v>70</v>
      </c>
      <c r="F371" s="23"/>
      <c r="G371" s="26"/>
      <c r="H371" s="26"/>
      <c r="I371" s="31"/>
      <c r="J371" s="26"/>
      <c r="K371" s="51"/>
      <c r="L371" s="26"/>
      <c r="M371" s="26" t="s">
        <v>357</v>
      </c>
      <c r="N371" s="39">
        <v>2</v>
      </c>
      <c r="O371" s="26"/>
      <c r="P371" s="26"/>
      <c r="Q371" s="49"/>
      <c r="R371" s="52">
        <v>2280000</v>
      </c>
      <c r="S371" s="39" t="s">
        <v>366</v>
      </c>
      <c r="T371" s="53">
        <v>0.17</v>
      </c>
      <c r="U371" s="53"/>
      <c r="V371" s="54"/>
      <c r="W371" s="37"/>
      <c r="X371" s="54">
        <f>IF(NOTA[[#This Row],[HARGA/ CTN]]="",NOTA[[#This Row],[JUMLAH_H]],NOTA[[#This Row],[HARGA/ CTN]]*IF(NOTA[[#This Row],[C]]="",0,NOTA[[#This Row],[C]]))</f>
        <v>4560000</v>
      </c>
      <c r="Y371" s="54">
        <f>IF(NOTA[[#This Row],[JUMLAH]]="","",NOTA[[#This Row],[JUMLAH]]*NOTA[[#This Row],[DISC 1]])</f>
        <v>775200</v>
      </c>
      <c r="Z371" s="54">
        <f>IF(NOTA[[#This Row],[JUMLAH]]="","",(NOTA[[#This Row],[JUMLAH]]-NOTA[[#This Row],[DISC 1-]])*NOTA[[#This Row],[DISC 2]])</f>
        <v>0</v>
      </c>
      <c r="AA371" s="54">
        <f>IF(NOTA[[#This Row],[JUMLAH]]="","",NOTA[[#This Row],[DISC 1-]]+NOTA[[#This Row],[DISC 2-]])</f>
        <v>775200</v>
      </c>
      <c r="AB371" s="54">
        <f>IF(NOTA[[#This Row],[JUMLAH]]="","",NOTA[[#This Row],[JUMLAH]]-NOTA[[#This Row],[DISC]])</f>
        <v>3784800</v>
      </c>
      <c r="AC3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1407600</v>
      </c>
      <c r="AD3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6872400</v>
      </c>
      <c r="AE371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71" s="54" t="str">
        <f>IF(OR(NOTA[[#This Row],[QTY]]="",NOTA[[#This Row],[HARGA SATUAN]]="",),"",NOTA[[#This Row],[QTY]]*NOTA[[#This Row],[HARGA SATUAN]])</f>
        <v/>
      </c>
      <c r="AG371" s="51">
        <f ca="1">IF(NOTA[ID_H]="","",INDEX(NOTA[TANGGAL],MATCH(,INDIRECT(ADDRESS(ROW(NOTA[TANGGAL]),COLUMN(NOTA[TANGGAL]))&amp;":"&amp;ADDRESS(ROW(),COLUMN(NOTA[TANGGAL]))),-1)))</f>
        <v>44938</v>
      </c>
      <c r="AH371" s="65" t="str">
        <f ca="1">IF(NOTA[[#This Row],[NAMA BARANG]]="","",INDEX(NOTA[SUPPLIER],MATCH(,INDIRECT(ADDRESS(ROW(NOTA[ID]),COLUMN(NOTA[ID]))&amp;":"&amp;ADDRESS(ROW(),COLUMN(NOTA[ID]))),-1)))</f>
        <v>KENKO SINAR INDONESIA</v>
      </c>
      <c r="AI371" s="65" t="str">
        <f ca="1">IF(NOTA[[#This Row],[ID_H]]="","",IF(NOTA[[#This Row],[FAKTUR]]="",INDIRECT(ADDRESS(ROW()-1,COLUMN())),NOTA[[#This Row],[FAKTUR]]))</f>
        <v>ARTO MORO</v>
      </c>
      <c r="AJ371" s="38" t="str">
        <f ca="1">IF(NOTA[[#This Row],[ID]]="","",COUNTIF(NOTA[ID_H],NOTA[[#This Row],[ID_H]]))</f>
        <v/>
      </c>
      <c r="AK371" s="38">
        <f ca="1">IF(NOTA[[#This Row],[TGL.NOTA]]="",IF(NOTA[[#This Row],[SUPPLIER_H]]="","",AK370),MONTH(NOTA[[#This Row],[TGL.NOTA]]))</f>
        <v>1</v>
      </c>
      <c r="AL37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371" s="38" t="str">
        <f>IF(NOTA[C]="",NOTA[[#This Row],[CONCAT1]]&amp;NOTA[[#This Row],[HARGA SATUAN]],NOTA[[#This Row],[CONCAT1]]&amp;NOTA[[#This Row],[HARGA/ CTN_H]]&amp;NOTA[[#This Row],[DISC 1]]&amp;NOTA[[#This Row],[DISC 2]])</f>
        <v>kenkostaplerhd5022800000.17</v>
      </c>
      <c r="AN371" s="184">
        <f>IF(NOTA[[#This Row],[CONCAT1]]="","",MATCH(NOTA[[#This Row],[CONCAT1]],[1]!db[NB NOTA_C],0)+1)</f>
        <v>1298</v>
      </c>
    </row>
    <row r="372" spans="1:40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Row],[CEK_EXP]]&lt;D371,"err","")</f>
        <v/>
      </c>
      <c r="D372" s="50">
        <f>IF(NOTA[[#This Row],[TANGGAL]]="",D371,NOTA[[#This Row],[TANGGAL]])</f>
        <v>44938</v>
      </c>
      <c r="E372" s="50" t="str">
        <f ca="1">IF(NOTA[[#This Row],[NAMA BARANG]]="","",INDEX(NOTA[ID],MATCH(,INDIRECT(ADDRESS(ROW(NOTA[ID]),COLUMN(NOTA[ID]))&amp;":"&amp;ADDRESS(ROW(),COLUMN(NOTA[ID]))),-1)))</f>
        <v/>
      </c>
      <c r="F372" s="23"/>
      <c r="G372" s="26"/>
      <c r="H372" s="26"/>
      <c r="I372" s="31"/>
      <c r="J372" s="26"/>
      <c r="K372" s="51"/>
      <c r="L372" s="26"/>
      <c r="M372" s="26"/>
      <c r="N372" s="39"/>
      <c r="O372" s="26"/>
      <c r="P372" s="26"/>
      <c r="Q372" s="49"/>
      <c r="R372" s="52"/>
      <c r="S372" s="39"/>
      <c r="T372" s="53"/>
      <c r="U372" s="53"/>
      <c r="V372" s="54"/>
      <c r="W372" s="37"/>
      <c r="X372" s="54" t="str">
        <f>IF(NOTA[[#This Row],[HARGA/ CTN]]="",NOTA[[#This Row],[JUMLAH_H]],NOTA[[#This Row],[HARGA/ CTN]]*IF(NOTA[[#This Row],[C]]="",0,NOTA[[#This Row],[C]]))</f>
        <v/>
      </c>
      <c r="Y372" s="54" t="str">
        <f>IF(NOTA[[#This Row],[JUMLAH]]="","",NOTA[[#This Row],[JUMLAH]]*NOTA[[#This Row],[DISC 1]])</f>
        <v/>
      </c>
      <c r="Z372" s="54" t="str">
        <f>IF(NOTA[[#This Row],[JUMLAH]]="","",(NOTA[[#This Row],[JUMLAH]]-NOTA[[#This Row],[DISC 1-]])*NOTA[[#This Row],[DISC 2]])</f>
        <v/>
      </c>
      <c r="AA372" s="54" t="str">
        <f>IF(NOTA[[#This Row],[JUMLAH]]="","",NOTA[[#This Row],[DISC 1-]]+NOTA[[#This Row],[DISC 2-]])</f>
        <v/>
      </c>
      <c r="AB372" s="54" t="str">
        <f>IF(NOTA[[#This Row],[JUMLAH]]="","",NOTA[[#This Row],[JUMLAH]]-NOTA[[#This Row],[DISC]])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4" t="str">
        <f>IF(OR(NOTA[[#This Row],[QTY]]="",NOTA[[#This Row],[HARGA SATUAN]]="",),"",NOTA[[#This Row],[QTY]]*NOTA[[#This Row],[HARGA SATUAN]])</f>
        <v/>
      </c>
      <c r="AG372" s="51" t="str">
        <f ca="1">IF(NOTA[ID_H]="","",INDEX(NOTA[TANGGAL],MATCH(,INDIRECT(ADDRESS(ROW(NOTA[TANGGAL]),COLUMN(NOTA[TANGGAL]))&amp;":"&amp;ADDRESS(ROW(),COLUMN(NOTA[TANGGAL]))),-1)))</f>
        <v/>
      </c>
      <c r="AH372" s="65" t="str">
        <f ca="1">IF(NOTA[[#This Row],[NAMA BARANG]]="","",INDEX(NOTA[SUPPLIER],MATCH(,INDIRECT(ADDRESS(ROW(NOTA[ID]),COLUMN(NOTA[ID]))&amp;":"&amp;ADDRESS(ROW(),COLUMN(NOTA[ID]))),-1)))</f>
        <v/>
      </c>
      <c r="AI372" s="65" t="str">
        <f ca="1">IF(NOTA[[#This Row],[ID_H]]="","",IF(NOTA[[#This Row],[FAKTUR]]="",INDIRECT(ADDRESS(ROW()-1,COLUMN())),NOTA[[#This Row],[FAKTUR]]))</f>
        <v/>
      </c>
      <c r="AJ372" s="38" t="str">
        <f ca="1">IF(NOTA[[#This Row],[ID]]="","",COUNTIF(NOTA[ID_H],NOTA[[#This Row],[ID_H]]))</f>
        <v/>
      </c>
      <c r="AK372" s="38" t="str">
        <f ca="1">IF(NOTA[[#This Row],[TGL.NOTA]]="",IF(NOTA[[#This Row],[SUPPLIER_H]]="","",AK371),MONTH(NOTA[[#This Row],[TGL.NOTA]]))</f>
        <v/>
      </c>
      <c r="AL372" s="38" t="str">
        <f>LOWER(SUBSTITUTE(SUBSTITUTE(SUBSTITUTE(SUBSTITUTE(SUBSTITUTE(SUBSTITUTE(SUBSTITUTE(SUBSTITUTE(SUBSTITUTE(NOTA[NAMA BARANG]," ",),".",""),"-",""),"(",""),")",""),",",""),"/",""),"""",""),"+",""))</f>
        <v/>
      </c>
      <c r="AM372" s="38" t="str">
        <f>IF(NOTA[C]="",NOTA[[#This Row],[CONCAT1]]&amp;NOTA[[#This Row],[HARGA SATUAN]],NOTA[[#This Row],[CONCAT1]]&amp;NOTA[[#This Row],[HARGA/ CTN_H]]&amp;NOTA[[#This Row],[DISC 1]]&amp;NOTA[[#This Row],[DISC 2]])</f>
        <v/>
      </c>
      <c r="AN372" s="184" t="str">
        <f>IF(NOTA[[#This Row],[CONCAT1]]="","",MATCH(NOTA[[#This Row],[CONCAT1]],[1]!db[NB NOTA_C],0)+1)</f>
        <v/>
      </c>
    </row>
    <row r="373" spans="1:40" ht="20.100000000000001" customHeight="1" x14ac:dyDescent="0.25">
      <c r="A373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D-R_1201_020-1</v>
      </c>
      <c r="C373" s="50" t="str">
        <f>IF(NOTA[[#This Row],[CEK_EXP]]&lt;D372,"err","")</f>
        <v/>
      </c>
      <c r="D373" s="50">
        <f>IF(NOTA[[#This Row],[TANGGAL]]="",D372,NOTA[[#This Row],[TANGGAL]])</f>
        <v>44938</v>
      </c>
      <c r="E373" s="50">
        <f ca="1">IF(NOTA[[#This Row],[NAMA BARANG]]="","",INDEX(NOTA[ID],MATCH(,INDIRECT(ADDRESS(ROW(NOTA[ID]),COLUMN(NOTA[ID]))&amp;":"&amp;ADDRESS(ROW(),COLUMN(NOTA[ID]))),-1)))</f>
        <v>71</v>
      </c>
      <c r="F373" s="23"/>
      <c r="G373" s="26" t="s">
        <v>536</v>
      </c>
      <c r="H373" s="26" t="s">
        <v>87</v>
      </c>
      <c r="I373" s="31" t="s">
        <v>537</v>
      </c>
      <c r="J373" s="26"/>
      <c r="K373" s="51">
        <v>44937</v>
      </c>
      <c r="L373" s="26"/>
      <c r="M373" s="26" t="s">
        <v>538</v>
      </c>
      <c r="N373" s="39">
        <v>10</v>
      </c>
      <c r="O373" s="26">
        <v>480</v>
      </c>
      <c r="P373" s="26" t="s">
        <v>90</v>
      </c>
      <c r="Q373" s="49">
        <v>36000</v>
      </c>
      <c r="R373" s="52"/>
      <c r="S373" s="39" t="s">
        <v>105</v>
      </c>
      <c r="T373" s="53">
        <v>0.12</v>
      </c>
      <c r="U373" s="53"/>
      <c r="V373" s="54"/>
      <c r="W373" s="37"/>
      <c r="X373" s="54">
        <f>IF(NOTA[[#This Row],[HARGA/ CTN]]="",NOTA[[#This Row],[JUMLAH_H]],NOTA[[#This Row],[HARGA/ CTN]]*IF(NOTA[[#This Row],[C]]="",0,NOTA[[#This Row],[C]]))</f>
        <v>17280000</v>
      </c>
      <c r="Y373" s="54">
        <f>IF(NOTA[[#This Row],[JUMLAH]]="","",NOTA[[#This Row],[JUMLAH]]*NOTA[[#This Row],[DISC 1]])</f>
        <v>2073600</v>
      </c>
      <c r="Z373" s="54">
        <f>IF(NOTA[[#This Row],[JUMLAH]]="","",(NOTA[[#This Row],[JUMLAH]]-NOTA[[#This Row],[DISC 1-]])*NOTA[[#This Row],[DISC 2]])</f>
        <v>0</v>
      </c>
      <c r="AA373" s="54">
        <f>IF(NOTA[[#This Row],[JUMLAH]]="","",NOTA[[#This Row],[DISC 1-]]+NOTA[[#This Row],[DISC 2-]])</f>
        <v>2073600</v>
      </c>
      <c r="AB373" s="54">
        <f>IF(NOTA[[#This Row],[JUMLAH]]="","",NOTA[[#This Row],[JUMLAH]]-NOTA[[#This Row],[DISC]])</f>
        <v>15206400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2073600</v>
      </c>
      <c r="AD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15206400</v>
      </c>
      <c r="AE37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73" s="54">
        <f>IF(OR(NOTA[[#This Row],[QTY]]="",NOTA[[#This Row],[HARGA SATUAN]]="",),"",NOTA[[#This Row],[QTY]]*NOTA[[#This Row],[HARGA SATUAN]])</f>
        <v>17280000</v>
      </c>
      <c r="AG373" s="51">
        <f ca="1">IF(NOTA[ID_H]="","",INDEX(NOTA[TANGGAL],MATCH(,INDIRECT(ADDRESS(ROW(NOTA[TANGGAL]),COLUMN(NOTA[TANGGAL]))&amp;":"&amp;ADDRESS(ROW(),COLUMN(NOTA[TANGGAL]))),-1)))</f>
        <v>44938</v>
      </c>
      <c r="AH373" s="65" t="str">
        <f ca="1">IF(NOTA[[#This Row],[NAMA BARANG]]="","",INDEX(NOTA[SUPPLIER],MATCH(,INDIRECT(ADDRESS(ROW(NOTA[ID]),COLUMN(NOTA[ID]))&amp;":"&amp;ADDRESS(ROW(),COLUMN(NOTA[ID]))),-1)))</f>
        <v>D-R</v>
      </c>
      <c r="AI373" s="65" t="str">
        <f ca="1">IF(NOTA[[#This Row],[ID_H]]="","",IF(NOTA[[#This Row],[FAKTUR]]="",INDIRECT(ADDRESS(ROW()-1,COLUMN())),NOTA[[#This Row],[FAKTUR]]))</f>
        <v>UNTANA</v>
      </c>
      <c r="AJ373" s="38">
        <f ca="1">IF(NOTA[[#This Row],[ID]]="","",COUNTIF(NOTA[ID_H],NOTA[[#This Row],[ID_H]]))</f>
        <v>1</v>
      </c>
      <c r="AK373" s="38">
        <f>IF(NOTA[[#This Row],[TGL.NOTA]]="",IF(NOTA[[#This Row],[SUPPLIER_H]]="","",AK372),MONTH(NOTA[[#This Row],[TGL.NOTA]]))</f>
        <v>1</v>
      </c>
      <c r="AL373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M373" s="38" t="str">
        <f>IF(NOTA[C]="",NOTA[[#This Row],[CONCAT1]]&amp;NOTA[[#This Row],[HARGA SATUAN]],NOTA[[#This Row],[CONCAT1]]&amp;NOTA[[#This Row],[HARGA/ CTN_H]]&amp;NOTA[[#This Row],[DISC 1]]&amp;NOTA[[#This Row],[DISC 2]])</f>
        <v>guntingjuniorj100junior17280000.12</v>
      </c>
      <c r="AN373" s="184">
        <f>IF(NOTA[[#This Row],[CONCAT1]]="","",MATCH(NOTA[[#This Row],[CONCAT1]],[1]!db[NB NOTA_C],0)+1)</f>
        <v>952</v>
      </c>
    </row>
    <row r="374" spans="1:40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Row],[CEK_EXP]]&lt;D373,"err","")</f>
        <v/>
      </c>
      <c r="D374" s="50">
        <f>IF(NOTA[[#This Row],[TANGGAL]]="",D373,NOTA[[#This Row],[TANGGAL]])</f>
        <v>44938</v>
      </c>
      <c r="E374" s="50" t="str">
        <f ca="1">IF(NOTA[[#This Row],[NAMA BARANG]]="","",INDEX(NOTA[ID],MATCH(,INDIRECT(ADDRESS(ROW(NOTA[ID]),COLUMN(NOTA[ID]))&amp;":"&amp;ADDRESS(ROW(),COLUMN(NOTA[ID]))),-1)))</f>
        <v/>
      </c>
      <c r="F374" s="23"/>
      <c r="G374" s="26"/>
      <c r="H374" s="26"/>
      <c r="I374" s="31"/>
      <c r="J374" s="26"/>
      <c r="K374" s="51"/>
      <c r="L374" s="26"/>
      <c r="M374" s="26"/>
      <c r="N374" s="39"/>
      <c r="O374" s="26"/>
      <c r="P374" s="26"/>
      <c r="Q374" s="49"/>
      <c r="R374" s="52"/>
      <c r="S374" s="39"/>
      <c r="T374" s="53"/>
      <c r="U374" s="53"/>
      <c r="V374" s="54"/>
      <c r="W374" s="37"/>
      <c r="X374" s="54" t="str">
        <f>IF(NOTA[[#This Row],[HARGA/ CTN]]="",NOTA[[#This Row],[JUMLAH_H]],NOTA[[#This Row],[HARGA/ CTN]]*IF(NOTA[[#This Row],[C]]="",0,NOTA[[#This Row],[C]]))</f>
        <v/>
      </c>
      <c r="Y374" s="54" t="str">
        <f>IF(NOTA[[#This Row],[JUMLAH]]="","",NOTA[[#This Row],[JUMLAH]]*NOTA[[#This Row],[DISC 1]])</f>
        <v/>
      </c>
      <c r="Z374" s="54" t="str">
        <f>IF(NOTA[[#This Row],[JUMLAH]]="","",(NOTA[[#This Row],[JUMLAH]]-NOTA[[#This Row],[DISC 1-]])*NOTA[[#This Row],[DISC 2]])</f>
        <v/>
      </c>
      <c r="AA374" s="54" t="str">
        <f>IF(NOTA[[#This Row],[JUMLAH]]="","",NOTA[[#This Row],[DISC 1-]]+NOTA[[#This Row],[DISC 2-]])</f>
        <v/>
      </c>
      <c r="AB374" s="54" t="str">
        <f>IF(NOTA[[#This Row],[JUMLAH]]="","",NOTA[[#This Row],[JUMLAH]]-NOTA[[#This Row],[DISC]])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54" t="str">
        <f>IF(OR(NOTA[[#This Row],[QTY]]="",NOTA[[#This Row],[HARGA SATUAN]]="",),"",NOTA[[#This Row],[QTY]]*NOTA[[#This Row],[HARGA SATUAN]])</f>
        <v/>
      </c>
      <c r="AG374" s="51" t="str">
        <f ca="1">IF(NOTA[ID_H]="","",INDEX(NOTA[TANGGAL],MATCH(,INDIRECT(ADDRESS(ROW(NOTA[TANGGAL]),COLUMN(NOTA[TANGGAL]))&amp;":"&amp;ADDRESS(ROW(),COLUMN(NOTA[TANGGAL]))),-1)))</f>
        <v/>
      </c>
      <c r="AH374" s="65" t="str">
        <f ca="1">IF(NOTA[[#This Row],[NAMA BARANG]]="","",INDEX(NOTA[SUPPLIER],MATCH(,INDIRECT(ADDRESS(ROW(NOTA[ID]),COLUMN(NOTA[ID]))&amp;":"&amp;ADDRESS(ROW(),COLUMN(NOTA[ID]))),-1)))</f>
        <v/>
      </c>
      <c r="AI374" s="65" t="str">
        <f ca="1">IF(NOTA[[#This Row],[ID_H]]="","",IF(NOTA[[#This Row],[FAKTUR]]="",INDIRECT(ADDRESS(ROW()-1,COLUMN())),NOTA[[#This Row],[FAKTUR]]))</f>
        <v/>
      </c>
      <c r="AJ374" s="38" t="str">
        <f ca="1">IF(NOTA[[#This Row],[ID]]="","",COUNTIF(NOTA[ID_H],NOTA[[#This Row],[ID_H]]))</f>
        <v/>
      </c>
      <c r="AK374" s="38" t="str">
        <f ca="1">IF(NOTA[[#This Row],[TGL.NOTA]]="",IF(NOTA[[#This Row],[SUPPLIER_H]]="","",AK373),MONTH(NOTA[[#This Row],[TGL.NOTA]]))</f>
        <v/>
      </c>
      <c r="AL374" s="38" t="str">
        <f>LOWER(SUBSTITUTE(SUBSTITUTE(SUBSTITUTE(SUBSTITUTE(SUBSTITUTE(SUBSTITUTE(SUBSTITUTE(SUBSTITUTE(SUBSTITUTE(NOTA[NAMA BARANG]," ",),".",""),"-",""),"(",""),")",""),",",""),"/",""),"""",""),"+",""))</f>
        <v/>
      </c>
      <c r="AM374" s="38" t="str">
        <f>IF(NOTA[C]="",NOTA[[#This Row],[CONCAT1]]&amp;NOTA[[#This Row],[HARGA SATUAN]],NOTA[[#This Row],[CONCAT1]]&amp;NOTA[[#This Row],[HARGA/ CTN_H]]&amp;NOTA[[#This Row],[DISC 1]]&amp;NOTA[[#This Row],[DISC 2]])</f>
        <v/>
      </c>
      <c r="AN374" s="184" t="str">
        <f>IF(NOTA[[#This Row],[CONCAT1]]="","",MATCH(NOTA[[#This Row],[CONCAT1]],[1]!db[NB NOTA_C],0)+1)</f>
        <v/>
      </c>
    </row>
    <row r="375" spans="1:40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KEN_1201_-4</v>
      </c>
      <c r="C375" s="50" t="str">
        <f>IF(NOTA[[#This Row],[CEK_EXP]]&lt;D374,"err","")</f>
        <v/>
      </c>
      <c r="D375" s="50">
        <f>IF(NOTA[[#This Row],[TANGGAL]]="",D374,NOTA[[#This Row],[TANGGAL]])</f>
        <v>44938</v>
      </c>
      <c r="E375" s="50">
        <f ca="1">IF(NOTA[[#This Row],[NAMA BARANG]]="","",INDEX(NOTA[ID],MATCH(,INDIRECT(ADDRESS(ROW(NOTA[ID]),COLUMN(NOTA[ID]))&amp;":"&amp;ADDRESS(ROW(),COLUMN(NOTA[ID]))),-1)))</f>
        <v>72</v>
      </c>
      <c r="F375" s="23"/>
      <c r="G375" s="26" t="s">
        <v>23</v>
      </c>
      <c r="H375" s="26" t="s">
        <v>24</v>
      </c>
      <c r="I375" s="31"/>
      <c r="J375" s="26"/>
      <c r="K375" s="51"/>
      <c r="L375" s="26"/>
      <c r="M375" s="26" t="s">
        <v>542</v>
      </c>
      <c r="N375" s="39">
        <v>2</v>
      </c>
      <c r="O375" s="26">
        <v>40</v>
      </c>
      <c r="P375" s="26" t="s">
        <v>95</v>
      </c>
      <c r="Q375" s="49">
        <v>42000</v>
      </c>
      <c r="R375" s="52"/>
      <c r="S375" s="39" t="s">
        <v>363</v>
      </c>
      <c r="T375" s="53">
        <v>0.17</v>
      </c>
      <c r="U375" s="53"/>
      <c r="V375" s="54"/>
      <c r="W375" s="37"/>
      <c r="X375" s="54">
        <f>IF(NOTA[[#This Row],[HARGA/ CTN]]="",NOTA[[#This Row],[JUMLAH_H]],NOTA[[#This Row],[HARGA/ CTN]]*IF(NOTA[[#This Row],[C]]="",0,NOTA[[#This Row],[C]]))</f>
        <v>1680000</v>
      </c>
      <c r="Y375" s="54">
        <f>IF(NOTA[[#This Row],[JUMLAH]]="","",NOTA[[#This Row],[JUMLAH]]*NOTA[[#This Row],[DISC 1]])</f>
        <v>285600</v>
      </c>
      <c r="Z375" s="54">
        <f>IF(NOTA[[#This Row],[JUMLAH]]="","",(NOTA[[#This Row],[JUMLAH]]-NOTA[[#This Row],[DISC 1-]])*NOTA[[#This Row],[DISC 2]])</f>
        <v>0</v>
      </c>
      <c r="AA375" s="54">
        <f>IF(NOTA[[#This Row],[JUMLAH]]="","",NOTA[[#This Row],[DISC 1-]]+NOTA[[#This Row],[DISC 2-]])</f>
        <v>285600</v>
      </c>
      <c r="AB375" s="54">
        <f>IF(NOTA[[#This Row],[JUMLAH]]="","",NOTA[[#This Row],[JUMLAH]]-NOTA[[#This Row],[DISC]])</f>
        <v>1394400</v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375" s="54">
        <f>IF(OR(NOTA[[#This Row],[QTY]]="",NOTA[[#This Row],[HARGA SATUAN]]="",),"",NOTA[[#This Row],[QTY]]*NOTA[[#This Row],[HARGA SATUAN]])</f>
        <v>1680000</v>
      </c>
      <c r="AG375" s="51">
        <f ca="1">IF(NOTA[ID_H]="","",INDEX(NOTA[TANGGAL],MATCH(,INDIRECT(ADDRESS(ROW(NOTA[TANGGAL]),COLUMN(NOTA[TANGGAL]))&amp;":"&amp;ADDRESS(ROW(),COLUMN(NOTA[TANGGAL]))),-1)))</f>
        <v>44938</v>
      </c>
      <c r="AH375" s="65" t="str">
        <f ca="1">IF(NOTA[[#This Row],[NAMA BARANG]]="","",INDEX(NOTA[SUPPLIER],MATCH(,INDIRECT(ADDRESS(ROW(NOTA[ID]),COLUMN(NOTA[ID]))&amp;":"&amp;ADDRESS(ROW(),COLUMN(NOTA[ID]))),-1)))</f>
        <v>KENKO SINAR INDONESIA</v>
      </c>
      <c r="AI375" s="65" t="str">
        <f ca="1">IF(NOTA[[#This Row],[ID_H]]="","",IF(NOTA[[#This Row],[FAKTUR]]="",INDIRECT(ADDRESS(ROW()-1,COLUMN())),NOTA[[#This Row],[FAKTUR]]))</f>
        <v>ARTO MORO</v>
      </c>
      <c r="AJ375" s="38">
        <f ca="1">IF(NOTA[[#This Row],[ID]]="","",COUNTIF(NOTA[ID_H],NOTA[[#This Row],[ID_H]]))</f>
        <v>4</v>
      </c>
      <c r="AK375" s="38" t="str">
        <f ca="1">IF(NOTA[[#This Row],[TGL.NOTA]]="",IF(NOTA[[#This Row],[SUPPLIER_H]]="","",AK374),MONTH(NOTA[[#This Row],[TGL.NOTA]]))</f>
        <v/>
      </c>
      <c r="AL375" s="38" t="str">
        <f>LOWER(SUBSTITUTE(SUBSTITUTE(SUBSTITUTE(SUBSTITUTE(SUBSTITUTE(SUBSTITUTE(SUBSTITUTE(SUBSTITUTE(SUBSTITUTE(NOTA[NAMA BARANG]," ",),".",""),"-",""),"(",""),")",""),",",""),"/",""),"""",""),"+",""))</f>
        <v>staples2310</v>
      </c>
      <c r="AM375" s="38" t="str">
        <f>IF(NOTA[C]="",NOTA[[#This Row],[CONCAT1]]&amp;NOTA[[#This Row],[HARGA SATUAN]],NOTA[[#This Row],[CONCAT1]]&amp;NOTA[[#This Row],[HARGA/ CTN_H]]&amp;NOTA[[#This Row],[DISC 1]]&amp;NOTA[[#This Row],[DISC 2]])</f>
        <v>staples23108400000.17</v>
      </c>
      <c r="AN375" s="184" t="e">
        <f>IF(NOTA[[#This Row],[CONCAT1]]="","",MATCH(NOTA[[#This Row],[CONCAT1]],[1]!db[NB NOTA_C],0)+1)</f>
        <v>#N/A</v>
      </c>
    </row>
    <row r="376" spans="1:40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Row],[CEK_EXP]]&lt;D375,"err","")</f>
        <v/>
      </c>
      <c r="D376" s="50">
        <f>IF(NOTA[[#This Row],[TANGGAL]]="",D375,NOTA[[#This Row],[TANGGAL]])</f>
        <v>44938</v>
      </c>
      <c r="E376" s="50">
        <f ca="1">IF(NOTA[[#This Row],[NAMA BARANG]]="","",INDEX(NOTA[ID],MATCH(,INDIRECT(ADDRESS(ROW(NOTA[ID]),COLUMN(NOTA[ID]))&amp;":"&amp;ADDRESS(ROW(),COLUMN(NOTA[ID]))),-1)))</f>
        <v>72</v>
      </c>
      <c r="F376" s="23"/>
      <c r="G376" s="26"/>
      <c r="H376" s="26"/>
      <c r="I376" s="31"/>
      <c r="J376" s="26"/>
      <c r="K376" s="51"/>
      <c r="L376" s="26"/>
      <c r="M376" s="26" t="s">
        <v>543</v>
      </c>
      <c r="N376" s="39">
        <v>4</v>
      </c>
      <c r="O376" s="26">
        <v>150</v>
      </c>
      <c r="P376" s="26" t="s">
        <v>90</v>
      </c>
      <c r="Q376" s="49">
        <v>32400</v>
      </c>
      <c r="R376" s="52"/>
      <c r="S376" s="39" t="s">
        <v>188</v>
      </c>
      <c r="T376" s="53">
        <v>0.17</v>
      </c>
      <c r="U376" s="53"/>
      <c r="V376" s="54"/>
      <c r="W376" s="37"/>
      <c r="X376" s="54">
        <f>IF(NOTA[[#This Row],[HARGA/ CTN]]="",NOTA[[#This Row],[JUMLAH_H]],NOTA[[#This Row],[HARGA/ CTN]]*IF(NOTA[[#This Row],[C]]="",0,NOTA[[#This Row],[C]]))</f>
        <v>4860000</v>
      </c>
      <c r="Y376" s="54">
        <f>IF(NOTA[[#This Row],[JUMLAH]]="","",NOTA[[#This Row],[JUMLAH]]*NOTA[[#This Row],[DISC 1]])</f>
        <v>826200.00000000012</v>
      </c>
      <c r="Z376" s="54">
        <f>IF(NOTA[[#This Row],[JUMLAH]]="","",(NOTA[[#This Row],[JUMLAH]]-NOTA[[#This Row],[DISC 1-]])*NOTA[[#This Row],[DISC 2]])</f>
        <v>0</v>
      </c>
      <c r="AA376" s="54">
        <f>IF(NOTA[[#This Row],[JUMLAH]]="","",NOTA[[#This Row],[DISC 1-]]+NOTA[[#This Row],[DISC 2-]])</f>
        <v>826200.00000000012</v>
      </c>
      <c r="AB376" s="54">
        <f>IF(NOTA[[#This Row],[JUMLAH]]="","",NOTA[[#This Row],[JUMLAH]]-NOTA[[#This Row],[DISC]])</f>
        <v>4033800</v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F376" s="54">
        <f>IF(OR(NOTA[[#This Row],[QTY]]="",NOTA[[#This Row],[HARGA SATUAN]]="",),"",NOTA[[#This Row],[QTY]]*NOTA[[#This Row],[HARGA SATUAN]])</f>
        <v>4860000</v>
      </c>
      <c r="AG376" s="51">
        <f ca="1">IF(NOTA[ID_H]="","",INDEX(NOTA[TANGGAL],MATCH(,INDIRECT(ADDRESS(ROW(NOTA[TANGGAL]),COLUMN(NOTA[TANGGAL]))&amp;":"&amp;ADDRESS(ROW(),COLUMN(NOTA[TANGGAL]))),-1)))</f>
        <v>44938</v>
      </c>
      <c r="AH376" s="65" t="str">
        <f ca="1">IF(NOTA[[#This Row],[NAMA BARANG]]="","",INDEX(NOTA[SUPPLIER],MATCH(,INDIRECT(ADDRESS(ROW(NOTA[ID]),COLUMN(NOTA[ID]))&amp;":"&amp;ADDRESS(ROW(),COLUMN(NOTA[ID]))),-1)))</f>
        <v>KENKO SINAR INDONESIA</v>
      </c>
      <c r="AI376" s="65" t="str">
        <f ca="1">IF(NOTA[[#This Row],[ID_H]]="","",IF(NOTA[[#This Row],[FAKTUR]]="",INDIRECT(ADDRESS(ROW()-1,COLUMN())),NOTA[[#This Row],[FAKTUR]]))</f>
        <v>ARTO MORO</v>
      </c>
      <c r="AJ376" s="38" t="str">
        <f ca="1">IF(NOTA[[#This Row],[ID]]="","",COUNTIF(NOTA[ID_H],NOTA[[#This Row],[ID_H]]))</f>
        <v/>
      </c>
      <c r="AK376" s="38" t="str">
        <f ca="1">IF(NOTA[[#This Row],[TGL.NOTA]]="",IF(NOTA[[#This Row],[SUPPLIER_H]]="","",AK375),MONTH(NOTA[[#This Row],[TGL.NOTA]]))</f>
        <v/>
      </c>
      <c r="AL376" s="38" t="str">
        <f>LOWER(SUBSTITUTE(SUBSTITUTE(SUBSTITUTE(SUBSTITUTE(SUBSTITUTE(SUBSTITUTE(SUBSTITUTE(SUBSTITUTE(SUBSTITUTE(NOTA[NAMA BARANG]," ",),".",""),"-",""),"(",""),")",""),",",""),"/",""),"""",""),"+",""))</f>
        <v>cutterbladea100</v>
      </c>
      <c r="AM376" s="38" t="str">
        <f>IF(NOTA[C]="",NOTA[[#This Row],[CONCAT1]]&amp;NOTA[[#This Row],[HARGA SATUAN]],NOTA[[#This Row],[CONCAT1]]&amp;NOTA[[#This Row],[HARGA/ CTN_H]]&amp;NOTA[[#This Row],[DISC 1]]&amp;NOTA[[#This Row],[DISC 2]])</f>
        <v>cutterbladea10012150000.17</v>
      </c>
      <c r="AN376" s="184" t="e">
        <f>IF(NOTA[[#This Row],[CONCAT1]]="","",MATCH(NOTA[[#This Row],[CONCAT1]],[1]!db[NB NOTA_C],0)+1)</f>
        <v>#N/A</v>
      </c>
    </row>
    <row r="377" spans="1:40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Row],[CEK_EXP]]&lt;D376,"err","")</f>
        <v/>
      </c>
      <c r="D377" s="50">
        <f>IF(NOTA[[#This Row],[TANGGAL]]="",D376,NOTA[[#This Row],[TANGGAL]])</f>
        <v>44938</v>
      </c>
      <c r="E377" s="50">
        <f ca="1">IF(NOTA[[#This Row],[NAMA BARANG]]="","",INDEX(NOTA[ID],MATCH(,INDIRECT(ADDRESS(ROW(NOTA[ID]),COLUMN(NOTA[ID]))&amp;":"&amp;ADDRESS(ROW(),COLUMN(NOTA[ID]))),-1)))</f>
        <v>72</v>
      </c>
      <c r="F377" s="23"/>
      <c r="G377" s="26"/>
      <c r="H377" s="26"/>
      <c r="I377" s="31"/>
      <c r="J377" s="26"/>
      <c r="K377" s="51"/>
      <c r="L377" s="26"/>
      <c r="M377" s="26" t="s">
        <v>544</v>
      </c>
      <c r="N377" s="39">
        <v>2</v>
      </c>
      <c r="O377" s="26">
        <v>96</v>
      </c>
      <c r="P377" s="26" t="s">
        <v>90</v>
      </c>
      <c r="Q377" s="49">
        <v>69600</v>
      </c>
      <c r="R377" s="52"/>
      <c r="S377" s="39" t="s">
        <v>105</v>
      </c>
      <c r="T377" s="53">
        <v>0.17</v>
      </c>
      <c r="U377" s="53"/>
      <c r="V377" s="54"/>
      <c r="W377" s="37"/>
      <c r="X377" s="54">
        <f>IF(NOTA[[#This Row],[HARGA/ CTN]]="",NOTA[[#This Row],[JUMLAH_H]],NOTA[[#This Row],[HARGA/ CTN]]*IF(NOTA[[#This Row],[C]]="",0,NOTA[[#This Row],[C]]))</f>
        <v>6681600</v>
      </c>
      <c r="Y377" s="54">
        <f>IF(NOTA[[#This Row],[JUMLAH]]="","",NOTA[[#This Row],[JUMLAH]]*NOTA[[#This Row],[DISC 1]])</f>
        <v>1135872</v>
      </c>
      <c r="Z377" s="54">
        <f>IF(NOTA[[#This Row],[JUMLAH]]="","",(NOTA[[#This Row],[JUMLAH]]-NOTA[[#This Row],[DISC 1-]])*NOTA[[#This Row],[DISC 2]])</f>
        <v>0</v>
      </c>
      <c r="AA377" s="54">
        <f>IF(NOTA[[#This Row],[JUMLAH]]="","",NOTA[[#This Row],[DISC 1-]]+NOTA[[#This Row],[DISC 2-]])</f>
        <v>1135872</v>
      </c>
      <c r="AB377" s="54">
        <f>IF(NOTA[[#This Row],[JUMLAH]]="","",NOTA[[#This Row],[JUMLAH]]-NOTA[[#This Row],[DISC]])</f>
        <v>5545728</v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9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377" s="54">
        <f>IF(OR(NOTA[[#This Row],[QTY]]="",NOTA[[#This Row],[HARGA SATUAN]]="",),"",NOTA[[#This Row],[QTY]]*NOTA[[#This Row],[HARGA SATUAN]])</f>
        <v>6681600</v>
      </c>
      <c r="AG377" s="51">
        <f ca="1">IF(NOTA[ID_H]="","",INDEX(NOTA[TANGGAL],MATCH(,INDIRECT(ADDRESS(ROW(NOTA[TANGGAL]),COLUMN(NOTA[TANGGAL]))&amp;":"&amp;ADDRESS(ROW(),COLUMN(NOTA[TANGGAL]))),-1)))</f>
        <v>44938</v>
      </c>
      <c r="AH377" s="65" t="str">
        <f ca="1">IF(NOTA[[#This Row],[NAMA BARANG]]="","",INDEX(NOTA[SUPPLIER],MATCH(,INDIRECT(ADDRESS(ROW(NOTA[ID]),COLUMN(NOTA[ID]))&amp;":"&amp;ADDRESS(ROW(),COLUMN(NOTA[ID]))),-1)))</f>
        <v>KENKO SINAR INDONESIA</v>
      </c>
      <c r="AI377" s="65" t="str">
        <f ca="1">IF(NOTA[[#This Row],[ID_H]]="","",IF(NOTA[[#This Row],[FAKTUR]]="",INDIRECT(ADDRESS(ROW()-1,COLUMN())),NOTA[[#This Row],[FAKTUR]]))</f>
        <v>ARTO MORO</v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>tipeexct1505pc</v>
      </c>
      <c r="AM377" s="38" t="str">
        <f>IF(NOTA[C]="",NOTA[[#This Row],[CONCAT1]]&amp;NOTA[[#This Row],[HARGA SATUAN]],NOTA[[#This Row],[CONCAT1]]&amp;NOTA[[#This Row],[HARGA/ CTN_H]]&amp;NOTA[[#This Row],[DISC 1]]&amp;NOTA[[#This Row],[DISC 2]])</f>
        <v>tipeexct1505pc33408000.17</v>
      </c>
      <c r="AN377" s="184" t="e">
        <f>IF(NOTA[[#This Row],[CONCAT1]]="","",MATCH(NOTA[[#This Row],[CONCAT1]],[1]!db[NB NOTA_C],0)+1)</f>
        <v>#N/A</v>
      </c>
    </row>
    <row r="378" spans="1:40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Row],[CEK_EXP]]&lt;D377,"err","")</f>
        <v/>
      </c>
      <c r="D378" s="50">
        <f>IF(NOTA[[#This Row],[TANGGAL]]="",D377,NOTA[[#This Row],[TANGGAL]])</f>
        <v>44938</v>
      </c>
      <c r="E378" s="50">
        <f ca="1">IF(NOTA[[#This Row],[NAMA BARANG]]="","",INDEX(NOTA[ID],MATCH(,INDIRECT(ADDRESS(ROW(NOTA[ID]),COLUMN(NOTA[ID]))&amp;":"&amp;ADDRESS(ROW(),COLUMN(NOTA[ID]))),-1)))</f>
        <v>72</v>
      </c>
      <c r="F378" s="23"/>
      <c r="G378" s="26"/>
      <c r="H378" s="26"/>
      <c r="I378" s="31"/>
      <c r="J378" s="26"/>
      <c r="K378" s="51"/>
      <c r="L378" s="26"/>
      <c r="M378" s="26" t="s">
        <v>545</v>
      </c>
      <c r="N378" s="39">
        <v>5</v>
      </c>
      <c r="O378" s="26">
        <v>240</v>
      </c>
      <c r="P378" s="26" t="s">
        <v>90</v>
      </c>
      <c r="Q378" s="49">
        <v>60000</v>
      </c>
      <c r="R378" s="52"/>
      <c r="S378" s="39" t="s">
        <v>105</v>
      </c>
      <c r="T378" s="53">
        <v>0.17</v>
      </c>
      <c r="U378" s="53"/>
      <c r="V378" s="54"/>
      <c r="W378" s="37"/>
      <c r="X378" s="54">
        <f>IF(NOTA[[#This Row],[HARGA/ CTN]]="",NOTA[[#This Row],[JUMLAH_H]],NOTA[[#This Row],[HARGA/ CTN]]*IF(NOTA[[#This Row],[C]]="",0,NOTA[[#This Row],[C]]))</f>
        <v>14400000</v>
      </c>
      <c r="Y378" s="54">
        <f>IF(NOTA[[#This Row],[JUMLAH]]="","",NOTA[[#This Row],[JUMLAH]]*NOTA[[#This Row],[DISC 1]])</f>
        <v>2448000</v>
      </c>
      <c r="Z378" s="54">
        <f>IF(NOTA[[#This Row],[JUMLAH]]="","",(NOTA[[#This Row],[JUMLAH]]-NOTA[[#This Row],[DISC 1-]])*NOTA[[#This Row],[DISC 2]])</f>
        <v>0</v>
      </c>
      <c r="AA378" s="54">
        <f>IF(NOTA[[#This Row],[JUMLAH]]="","",NOTA[[#This Row],[DISC 1-]]+NOTA[[#This Row],[DISC 2-]])</f>
        <v>2448000</v>
      </c>
      <c r="AB378" s="54">
        <f>IF(NOTA[[#This Row],[JUMLAH]]="","",NOTA[[#This Row],[JUMLAH]]-NOTA[[#This Row],[DISC]])</f>
        <v>11952000</v>
      </c>
      <c r="AC3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4695672</v>
      </c>
      <c r="AD3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22925928</v>
      </c>
      <c r="AE378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78" s="54">
        <f>IF(OR(NOTA[[#This Row],[QTY]]="",NOTA[[#This Row],[HARGA SATUAN]]="",),"",NOTA[[#This Row],[QTY]]*NOTA[[#This Row],[HARGA SATUAN]])</f>
        <v>14400000</v>
      </c>
      <c r="AG378" s="51">
        <f ca="1">IF(NOTA[ID_H]="","",INDEX(NOTA[TANGGAL],MATCH(,INDIRECT(ADDRESS(ROW(NOTA[TANGGAL]),COLUMN(NOTA[TANGGAL]))&amp;":"&amp;ADDRESS(ROW(),COLUMN(NOTA[TANGGAL]))),-1)))</f>
        <v>44938</v>
      </c>
      <c r="AH378" s="65" t="str">
        <f ca="1">IF(NOTA[[#This Row],[NAMA BARANG]]="","",INDEX(NOTA[SUPPLIER],MATCH(,INDIRECT(ADDRESS(ROW(NOTA[ID]),COLUMN(NOTA[ID]))&amp;":"&amp;ADDRESS(ROW(),COLUMN(NOTA[ID]))),-1)))</f>
        <v>KENKO SINAR INDONESIA</v>
      </c>
      <c r="AI378" s="65" t="str">
        <f ca="1">IF(NOTA[[#This Row],[ID_H]]="","",IF(NOTA[[#This Row],[FAKTUR]]="",INDIRECT(ADDRESS(ROW()-1,COLUMN())),NOTA[[#This Row],[FAKTUR]]))</f>
        <v>ARTO MORO</v>
      </c>
      <c r="AJ378" s="38" t="str">
        <f ca="1">IF(NOTA[[#This Row],[ID]]="","",COUNTIF(NOTA[ID_H],NOTA[[#This Row],[ID_H]]))</f>
        <v/>
      </c>
      <c r="AK378" s="38" t="str">
        <f ca="1">IF(NOTA[[#This Row],[TGL.NOTA]]="",IF(NOTA[[#This Row],[SUPPLIER_H]]="","",AK377),MONTH(NOTA[[#This Row],[TGL.NOTA]]))</f>
        <v/>
      </c>
      <c r="AL378" s="38" t="str">
        <f>LOWER(SUBSTITUTE(SUBSTITUTE(SUBSTITUTE(SUBSTITUTE(SUBSTITUTE(SUBSTITUTE(SUBSTITUTE(SUBSTITUTE(SUBSTITUTE(NOTA[NAMA BARANG]," ",),".",""),"-",""),"(",""),")",""),",",""),"/",""),"""",""),"+",""))</f>
        <v>tipeexct909</v>
      </c>
      <c r="AM378" s="38" t="str">
        <f>IF(NOTA[C]="",NOTA[[#This Row],[CONCAT1]]&amp;NOTA[[#This Row],[HARGA SATUAN]],NOTA[[#This Row],[CONCAT1]]&amp;NOTA[[#This Row],[HARGA/ CTN_H]]&amp;NOTA[[#This Row],[DISC 1]]&amp;NOTA[[#This Row],[DISC 2]])</f>
        <v>tipeexct90928800000.17</v>
      </c>
      <c r="AN378" s="184" t="e">
        <f>IF(NOTA[[#This Row],[CONCAT1]]="","",MATCH(NOTA[[#This Row],[CONCAT1]],[1]!db[NB NOTA_C],0)+1)</f>
        <v>#N/A</v>
      </c>
    </row>
    <row r="379" spans="1:40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Row],[CEK_EXP]]&lt;D378,"err","")</f>
        <v/>
      </c>
      <c r="D379" s="50">
        <f>IF(NOTA[[#This Row],[TANGGAL]]="",D378,NOTA[[#This Row],[TANGGAL]])</f>
        <v>44938</v>
      </c>
      <c r="E379" s="50" t="str">
        <f ca="1">IF(NOTA[[#This Row],[NAMA BARANG]]="","",INDEX(NOTA[ID],MATCH(,INDIRECT(ADDRESS(ROW(NOTA[ID]),COLUMN(NOTA[ID]))&amp;":"&amp;ADDRESS(ROW(),COLUMN(NOTA[ID]))),-1)))</f>
        <v/>
      </c>
      <c r="F379" s="23"/>
      <c r="G379" s="26"/>
      <c r="H379" s="26"/>
      <c r="I379" s="31"/>
      <c r="J379" s="26"/>
      <c r="K379" s="51"/>
      <c r="L379" s="26"/>
      <c r="M379" s="26"/>
      <c r="N379" s="39"/>
      <c r="O379" s="26"/>
      <c r="P379" s="26"/>
      <c r="Q379" s="90"/>
      <c r="R379" s="52"/>
      <c r="S379" s="39"/>
      <c r="T379" s="53"/>
      <c r="U379" s="53"/>
      <c r="V379" s="54"/>
      <c r="W379" s="37"/>
      <c r="X379" s="54" t="str">
        <f>IF(NOTA[[#This Row],[HARGA/ CTN]]="",NOTA[[#This Row],[JUMLAH_H]],NOTA[[#This Row],[HARGA/ CTN]]*IF(NOTA[[#This Row],[C]]="",0,NOTA[[#This Row],[C]]))</f>
        <v/>
      </c>
      <c r="Y379" s="54" t="str">
        <f>IF(NOTA[[#This Row],[JUMLAH]]="","",NOTA[[#This Row],[JUMLAH]]*NOTA[[#This Row],[DISC 1]])</f>
        <v/>
      </c>
      <c r="Z379" s="54" t="str">
        <f>IF(NOTA[[#This Row],[JUMLAH]]="","",(NOTA[[#This Row],[JUMLAH]]-NOTA[[#This Row],[DISC 1-]])*NOTA[[#This Row],[DISC 2]])</f>
        <v/>
      </c>
      <c r="AA379" s="54" t="str">
        <f>IF(NOTA[[#This Row],[JUMLAH]]="","",NOTA[[#This Row],[DISC 1-]]+NOTA[[#This Row],[DISC 2-]])</f>
        <v/>
      </c>
      <c r="AB379" s="54" t="str">
        <f>IF(NOTA[[#This Row],[JUMLAH]]="","",NOTA[[#This Row],[JUMLAH]]-NOTA[[#This Row],[DISC]])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4" t="str">
        <f>IF(OR(NOTA[[#This Row],[QTY]]="",NOTA[[#This Row],[HARGA SATUAN]]="",),"",NOTA[[#This Row],[QTY]]*NOTA[[#This Row],[HARGA SATUAN]])</f>
        <v/>
      </c>
      <c r="AG379" s="51" t="str">
        <f ca="1">IF(NOTA[ID_H]="","",INDEX(NOTA[TANGGAL],MATCH(,INDIRECT(ADDRESS(ROW(NOTA[TANGGAL]),COLUMN(NOTA[TANGGAL]))&amp;":"&amp;ADDRESS(ROW(),COLUMN(NOTA[TANGGAL]))),-1)))</f>
        <v/>
      </c>
      <c r="AH379" s="49" t="str">
        <f ca="1">IF(NOTA[[#This Row],[NAMA BARANG]]="","",INDEX(NOTA[SUPPLIER],MATCH(,INDIRECT(ADDRESS(ROW(NOTA[ID]),COLUMN(NOTA[ID]))&amp;":"&amp;ADDRESS(ROW(),COLUMN(NOTA[ID]))),-1)))</f>
        <v/>
      </c>
      <c r="AI379" s="49" t="str">
        <f ca="1">IF(NOTA[[#This Row],[ID_H]]="","",IF(NOTA[[#This Row],[FAKTUR]]="",INDIRECT(ADDRESS(ROW()-1,COLUMN())),NOTA[[#This Row],[FAKTUR]]))</f>
        <v/>
      </c>
      <c r="AJ379" s="38" t="str">
        <f ca="1">IF(NOTA[[#This Row],[ID]]="","",COUNTIF(NOTA[ID_H],NOTA[[#This Row],[ID_H]]))</f>
        <v/>
      </c>
      <c r="AK379" s="38" t="str">
        <f ca="1">IF(NOTA[[#This Row],[TGL.NOTA]]="",IF(NOTA[[#This Row],[SUPPLIER_H]]="","",AK378),MONTH(NOTA[[#This Row],[TGL.NOTA]]))</f>
        <v/>
      </c>
      <c r="AL379" s="38" t="str">
        <f>LOWER(SUBSTITUTE(SUBSTITUTE(SUBSTITUTE(SUBSTITUTE(SUBSTITUTE(SUBSTITUTE(SUBSTITUTE(SUBSTITUTE(SUBSTITUTE(NOTA[NAMA BARANG]," ",),".",""),"-",""),"(",""),")",""),",",""),"/",""),"""",""),"+",""))</f>
        <v/>
      </c>
      <c r="AM379" s="38" t="str">
        <f>IF(NOTA[C]="",NOTA[[#This Row],[CONCAT1]]&amp;NOTA[[#This Row],[HARGA SATUAN]],NOTA[[#This Row],[CONCAT1]]&amp;NOTA[[#This Row],[HARGA/ CTN_H]]&amp;NOTA[[#This Row],[DISC 1]]&amp;NOTA[[#This Row],[DISC 2]])</f>
        <v/>
      </c>
      <c r="AN379" s="184" t="str">
        <f>IF(NOTA[[#This Row],[CONCAT1]]="","",MATCH(NOTA[[#This Row],[CONCAT1]],[1]!db[NB NOTA_C],0)+1)</f>
        <v/>
      </c>
    </row>
    <row r="380" spans="1:40" ht="20.100000000000001" customHeight="1" x14ac:dyDescent="0.25">
      <c r="A380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8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KEN_1201_775-4</v>
      </c>
      <c r="C380" s="50" t="str">
        <f>IF(NOTA[[#This Row],[CEK_EXP]]&lt;D379,"err","")</f>
        <v/>
      </c>
      <c r="D380" s="50">
        <f>IF(NOTA[[#This Row],[TANGGAL]]="",D379,NOTA[[#This Row],[TANGGAL]])</f>
        <v>44938</v>
      </c>
      <c r="E380" s="50">
        <f ca="1">IF(NOTA[[#This Row],[NAMA BARANG]]="","",INDEX(NOTA[ID],MATCH(,INDIRECT(ADDRESS(ROW(NOTA[ID]),COLUMN(NOTA[ID]))&amp;":"&amp;ADDRESS(ROW(),COLUMN(NOTA[ID]))),-1)))</f>
        <v>73</v>
      </c>
      <c r="F380" s="23"/>
      <c r="G380" s="26" t="s">
        <v>23</v>
      </c>
      <c r="H380" s="26" t="s">
        <v>24</v>
      </c>
      <c r="I380" s="31" t="s">
        <v>546</v>
      </c>
      <c r="J380" s="26" t="s">
        <v>550</v>
      </c>
      <c r="K380" s="51">
        <v>44938</v>
      </c>
      <c r="L380" s="26"/>
      <c r="M380" s="26" t="s">
        <v>547</v>
      </c>
      <c r="N380" s="39">
        <v>5</v>
      </c>
      <c r="O380" s="26"/>
      <c r="P380" s="26"/>
      <c r="Q380" s="90"/>
      <c r="R380" s="52">
        <v>3758400</v>
      </c>
      <c r="S380" s="39"/>
      <c r="T380" s="53">
        <v>0.17</v>
      </c>
      <c r="U380" s="53"/>
      <c r="V380" s="54"/>
      <c r="W380" s="37"/>
      <c r="X380" s="54">
        <f>IF(NOTA[[#This Row],[HARGA/ CTN]]="",NOTA[[#This Row],[JUMLAH_H]],NOTA[[#This Row],[HARGA/ CTN]]*IF(NOTA[[#This Row],[C]]="",0,NOTA[[#This Row],[C]]))</f>
        <v>18792000</v>
      </c>
      <c r="Y380" s="54">
        <f>IF(NOTA[[#This Row],[JUMLAH]]="","",NOTA[[#This Row],[JUMLAH]]*NOTA[[#This Row],[DISC 1]])</f>
        <v>3194640</v>
      </c>
      <c r="Z380" s="54">
        <f>IF(NOTA[[#This Row],[JUMLAH]]="","",(NOTA[[#This Row],[JUMLAH]]-NOTA[[#This Row],[DISC 1-]])*NOTA[[#This Row],[DISC 2]])</f>
        <v>0</v>
      </c>
      <c r="AA380" s="54">
        <f>IF(NOTA[[#This Row],[JUMLAH]]="","",NOTA[[#This Row],[DISC 1-]]+NOTA[[#This Row],[DISC 2-]])</f>
        <v>3194640</v>
      </c>
      <c r="AB380" s="54">
        <f>IF(NOTA[[#This Row],[JUMLAH]]="","",NOTA[[#This Row],[JUMLAH]]-NOTA[[#This Row],[DISC]])</f>
        <v>15597360</v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80" s="54" t="str">
        <f>IF(OR(NOTA[[#This Row],[QTY]]="",NOTA[[#This Row],[HARGA SATUAN]]="",),"",NOTA[[#This Row],[QTY]]*NOTA[[#This Row],[HARGA SATUAN]])</f>
        <v/>
      </c>
      <c r="AG380" s="51">
        <f ca="1">IF(NOTA[ID_H]="","",INDEX(NOTA[TANGGAL],MATCH(,INDIRECT(ADDRESS(ROW(NOTA[TANGGAL]),COLUMN(NOTA[TANGGAL]))&amp;":"&amp;ADDRESS(ROW(),COLUMN(NOTA[TANGGAL]))),-1)))</f>
        <v>44938</v>
      </c>
      <c r="AH380" s="49" t="str">
        <f ca="1">IF(NOTA[[#This Row],[NAMA BARANG]]="","",INDEX(NOTA[SUPPLIER],MATCH(,INDIRECT(ADDRESS(ROW(NOTA[ID]),COLUMN(NOTA[ID]))&amp;":"&amp;ADDRESS(ROW(),COLUMN(NOTA[ID]))),-1)))</f>
        <v>KENKO SINAR INDONESIA</v>
      </c>
      <c r="AI380" s="49" t="str">
        <f ca="1">IF(NOTA[[#This Row],[ID_H]]="","",IF(NOTA[[#This Row],[FAKTUR]]="",INDIRECT(ADDRESS(ROW()-1,COLUMN())),NOTA[[#This Row],[FAKTUR]]))</f>
        <v>ARTO MORO</v>
      </c>
      <c r="AJ380" s="38">
        <f ca="1">IF(NOTA[[#This Row],[ID]]="","",COUNTIF(NOTA[ID_H],NOTA[[#This Row],[ID_H]]))</f>
        <v>4</v>
      </c>
      <c r="AK380" s="38">
        <f>IF(NOTA[[#This Row],[TGL.NOTA]]="",IF(NOTA[[#This Row],[SUPPLIER_H]]="","",AK379),MONTH(NOTA[[#This Row],[TGL.NOTA]]))</f>
        <v>1</v>
      </c>
      <c r="AL38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80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N380" s="184">
        <f>IF(NOTA[[#This Row],[CONCAT1]]="","",MATCH(NOTA[[#This Row],[CONCAT1]],[1]!db[NB NOTA_C],0)+1)</f>
        <v>1148</v>
      </c>
    </row>
    <row r="381" spans="1:40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Row],[CEK_EXP]]&lt;D380,"err","")</f>
        <v/>
      </c>
      <c r="D381" s="50">
        <f>IF(NOTA[[#This Row],[TANGGAL]]="",D380,NOTA[[#This Row],[TANGGAL]])</f>
        <v>44938</v>
      </c>
      <c r="E381" s="50">
        <f ca="1">IF(NOTA[[#This Row],[NAMA BARANG]]="","",INDEX(NOTA[ID],MATCH(,INDIRECT(ADDRESS(ROW(NOTA[ID]),COLUMN(NOTA[ID]))&amp;":"&amp;ADDRESS(ROW(),COLUMN(NOTA[ID]))),-1)))</f>
        <v>73</v>
      </c>
      <c r="F381" s="23"/>
      <c r="G381" s="26"/>
      <c r="H381" s="26"/>
      <c r="I381" s="31"/>
      <c r="J381" s="26"/>
      <c r="K381" s="51"/>
      <c r="L381" s="26"/>
      <c r="M381" s="26" t="s">
        <v>548</v>
      </c>
      <c r="N381" s="39">
        <v>2</v>
      </c>
      <c r="O381" s="26"/>
      <c r="P381" s="26"/>
      <c r="Q381" s="90"/>
      <c r="R381" s="52">
        <v>2980800</v>
      </c>
      <c r="S381" s="39"/>
      <c r="T381" s="53">
        <v>0.17</v>
      </c>
      <c r="U381" s="53"/>
      <c r="V381" s="54"/>
      <c r="W381" s="37"/>
      <c r="X381" s="54">
        <f>IF(NOTA[[#This Row],[HARGA/ CTN]]="",NOTA[[#This Row],[JUMLAH_H]],NOTA[[#This Row],[HARGA/ CTN]]*IF(NOTA[[#This Row],[C]]="",0,NOTA[[#This Row],[C]]))</f>
        <v>5961600</v>
      </c>
      <c r="Y381" s="54">
        <f>IF(NOTA[[#This Row],[JUMLAH]]="","",NOTA[[#This Row],[JUMLAH]]*NOTA[[#This Row],[DISC 1]])</f>
        <v>1013472.0000000001</v>
      </c>
      <c r="Z381" s="54">
        <f>IF(NOTA[[#This Row],[JUMLAH]]="","",(NOTA[[#This Row],[JUMLAH]]-NOTA[[#This Row],[DISC 1-]])*NOTA[[#This Row],[DISC 2]])</f>
        <v>0</v>
      </c>
      <c r="AA381" s="54">
        <f>IF(NOTA[[#This Row],[JUMLAH]]="","",NOTA[[#This Row],[DISC 1-]]+NOTA[[#This Row],[DISC 2-]])</f>
        <v>1013472.0000000001</v>
      </c>
      <c r="AB381" s="54">
        <f>IF(NOTA[[#This Row],[JUMLAH]]="","",NOTA[[#This Row],[JUMLAH]]-NOTA[[#This Row],[DISC]])</f>
        <v>4948128</v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81" s="54" t="str">
        <f>IF(OR(NOTA[[#This Row],[QTY]]="",NOTA[[#This Row],[HARGA SATUAN]]="",),"",NOTA[[#This Row],[QTY]]*NOTA[[#This Row],[HARGA SATUAN]])</f>
        <v/>
      </c>
      <c r="AG381" s="51">
        <f ca="1">IF(NOTA[ID_H]="","",INDEX(NOTA[TANGGAL],MATCH(,INDIRECT(ADDRESS(ROW(NOTA[TANGGAL]),COLUMN(NOTA[TANGGAL]))&amp;":"&amp;ADDRESS(ROW(),COLUMN(NOTA[TANGGAL]))),-1)))</f>
        <v>44938</v>
      </c>
      <c r="AH381" s="49" t="str">
        <f ca="1">IF(NOTA[[#This Row],[NAMA BARANG]]="","",INDEX(NOTA[SUPPLIER],MATCH(,INDIRECT(ADDRESS(ROW(NOTA[ID]),COLUMN(NOTA[ID]))&amp;":"&amp;ADDRESS(ROW(),COLUMN(NOTA[ID]))),-1)))</f>
        <v>KENKO SINAR INDONESIA</v>
      </c>
      <c r="AI381" s="49" t="str">
        <f ca="1">IF(NOTA[[#This Row],[ID_H]]="","",IF(NOTA[[#This Row],[FAKTUR]]="",INDIRECT(ADDRESS(ROW()-1,COLUMN())),NOTA[[#This Row],[FAKTUR]]))</f>
        <v>ARTO MORO</v>
      </c>
      <c r="AJ381" s="38" t="str">
        <f ca="1">IF(NOTA[[#This Row],[ID]]="","",COUNTIF(NOTA[ID_H],NOTA[[#This Row],[ID_H]]))</f>
        <v/>
      </c>
      <c r="AK381" s="38">
        <f ca="1">IF(NOTA[[#This Row],[TGL.NOTA]]="",IF(NOTA[[#This Row],[SUPPLIER_H]]="","",AK380),MONTH(NOTA[[#This Row],[TGL.NOTA]]))</f>
        <v>1</v>
      </c>
      <c r="AL38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381" s="38" t="str">
        <f>IF(NOTA[C]="",NOTA[[#This Row],[CONCAT1]]&amp;NOTA[[#This Row],[HARGA SATUAN]],NOTA[[#This Row],[CONCAT1]]&amp;NOTA[[#This Row],[HARGA/ CTN_H]]&amp;NOTA[[#This Row],[DISC 1]]&amp;NOTA[[#This Row],[DISC 2]])</f>
        <v>kenko24colorpencilcp24fclassic29808000.17</v>
      </c>
      <c r="AN381" s="184">
        <f>IF(NOTA[[#This Row],[CONCAT1]]="","",MATCH(NOTA[[#This Row],[CONCAT1]],[1]!db[NB NOTA_C],0)+1)</f>
        <v>1043</v>
      </c>
    </row>
    <row r="382" spans="1:40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Row],[CEK_EXP]]&lt;D381,"err","")</f>
        <v/>
      </c>
      <c r="D382" s="50">
        <f>IF(NOTA[[#This Row],[TANGGAL]]="",D381,NOTA[[#This Row],[TANGGAL]])</f>
        <v>44938</v>
      </c>
      <c r="E382" s="50">
        <f ca="1">IF(NOTA[[#This Row],[NAMA BARANG]]="","",INDEX(NOTA[ID],MATCH(,INDIRECT(ADDRESS(ROW(NOTA[ID]),COLUMN(NOTA[ID]))&amp;":"&amp;ADDRESS(ROW(),COLUMN(NOTA[ID]))),-1)))</f>
        <v>73</v>
      </c>
      <c r="F382" s="23"/>
      <c r="G382" s="26"/>
      <c r="H382" s="26"/>
      <c r="I382" s="31"/>
      <c r="J382" s="26"/>
      <c r="K382" s="51"/>
      <c r="L382" s="26"/>
      <c r="M382" s="26" t="s">
        <v>167</v>
      </c>
      <c r="N382" s="39">
        <v>1</v>
      </c>
      <c r="O382" s="26"/>
      <c r="P382" s="26"/>
      <c r="Q382" s="90"/>
      <c r="R382" s="52">
        <v>2448000</v>
      </c>
      <c r="S382" s="39"/>
      <c r="T382" s="53">
        <v>0.17</v>
      </c>
      <c r="U382" s="53"/>
      <c r="V382" s="54"/>
      <c r="W382" s="37"/>
      <c r="X382" s="54">
        <f>IF(NOTA[[#This Row],[HARGA/ CTN]]="",NOTA[[#This Row],[JUMLAH_H]],NOTA[[#This Row],[HARGA/ CTN]]*IF(NOTA[[#This Row],[C]]="",0,NOTA[[#This Row],[C]]))</f>
        <v>2448000</v>
      </c>
      <c r="Y382" s="54">
        <f>IF(NOTA[[#This Row],[JUMLAH]]="","",NOTA[[#This Row],[JUMLAH]]*NOTA[[#This Row],[DISC 1]])</f>
        <v>416160.00000000006</v>
      </c>
      <c r="Z382" s="54">
        <f>IF(NOTA[[#This Row],[JUMLAH]]="","",(NOTA[[#This Row],[JUMLAH]]-NOTA[[#This Row],[DISC 1-]])*NOTA[[#This Row],[DISC 2]])</f>
        <v>0</v>
      </c>
      <c r="AA382" s="54">
        <f>IF(NOTA[[#This Row],[JUMLAH]]="","",NOTA[[#This Row],[DISC 1-]]+NOTA[[#This Row],[DISC 2-]])</f>
        <v>416160.00000000006</v>
      </c>
      <c r="AB382" s="54">
        <f>IF(NOTA[[#This Row],[JUMLAH]]="","",NOTA[[#This Row],[JUMLAH]]-NOTA[[#This Row],[DISC]])</f>
        <v>2031840</v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382" s="54" t="str">
        <f>IF(OR(NOTA[[#This Row],[QTY]]="",NOTA[[#This Row],[HARGA SATUAN]]="",),"",NOTA[[#This Row],[QTY]]*NOTA[[#This Row],[HARGA SATUAN]])</f>
        <v/>
      </c>
      <c r="AG382" s="51">
        <f ca="1">IF(NOTA[ID_H]="","",INDEX(NOTA[TANGGAL],MATCH(,INDIRECT(ADDRESS(ROW(NOTA[TANGGAL]),COLUMN(NOTA[TANGGAL]))&amp;":"&amp;ADDRESS(ROW(),COLUMN(NOTA[TANGGAL]))),-1)))</f>
        <v>44938</v>
      </c>
      <c r="AH382" s="49" t="str">
        <f ca="1">IF(NOTA[[#This Row],[NAMA BARANG]]="","",INDEX(NOTA[SUPPLIER],MATCH(,INDIRECT(ADDRESS(ROW(NOTA[ID]),COLUMN(NOTA[ID]))&amp;":"&amp;ADDRESS(ROW(),COLUMN(NOTA[ID]))),-1)))</f>
        <v>KENKO SINAR INDONESIA</v>
      </c>
      <c r="AI382" s="49" t="str">
        <f ca="1">IF(NOTA[[#This Row],[ID_H]]="","",IF(NOTA[[#This Row],[FAKTUR]]="",INDIRECT(ADDRESS(ROW()-1,COLUMN())),NOTA[[#This Row],[FAKTUR]]))</f>
        <v>ARTO MORO</v>
      </c>
      <c r="AJ382" s="38" t="str">
        <f ca="1">IF(NOTA[[#This Row],[ID]]="","",COUNTIF(NOTA[ID_H],NOTA[[#This Row],[ID_H]]))</f>
        <v/>
      </c>
      <c r="AK382" s="38">
        <f ca="1">IF(NOTA[[#This Row],[TGL.NOTA]]="",IF(NOTA[[#This Row],[SUPPLIER_H]]="","",AK381),MONTH(NOTA[[#This Row],[TGL.NOTA]]))</f>
        <v>1</v>
      </c>
      <c r="AL382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M382" s="38" t="str">
        <f>IF(NOTA[C]="",NOTA[[#This Row],[CONCAT1]]&amp;NOTA[[#This Row],[HARGA SATUAN]],NOTA[[#This Row],[CONCAT1]]&amp;NOTA[[#This Row],[HARGA/ CTN_H]]&amp;NOTA[[#This Row],[DISC 1]]&amp;NOTA[[#This Row],[DISC 2]])</f>
        <v>kenkocorrectiontapect802n8mx5mm24480000.17</v>
      </c>
      <c r="AN382" s="184">
        <f>IF(NOTA[[#This Row],[CONCAT1]]="","",MATCH(NOTA[[#This Row],[CONCAT1]],[1]!db[NB NOTA_C],0)+1)</f>
        <v>1120</v>
      </c>
    </row>
    <row r="383" spans="1:40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Row],[CEK_EXP]]&lt;D382,"err","")</f>
        <v/>
      </c>
      <c r="D383" s="50">
        <f>IF(NOTA[[#This Row],[TANGGAL]]="",D382,NOTA[[#This Row],[TANGGAL]])</f>
        <v>44938</v>
      </c>
      <c r="E383" s="50">
        <f ca="1">IF(NOTA[[#This Row],[NAMA BARANG]]="","",INDEX(NOTA[ID],MATCH(,INDIRECT(ADDRESS(ROW(NOTA[ID]),COLUMN(NOTA[ID]))&amp;":"&amp;ADDRESS(ROW(),COLUMN(NOTA[ID]))),-1)))</f>
        <v>73</v>
      </c>
      <c r="F383" s="23"/>
      <c r="G383" s="26"/>
      <c r="H383" s="26"/>
      <c r="I383" s="31"/>
      <c r="J383" s="26"/>
      <c r="K383" s="51"/>
      <c r="L383" s="26"/>
      <c r="M383" s="26" t="s">
        <v>549</v>
      </c>
      <c r="N383" s="39">
        <v>1</v>
      </c>
      <c r="O383" s="26"/>
      <c r="P383" s="26"/>
      <c r="Q383" s="90"/>
      <c r="R383" s="52">
        <v>3024000</v>
      </c>
      <c r="S383" s="39"/>
      <c r="T383" s="53">
        <v>0.17</v>
      </c>
      <c r="U383" s="53"/>
      <c r="V383" s="54"/>
      <c r="W383" s="37"/>
      <c r="X383" s="54">
        <f>IF(NOTA[[#This Row],[HARGA/ CTN]]="",NOTA[[#This Row],[JUMLAH_H]],NOTA[[#This Row],[HARGA/ CTN]]*IF(NOTA[[#This Row],[C]]="",0,NOTA[[#This Row],[C]]))</f>
        <v>3024000</v>
      </c>
      <c r="Y383" s="54">
        <f>IF(NOTA[[#This Row],[JUMLAH]]="","",NOTA[[#This Row],[JUMLAH]]*NOTA[[#This Row],[DISC 1]])</f>
        <v>514080.00000000006</v>
      </c>
      <c r="Z383" s="54">
        <f>IF(NOTA[[#This Row],[JUMLAH]]="","",(NOTA[[#This Row],[JUMLAH]]-NOTA[[#This Row],[DISC 1-]])*NOTA[[#This Row],[DISC 2]])</f>
        <v>0</v>
      </c>
      <c r="AA383" s="54">
        <f>IF(NOTA[[#This Row],[JUMLAH]]="","",NOTA[[#This Row],[DISC 1-]]+NOTA[[#This Row],[DISC 2-]])</f>
        <v>514080.00000000006</v>
      </c>
      <c r="AB383" s="54">
        <f>IF(NOTA[[#This Row],[JUMLAH]]="","",NOTA[[#This Row],[JUMLAH]]-NOTA[[#This Row],[DISC]])</f>
        <v>2509920</v>
      </c>
      <c r="AC3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5138352</v>
      </c>
      <c r="AD3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25087248</v>
      </c>
      <c r="AE38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383" s="54" t="str">
        <f>IF(OR(NOTA[[#This Row],[QTY]]="",NOTA[[#This Row],[HARGA SATUAN]]="",),"",NOTA[[#This Row],[QTY]]*NOTA[[#This Row],[HARGA SATUAN]])</f>
        <v/>
      </c>
      <c r="AG383" s="51">
        <f ca="1">IF(NOTA[ID_H]="","",INDEX(NOTA[TANGGAL],MATCH(,INDIRECT(ADDRESS(ROW(NOTA[TANGGAL]),COLUMN(NOTA[TANGGAL]))&amp;":"&amp;ADDRESS(ROW(),COLUMN(NOTA[TANGGAL]))),-1)))</f>
        <v>44938</v>
      </c>
      <c r="AH383" s="49" t="str">
        <f ca="1">IF(NOTA[[#This Row],[NAMA BARANG]]="","",INDEX(NOTA[SUPPLIER],MATCH(,INDIRECT(ADDRESS(ROW(NOTA[ID]),COLUMN(NOTA[ID]))&amp;":"&amp;ADDRESS(ROW(),COLUMN(NOTA[ID]))),-1)))</f>
        <v>KENKO SINAR INDONESIA</v>
      </c>
      <c r="AI383" s="49" t="str">
        <f ca="1">IF(NOTA[[#This Row],[ID_H]]="","",IF(NOTA[[#This Row],[FAKTUR]]="",INDIRECT(ADDRESS(ROW()-1,COLUMN())),NOTA[[#This Row],[FAKTUR]]))</f>
        <v>ARTO MORO</v>
      </c>
      <c r="AJ383" s="38" t="str">
        <f ca="1">IF(NOTA[[#This Row],[ID]]="","",COUNTIF(NOTA[ID_H],NOTA[[#This Row],[ID_H]]))</f>
        <v/>
      </c>
      <c r="AK383" s="38">
        <f ca="1">IF(NOTA[[#This Row],[TGL.NOTA]]="",IF(NOTA[[#This Row],[SUPPLIER_H]]="","",AK382),MONTH(NOTA[[#This Row],[TGL.NOTA]]))</f>
        <v>1</v>
      </c>
      <c r="AL383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M383" s="38" t="str">
        <f>IF(NOTA[C]="",NOTA[[#This Row],[CONCAT1]]&amp;NOTA[[#This Row],[HARGA SATUAN]],NOTA[[#This Row],[CONCAT1]]&amp;NOTA[[#This Row],[HARGA/ CTN_H]]&amp;NOTA[[#This Row],[DISC 1]]&amp;NOTA[[#This Row],[DISC 2]])</f>
        <v>kenkocorrectiontapect90312mx5mm30240000.17</v>
      </c>
      <c r="AN383" s="184">
        <f>IF(NOTA[[#This Row],[CONCAT1]]="","",MATCH(NOTA[[#This Row],[CONCAT1]],[1]!db[NB NOTA_C],0)+1)</f>
        <v>1127</v>
      </c>
    </row>
    <row r="384" spans="1:40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Row],[CEK_EXP]]&lt;D383,"err","")</f>
        <v/>
      </c>
      <c r="D384" s="50">
        <f>IF(NOTA[[#This Row],[TANGGAL]]="",D383,NOTA[[#This Row],[TANGGAL]])</f>
        <v>44938</v>
      </c>
      <c r="E384" s="50" t="str">
        <f ca="1">IF(NOTA[[#This Row],[NAMA BARANG]]="","",INDEX(NOTA[ID],MATCH(,INDIRECT(ADDRESS(ROW(NOTA[ID]),COLUMN(NOTA[ID]))&amp;":"&amp;ADDRESS(ROW(),COLUMN(NOTA[ID]))),-1)))</f>
        <v/>
      </c>
      <c r="F384" s="23"/>
      <c r="G384" s="26"/>
      <c r="H384" s="26"/>
      <c r="I384" s="31"/>
      <c r="J384" s="26"/>
      <c r="K384" s="51"/>
      <c r="L384" s="26"/>
      <c r="M384" s="26"/>
      <c r="N384" s="39"/>
      <c r="O384" s="26"/>
      <c r="P384" s="26"/>
      <c r="Q384" s="49"/>
      <c r="R384" s="52"/>
      <c r="S384" s="39"/>
      <c r="T384" s="53"/>
      <c r="U384" s="53"/>
      <c r="V384" s="54"/>
      <c r="W384" s="37"/>
      <c r="X384" s="54" t="str">
        <f>IF(NOTA[[#This Row],[HARGA/ CTN]]="",NOTA[[#This Row],[JUMLAH_H]],NOTA[[#This Row],[HARGA/ CTN]]*IF(NOTA[[#This Row],[C]]="",0,NOTA[[#This Row],[C]]))</f>
        <v/>
      </c>
      <c r="Y384" s="54" t="str">
        <f>IF(NOTA[[#This Row],[JUMLAH]]="","",NOTA[[#This Row],[JUMLAH]]*NOTA[[#This Row],[DISC 1]])</f>
        <v/>
      </c>
      <c r="Z384" s="54" t="str">
        <f>IF(NOTA[[#This Row],[JUMLAH]]="","",(NOTA[[#This Row],[JUMLAH]]-NOTA[[#This Row],[DISC 1-]])*NOTA[[#This Row],[DISC 2]])</f>
        <v/>
      </c>
      <c r="AA384" s="54" t="str">
        <f>IF(NOTA[[#This Row],[JUMLAH]]="","",NOTA[[#This Row],[DISC 1-]]+NOTA[[#This Row],[DISC 2-]])</f>
        <v/>
      </c>
      <c r="AB384" s="54" t="str">
        <f>IF(NOTA[[#This Row],[JUMLAH]]="","",NOTA[[#This Row],[JUMLAH]]-NOTA[[#This Row],[DISC]])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4" s="54" t="str">
        <f>IF(OR(NOTA[[#This Row],[QTY]]="",NOTA[[#This Row],[HARGA SATUAN]]="",),"",NOTA[[#This Row],[QTY]]*NOTA[[#This Row],[HARGA SATUAN]])</f>
        <v/>
      </c>
      <c r="AG384" s="51" t="str">
        <f ca="1">IF(NOTA[ID_H]="","",INDEX(NOTA[TANGGAL],MATCH(,INDIRECT(ADDRESS(ROW(NOTA[TANGGAL]),COLUMN(NOTA[TANGGAL]))&amp;":"&amp;ADDRESS(ROW(),COLUMN(NOTA[TANGGAL]))),-1)))</f>
        <v/>
      </c>
      <c r="AH384" s="49" t="str">
        <f ca="1">IF(NOTA[[#This Row],[NAMA BARANG]]="","",INDEX(NOTA[SUPPLIER],MATCH(,INDIRECT(ADDRESS(ROW(NOTA[ID]),COLUMN(NOTA[ID]))&amp;":"&amp;ADDRESS(ROW(),COLUMN(NOTA[ID]))),-1)))</f>
        <v/>
      </c>
      <c r="AI384" s="49" t="str">
        <f ca="1">IF(NOTA[[#This Row],[ID_H]]="","",IF(NOTA[[#This Row],[FAKTUR]]="",INDIRECT(ADDRESS(ROW()-1,COLUMN())),NOTA[[#This Row],[FAKTUR]]))</f>
        <v/>
      </c>
      <c r="AJ384" s="38" t="str">
        <f ca="1">IF(NOTA[[#This Row],[ID]]="","",COUNTIF(NOTA[ID_H],NOTA[[#This Row],[ID_H]]))</f>
        <v/>
      </c>
      <c r="AK384" s="38" t="str">
        <f ca="1">IF(NOTA[[#This Row],[TGL.NOTA]]="",IF(NOTA[[#This Row],[SUPPLIER_H]]="","",AK383),MONTH(NOTA[[#This Row],[TGL.NOTA]]))</f>
        <v/>
      </c>
      <c r="AL384" s="38" t="str">
        <f>LOWER(SUBSTITUTE(SUBSTITUTE(SUBSTITUTE(SUBSTITUTE(SUBSTITUTE(SUBSTITUTE(SUBSTITUTE(SUBSTITUTE(SUBSTITUTE(NOTA[NAMA BARANG]," ",),".",""),"-",""),"(",""),")",""),",",""),"/",""),"""",""),"+",""))</f>
        <v/>
      </c>
      <c r="AM384" s="38" t="str">
        <f>IF(NOTA[C]="",NOTA[[#This Row],[CONCAT1]]&amp;NOTA[[#This Row],[HARGA SATUAN]],NOTA[[#This Row],[CONCAT1]]&amp;NOTA[[#This Row],[HARGA/ CTN_H]]&amp;NOTA[[#This Row],[DISC 1]]&amp;NOTA[[#This Row],[DISC 2]])</f>
        <v/>
      </c>
      <c r="AN384" s="184" t="str">
        <f>IF(NOTA[[#This Row],[CONCAT1]]="","",MATCH(NOTA[[#This Row],[CONCAT1]],[1]!db[NB NOTA_C],0)+1)</f>
        <v/>
      </c>
    </row>
    <row r="385" spans="1:40" ht="20.100000000000001" customHeight="1" x14ac:dyDescent="0.25">
      <c r="A38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ATA_1401_612-1</v>
      </c>
      <c r="C385" s="50" t="str">
        <f>IF(NOTA[[#This Row],[CEK_EXP]]&lt;D384,"err","")</f>
        <v/>
      </c>
      <c r="D385" s="50">
        <f>IF(NOTA[[#This Row],[TANGGAL]]="",D384,NOTA[[#This Row],[TANGGAL]])</f>
        <v>44940</v>
      </c>
      <c r="E385" s="50">
        <f ca="1">IF(NOTA[[#This Row],[NAMA BARANG]]="","",INDEX(NOTA[ID],MATCH(,INDIRECT(ADDRESS(ROW(NOTA[ID]),COLUMN(NOTA[ID]))&amp;":"&amp;ADDRESS(ROW(),COLUMN(NOTA[ID]))),-1)))</f>
        <v>74</v>
      </c>
      <c r="F385" s="23">
        <v>44940</v>
      </c>
      <c r="G385" s="26" t="s">
        <v>25</v>
      </c>
      <c r="H385" s="26" t="s">
        <v>24</v>
      </c>
      <c r="I385" s="31" t="s">
        <v>551</v>
      </c>
      <c r="J385" s="26"/>
      <c r="K385" s="51">
        <v>44937</v>
      </c>
      <c r="L385" s="26"/>
      <c r="M385" s="26" t="s">
        <v>552</v>
      </c>
      <c r="N385" s="39">
        <v>10</v>
      </c>
      <c r="O385" s="26">
        <v>7200</v>
      </c>
      <c r="P385" s="26" t="s">
        <v>104</v>
      </c>
      <c r="Q385" s="49">
        <v>4800</v>
      </c>
      <c r="R385" s="52"/>
      <c r="S385" s="39" t="s">
        <v>490</v>
      </c>
      <c r="T385" s="53">
        <v>0.125</v>
      </c>
      <c r="U385" s="53">
        <v>0.05</v>
      </c>
      <c r="V385" s="54"/>
      <c r="W385" s="37"/>
      <c r="X385" s="54">
        <f>IF(NOTA[[#This Row],[HARGA/ CTN]]="",NOTA[[#This Row],[JUMLAH_H]],NOTA[[#This Row],[HARGA/ CTN]]*IF(NOTA[[#This Row],[C]]="",0,NOTA[[#This Row],[C]]))</f>
        <v>34560000</v>
      </c>
      <c r="Y385" s="54">
        <f>IF(NOTA[[#This Row],[JUMLAH]]="","",NOTA[[#This Row],[JUMLAH]]*NOTA[[#This Row],[DISC 1]])</f>
        <v>4320000</v>
      </c>
      <c r="Z385" s="54">
        <f>IF(NOTA[[#This Row],[JUMLAH]]="","",(NOTA[[#This Row],[JUMLAH]]-NOTA[[#This Row],[DISC 1-]])*NOTA[[#This Row],[DISC 2]])</f>
        <v>1512000</v>
      </c>
      <c r="AA385" s="54">
        <f>IF(NOTA[[#This Row],[JUMLAH]]="","",NOTA[[#This Row],[DISC 1-]]+NOTA[[#This Row],[DISC 2-]])</f>
        <v>5832000</v>
      </c>
      <c r="AB385" s="54">
        <f>IF(NOTA[[#This Row],[JUMLAH]]="","",NOTA[[#This Row],[JUMLAH]]-NOTA[[#This Row],[DISC]])</f>
        <v>28728000</v>
      </c>
      <c r="AC3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D3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E38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85" s="54">
        <f>IF(OR(NOTA[[#This Row],[QTY]]="",NOTA[[#This Row],[HARGA SATUAN]]="",),"",NOTA[[#This Row],[QTY]]*NOTA[[#This Row],[HARGA SATUAN]])</f>
        <v>34560000</v>
      </c>
      <c r="AG385" s="51">
        <f ca="1">IF(NOTA[ID_H]="","",INDEX(NOTA[TANGGAL],MATCH(,INDIRECT(ADDRESS(ROW(NOTA[TANGGAL]),COLUMN(NOTA[TANGGAL]))&amp;":"&amp;ADDRESS(ROW(),COLUMN(NOTA[TANGGAL]))),-1)))</f>
        <v>44940</v>
      </c>
      <c r="AH385" s="49" t="str">
        <f ca="1">IF(NOTA[[#This Row],[NAMA BARANG]]="","",INDEX(NOTA[SUPPLIER],MATCH(,INDIRECT(ADDRESS(ROW(NOTA[ID]),COLUMN(NOTA[ID]))&amp;":"&amp;ADDRESS(ROW(),COLUMN(NOTA[ID]))),-1)))</f>
        <v>ATALI MAKMUR</v>
      </c>
      <c r="AI385" s="49" t="str">
        <f ca="1">IF(NOTA[[#This Row],[ID_H]]="","",IF(NOTA[[#This Row],[FAKTUR]]="",INDIRECT(ADDRESS(ROW()-1,COLUMN())),NOTA[[#This Row],[FAKTUR]]))</f>
        <v>ARTO MORO</v>
      </c>
      <c r="AJ385" s="38">
        <f ca="1">IF(NOTA[[#This Row],[ID]]="","",COUNTIF(NOTA[ID_H],NOTA[[#This Row],[ID_H]]))</f>
        <v>1</v>
      </c>
      <c r="AK385" s="38">
        <f>IF(NOTA[[#This Row],[TGL.NOTA]]="",IF(NOTA[[#This Row],[SUPPLIER_H]]="","",AK384),MONTH(NOTA[[#This Row],[TGL.NOTA]]))</f>
        <v>1</v>
      </c>
      <c r="AL385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85" s="38" t="str">
        <f>IF(NOTA[C]="",NOTA[[#This Row],[CONCAT1]]&amp;NOTA[[#This Row],[HARGA SATUAN]],NOTA[[#This Row],[CONCAT1]]&amp;NOTA[[#This Row],[HARGA/ CTN_H]]&amp;NOTA[[#This Row],[DISC 1]]&amp;NOTA[[#This Row],[DISC 2]])</f>
        <v>correctiontapect522jk34560000.1250.05</v>
      </c>
      <c r="AN385" s="184">
        <f>IF(NOTA[[#This Row],[CONCAT1]]="","",MATCH(NOTA[[#This Row],[CONCAT1]],[1]!db[NB NOTA_C],0)+1)</f>
        <v>522</v>
      </c>
    </row>
    <row r="386" spans="1:40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Row],[CEK_EXP]]&lt;D385,"err","")</f>
        <v/>
      </c>
      <c r="D386" s="50">
        <f>IF(NOTA[[#This Row],[TANGGAL]]="",D385,NOTA[[#This Row],[TANGGAL]])</f>
        <v>44940</v>
      </c>
      <c r="E386" s="50" t="str">
        <f ca="1">IF(NOTA[[#This Row],[NAMA BARANG]]="","",INDEX(NOTA[ID],MATCH(,INDIRECT(ADDRESS(ROW(NOTA[ID]),COLUMN(NOTA[ID]))&amp;":"&amp;ADDRESS(ROW(),COLUMN(NOTA[ID]))),-1)))</f>
        <v/>
      </c>
      <c r="F386" s="23"/>
      <c r="G386" s="26"/>
      <c r="H386" s="26"/>
      <c r="I386" s="31"/>
      <c r="J386" s="26"/>
      <c r="K386" s="51"/>
      <c r="L386" s="26"/>
      <c r="M386" s="26"/>
      <c r="N386" s="39"/>
      <c r="O386" s="26"/>
      <c r="P386" s="26"/>
      <c r="Q386" s="49"/>
      <c r="R386" s="52"/>
      <c r="S386" s="39"/>
      <c r="T386" s="53"/>
      <c r="U386" s="53"/>
      <c r="V386" s="54"/>
      <c r="W386" s="37"/>
      <c r="X386" s="54" t="str">
        <f>IF(NOTA[[#This Row],[HARGA/ CTN]]="",NOTA[[#This Row],[JUMLAH_H]],NOTA[[#This Row],[HARGA/ CTN]]*IF(NOTA[[#This Row],[C]]="",0,NOTA[[#This Row],[C]]))</f>
        <v/>
      </c>
      <c r="Y386" s="54" t="str">
        <f>IF(NOTA[[#This Row],[JUMLAH]]="","",NOTA[[#This Row],[JUMLAH]]*NOTA[[#This Row],[DISC 1]])</f>
        <v/>
      </c>
      <c r="Z386" s="54" t="str">
        <f>IF(NOTA[[#This Row],[JUMLAH]]="","",(NOTA[[#This Row],[JUMLAH]]-NOTA[[#This Row],[DISC 1-]])*NOTA[[#This Row],[DISC 2]])</f>
        <v/>
      </c>
      <c r="AA386" s="54" t="str">
        <f>IF(NOTA[[#This Row],[JUMLAH]]="","",NOTA[[#This Row],[DISC 1-]]+NOTA[[#This Row],[DISC 2-]])</f>
        <v/>
      </c>
      <c r="AB386" s="54" t="str">
        <f>IF(NOTA[[#This Row],[JUMLAH]]="","",NOTA[[#This Row],[JUMLAH]]-NOTA[[#This Row],[DISC]])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6" s="54" t="str">
        <f>IF(OR(NOTA[[#This Row],[QTY]]="",NOTA[[#This Row],[HARGA SATUAN]]="",),"",NOTA[[#This Row],[QTY]]*NOTA[[#This Row],[HARGA SATUAN]])</f>
        <v/>
      </c>
      <c r="AG386" s="51" t="str">
        <f ca="1">IF(NOTA[ID_H]="","",INDEX(NOTA[TANGGAL],MATCH(,INDIRECT(ADDRESS(ROW(NOTA[TANGGAL]),COLUMN(NOTA[TANGGAL]))&amp;":"&amp;ADDRESS(ROW(),COLUMN(NOTA[TANGGAL]))),-1)))</f>
        <v/>
      </c>
      <c r="AH386" s="49" t="str">
        <f ca="1">IF(NOTA[[#This Row],[NAMA BARANG]]="","",INDEX(NOTA[SUPPLIER],MATCH(,INDIRECT(ADDRESS(ROW(NOTA[ID]),COLUMN(NOTA[ID]))&amp;":"&amp;ADDRESS(ROW(),COLUMN(NOTA[ID]))),-1)))</f>
        <v/>
      </c>
      <c r="AI386" s="49" t="str">
        <f ca="1">IF(NOTA[[#This Row],[ID_H]]="","",IF(NOTA[[#This Row],[FAKTUR]]="",INDIRECT(ADDRESS(ROW()-1,COLUMN())),NOTA[[#This Row],[FAKTUR]]))</f>
        <v/>
      </c>
      <c r="AJ386" s="38" t="str">
        <f ca="1">IF(NOTA[[#This Row],[ID]]="","",COUNTIF(NOTA[ID_H],NOTA[[#This Row],[ID_H]]))</f>
        <v/>
      </c>
      <c r="AK386" s="38" t="str">
        <f ca="1">IF(NOTA[[#This Row],[TGL.NOTA]]="",IF(NOTA[[#This Row],[SUPPLIER_H]]="","",AK385),MONTH(NOTA[[#This Row],[TGL.NOTA]]))</f>
        <v/>
      </c>
      <c r="AL386" s="38" t="str">
        <f>LOWER(SUBSTITUTE(SUBSTITUTE(SUBSTITUTE(SUBSTITUTE(SUBSTITUTE(SUBSTITUTE(SUBSTITUTE(SUBSTITUTE(SUBSTITUTE(NOTA[NAMA BARANG]," ",),".",""),"-",""),"(",""),")",""),",",""),"/",""),"""",""),"+",""))</f>
        <v/>
      </c>
      <c r="AM386" s="38" t="str">
        <f>IF(NOTA[C]="",NOTA[[#This Row],[CONCAT1]]&amp;NOTA[[#This Row],[HARGA SATUAN]],NOTA[[#This Row],[CONCAT1]]&amp;NOTA[[#This Row],[HARGA/ CTN_H]]&amp;NOTA[[#This Row],[DISC 1]]&amp;NOTA[[#This Row],[DISC 2]])</f>
        <v/>
      </c>
      <c r="AN386" s="184" t="str">
        <f>IF(NOTA[[#This Row],[CONCAT1]]="","",MATCH(NOTA[[#This Row],[CONCAT1]],[1]!db[NB NOTA_C],0)+1)</f>
        <v/>
      </c>
    </row>
    <row r="387" spans="1:40" ht="20.100000000000001" customHeight="1" x14ac:dyDescent="0.25">
      <c r="A387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99J_1401_523-4</v>
      </c>
      <c r="C387" s="50" t="str">
        <f>IF(NOTA[[#This Row],[CEK_EXP]]&lt;D386,"err","")</f>
        <v/>
      </c>
      <c r="D387" s="50">
        <f>IF(NOTA[[#This Row],[TANGGAL]]="",D386,NOTA[[#This Row],[TANGGAL]])</f>
        <v>44940</v>
      </c>
      <c r="E387" s="50">
        <f ca="1">IF(NOTA[[#This Row],[NAMA BARANG]]="","",INDEX(NOTA[ID],MATCH(,INDIRECT(ADDRESS(ROW(NOTA[ID]),COLUMN(NOTA[ID]))&amp;":"&amp;ADDRESS(ROW(),COLUMN(NOTA[ID]))),-1)))</f>
        <v>75</v>
      </c>
      <c r="F387" s="23"/>
      <c r="G387" s="26" t="s">
        <v>26</v>
      </c>
      <c r="H387" s="26" t="s">
        <v>24</v>
      </c>
      <c r="I387" s="31" t="s">
        <v>553</v>
      </c>
      <c r="J387" s="26"/>
      <c r="K387" s="51">
        <v>44938</v>
      </c>
      <c r="L387" s="26"/>
      <c r="M387" s="26" t="s">
        <v>554</v>
      </c>
      <c r="N387" s="39">
        <v>1</v>
      </c>
      <c r="O387" s="26">
        <v>120</v>
      </c>
      <c r="P387" s="26" t="s">
        <v>90</v>
      </c>
      <c r="Q387" s="49">
        <v>18250</v>
      </c>
      <c r="R387" s="52"/>
      <c r="S387" s="39" t="s">
        <v>188</v>
      </c>
      <c r="T387" s="53"/>
      <c r="U387" s="53"/>
      <c r="V387" s="54"/>
      <c r="W387" s="37"/>
      <c r="X387" s="54">
        <f>IF(NOTA[[#This Row],[HARGA/ CTN]]="",NOTA[[#This Row],[JUMLAH_H]],NOTA[[#This Row],[HARGA/ CTN]]*IF(NOTA[[#This Row],[C]]="",0,NOTA[[#This Row],[C]]))</f>
        <v>2190000</v>
      </c>
      <c r="Y387" s="54">
        <f>IF(NOTA[[#This Row],[JUMLAH]]="","",NOTA[[#This Row],[JUMLAH]]*NOTA[[#This Row],[DISC 1]])</f>
        <v>0</v>
      </c>
      <c r="Z387" s="54">
        <f>IF(NOTA[[#This Row],[JUMLAH]]="","",(NOTA[[#This Row],[JUMLAH]]-NOTA[[#This Row],[DISC 1-]])*NOTA[[#This Row],[DISC 2]])</f>
        <v>0</v>
      </c>
      <c r="AA387" s="54">
        <f>IF(NOTA[[#This Row],[JUMLAH]]="","",NOTA[[#This Row],[DISC 1-]]+NOTA[[#This Row],[DISC 2-]])</f>
        <v>0</v>
      </c>
      <c r="AB387" s="54">
        <f>IF(NOTA[[#This Row],[JUMLAH]]="","",NOTA[[#This Row],[JUMLAH]]-NOTA[[#This Row],[DISC]])</f>
        <v>2190000</v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87" s="54">
        <f>IF(OR(NOTA[[#This Row],[QTY]]="",NOTA[[#This Row],[HARGA SATUAN]]="",),"",NOTA[[#This Row],[QTY]]*NOTA[[#This Row],[HARGA SATUAN]])</f>
        <v>2190000</v>
      </c>
      <c r="AG387" s="51">
        <f ca="1">IF(NOTA[ID_H]="","",INDEX(NOTA[TANGGAL],MATCH(,INDIRECT(ADDRESS(ROW(NOTA[TANGGAL]),COLUMN(NOTA[TANGGAL]))&amp;":"&amp;ADDRESS(ROW(),COLUMN(NOTA[TANGGAL]))),-1)))</f>
        <v>44940</v>
      </c>
      <c r="AH387" s="49" t="str">
        <f ca="1">IF(NOTA[[#This Row],[NAMA BARANG]]="","",INDEX(NOTA[SUPPLIER],MATCH(,INDIRECT(ADDRESS(ROW(NOTA[ID]),COLUMN(NOTA[ID]))&amp;":"&amp;ADDRESS(ROW(),COLUMN(NOTA[ID]))),-1)))</f>
        <v>99 JAYA UTAMA</v>
      </c>
      <c r="AI387" s="49" t="str">
        <f ca="1">IF(NOTA[[#This Row],[ID_H]]="","",IF(NOTA[[#This Row],[FAKTUR]]="",INDIRECT(ADDRESS(ROW()-1,COLUMN())),NOTA[[#This Row],[FAKTUR]]))</f>
        <v>ARTO MORO</v>
      </c>
      <c r="AJ387" s="38">
        <f ca="1">IF(NOTA[[#This Row],[ID]]="","",COUNTIF(NOTA[ID_H],NOTA[[#This Row],[ID_H]]))</f>
        <v>4</v>
      </c>
      <c r="AK387" s="38">
        <f>IF(NOTA[[#This Row],[TGL.NOTA]]="",IF(NOTA[[#This Row],[SUPPLIER_H]]="","",AK386),MONTH(NOTA[[#This Row],[TGL.NOTA]]))</f>
        <v>1</v>
      </c>
      <c r="AL387" s="38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M387" s="38" t="str">
        <f>IF(NOTA[C]="",NOTA[[#This Row],[CONCAT1]]&amp;NOTA[[#This Row],[HARGA SATUAN]],NOTA[[#This Row],[CONCAT1]]&amp;NOTA[[#This Row],[HARGA/ CTN_H]]&amp;NOTA[[#This Row],[DISC 1]]&amp;NOTA[[#This Row],[DISC 2]])</f>
        <v>gelzhixinrefillg31182190000</v>
      </c>
      <c r="AN387" s="184">
        <f>IF(NOTA[[#This Row],[CONCAT1]]="","",MATCH(NOTA[[#This Row],[CONCAT1]],[1]!db[NB NOTA_C],0)+1)</f>
        <v>908</v>
      </c>
    </row>
    <row r="388" spans="1:40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Row],[CEK_EXP]]&lt;D387,"err","")</f>
        <v/>
      </c>
      <c r="D388" s="50">
        <f>IF(NOTA[[#This Row],[TANGGAL]]="",D387,NOTA[[#This Row],[TANGGAL]])</f>
        <v>44940</v>
      </c>
      <c r="E388" s="50">
        <f ca="1">IF(NOTA[[#This Row],[NAMA BARANG]]="","",INDEX(NOTA[ID],MATCH(,INDIRECT(ADDRESS(ROW(NOTA[ID]),COLUMN(NOTA[ID]))&amp;":"&amp;ADDRESS(ROW(),COLUMN(NOTA[ID]))),-1)))</f>
        <v>75</v>
      </c>
      <c r="F388" s="23"/>
      <c r="G388" s="26"/>
      <c r="H388" s="26"/>
      <c r="I388" s="31"/>
      <c r="J388" s="26"/>
      <c r="K388" s="51"/>
      <c r="L388" s="26"/>
      <c r="M388" s="26" t="s">
        <v>556</v>
      </c>
      <c r="N388" s="39">
        <v>1</v>
      </c>
      <c r="O388" s="26">
        <v>120</v>
      </c>
      <c r="P388" s="26" t="s">
        <v>90</v>
      </c>
      <c r="Q388" s="49">
        <v>18250</v>
      </c>
      <c r="R388" s="52"/>
      <c r="S388" s="39" t="s">
        <v>188</v>
      </c>
      <c r="T388" s="53"/>
      <c r="U388" s="53"/>
      <c r="V388" s="54"/>
      <c r="W388" s="37"/>
      <c r="X388" s="54">
        <f>IF(NOTA[[#This Row],[HARGA/ CTN]]="",NOTA[[#This Row],[JUMLAH_H]],NOTA[[#This Row],[HARGA/ CTN]]*IF(NOTA[[#This Row],[C]]="",0,NOTA[[#This Row],[C]]))</f>
        <v>2190000</v>
      </c>
      <c r="Y388" s="54">
        <f>IF(NOTA[[#This Row],[JUMLAH]]="","",NOTA[[#This Row],[JUMLAH]]*NOTA[[#This Row],[DISC 1]])</f>
        <v>0</v>
      </c>
      <c r="Z388" s="54">
        <f>IF(NOTA[[#This Row],[JUMLAH]]="","",(NOTA[[#This Row],[JUMLAH]]-NOTA[[#This Row],[DISC 1-]])*NOTA[[#This Row],[DISC 2]])</f>
        <v>0</v>
      </c>
      <c r="AA388" s="54">
        <f>IF(NOTA[[#This Row],[JUMLAH]]="","",NOTA[[#This Row],[DISC 1-]]+NOTA[[#This Row],[DISC 2-]])</f>
        <v>0</v>
      </c>
      <c r="AB388" s="54">
        <f>IF(NOTA[[#This Row],[JUMLAH]]="","",NOTA[[#This Row],[JUMLAH]]-NOTA[[#This Row],[DISC]])</f>
        <v>2190000</v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88" s="54">
        <f>IF(OR(NOTA[[#This Row],[QTY]]="",NOTA[[#This Row],[HARGA SATUAN]]="",),"",NOTA[[#This Row],[QTY]]*NOTA[[#This Row],[HARGA SATUAN]])</f>
        <v>2190000</v>
      </c>
      <c r="AG388" s="51">
        <f ca="1">IF(NOTA[ID_H]="","",INDEX(NOTA[TANGGAL],MATCH(,INDIRECT(ADDRESS(ROW(NOTA[TANGGAL]),COLUMN(NOTA[TANGGAL]))&amp;":"&amp;ADDRESS(ROW(),COLUMN(NOTA[TANGGAL]))),-1)))</f>
        <v>44940</v>
      </c>
      <c r="AH388" s="49" t="str">
        <f ca="1">IF(NOTA[[#This Row],[NAMA BARANG]]="","",INDEX(NOTA[SUPPLIER],MATCH(,INDIRECT(ADDRESS(ROW(NOTA[ID]),COLUMN(NOTA[ID]))&amp;":"&amp;ADDRESS(ROW(),COLUMN(NOTA[ID]))),-1)))</f>
        <v>99 JAYA UTAMA</v>
      </c>
      <c r="AI388" s="49" t="str">
        <f ca="1">IF(NOTA[[#This Row],[ID_H]]="","",IF(NOTA[[#This Row],[FAKTUR]]="",INDIRECT(ADDRESS(ROW()-1,COLUMN())),NOTA[[#This Row],[FAKTUR]]))</f>
        <v>ARTO MORO</v>
      </c>
      <c r="AJ388" s="38" t="str">
        <f ca="1">IF(NOTA[[#This Row],[ID]]="","",COUNTIF(NOTA[ID_H],NOTA[[#This Row],[ID_H]]))</f>
        <v/>
      </c>
      <c r="AK388" s="38">
        <f ca="1">IF(NOTA[[#This Row],[TGL.NOTA]]="",IF(NOTA[[#This Row],[SUPPLIER_H]]="","",AK387),MONTH(NOTA[[#This Row],[TGL.NOTA]]))</f>
        <v>1</v>
      </c>
      <c r="AL388" s="38" t="str">
        <f>LOWER(SUBSTITUTE(SUBSTITUTE(SUBSTITUTE(SUBSTITUTE(SUBSTITUTE(SUBSTITUTE(SUBSTITUTE(SUBSTITUTE(SUBSTITUTE(NOTA[NAMA BARANG]," ",),".",""),"-",""),"(",""),")",""),",",""),"/",""),"""",""),"+",""))</f>
        <v>gelzhixinrefillg3103</v>
      </c>
      <c r="AM388" s="38" t="str">
        <f>IF(NOTA[C]="",NOTA[[#This Row],[CONCAT1]]&amp;NOTA[[#This Row],[HARGA SATUAN]],NOTA[[#This Row],[CONCAT1]]&amp;NOTA[[#This Row],[HARGA/ CTN_H]]&amp;NOTA[[#This Row],[DISC 1]]&amp;NOTA[[#This Row],[DISC 2]])</f>
        <v>gelzhixinrefillg31032190000</v>
      </c>
      <c r="AN388" s="184">
        <f>IF(NOTA[[#This Row],[CONCAT1]]="","",MATCH(NOTA[[#This Row],[CONCAT1]],[1]!db[NB NOTA_C],0)+1)</f>
        <v>853</v>
      </c>
    </row>
    <row r="389" spans="1:40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Row],[CEK_EXP]]&lt;D388,"err","")</f>
        <v/>
      </c>
      <c r="D389" s="50">
        <f>IF(NOTA[[#This Row],[TANGGAL]]="",D388,NOTA[[#This Row],[TANGGAL]])</f>
        <v>44940</v>
      </c>
      <c r="E389" s="50">
        <f ca="1">IF(NOTA[[#This Row],[NAMA BARANG]]="","",INDEX(NOTA[ID],MATCH(,INDIRECT(ADDRESS(ROW(NOTA[ID]),COLUMN(NOTA[ID]))&amp;":"&amp;ADDRESS(ROW(),COLUMN(NOTA[ID]))),-1)))</f>
        <v>75</v>
      </c>
      <c r="F389" s="23"/>
      <c r="G389" s="26"/>
      <c r="H389" s="26"/>
      <c r="I389" s="31"/>
      <c r="J389" s="26"/>
      <c r="K389" s="51"/>
      <c r="L389" s="26"/>
      <c r="M389" s="26" t="s">
        <v>555</v>
      </c>
      <c r="N389" s="39">
        <v>1</v>
      </c>
      <c r="O389" s="26">
        <v>120</v>
      </c>
      <c r="P389" s="26" t="s">
        <v>90</v>
      </c>
      <c r="Q389" s="49">
        <v>18250</v>
      </c>
      <c r="R389" s="52"/>
      <c r="S389" s="39" t="s">
        <v>188</v>
      </c>
      <c r="T389" s="53"/>
      <c r="U389" s="53"/>
      <c r="V389" s="54"/>
      <c r="W389" s="37"/>
      <c r="X389" s="54">
        <f>IF(NOTA[[#This Row],[HARGA/ CTN]]="",NOTA[[#This Row],[JUMLAH_H]],NOTA[[#This Row],[HARGA/ CTN]]*IF(NOTA[[#This Row],[C]]="",0,NOTA[[#This Row],[C]]))</f>
        <v>2190000</v>
      </c>
      <c r="Y389" s="54">
        <f>IF(NOTA[[#This Row],[JUMLAH]]="","",NOTA[[#This Row],[JUMLAH]]*NOTA[[#This Row],[DISC 1]])</f>
        <v>0</v>
      </c>
      <c r="Z389" s="54">
        <f>IF(NOTA[[#This Row],[JUMLAH]]="","",(NOTA[[#This Row],[JUMLAH]]-NOTA[[#This Row],[DISC 1-]])*NOTA[[#This Row],[DISC 2]])</f>
        <v>0</v>
      </c>
      <c r="AA389" s="54">
        <f>IF(NOTA[[#This Row],[JUMLAH]]="","",NOTA[[#This Row],[DISC 1-]]+NOTA[[#This Row],[DISC 2-]])</f>
        <v>0</v>
      </c>
      <c r="AB389" s="54">
        <f>IF(NOTA[[#This Row],[JUMLAH]]="","",NOTA[[#This Row],[JUMLAH]]-NOTA[[#This Row],[DISC]])</f>
        <v>2190000</v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89" s="54">
        <f>IF(OR(NOTA[[#This Row],[QTY]]="",NOTA[[#This Row],[HARGA SATUAN]]="",),"",NOTA[[#This Row],[QTY]]*NOTA[[#This Row],[HARGA SATUAN]])</f>
        <v>2190000</v>
      </c>
      <c r="AG389" s="51">
        <f ca="1">IF(NOTA[ID_H]="","",INDEX(NOTA[TANGGAL],MATCH(,INDIRECT(ADDRESS(ROW(NOTA[TANGGAL]),COLUMN(NOTA[TANGGAL]))&amp;":"&amp;ADDRESS(ROW(),COLUMN(NOTA[TANGGAL]))),-1)))</f>
        <v>44940</v>
      </c>
      <c r="AH389" s="49" t="str">
        <f ca="1">IF(NOTA[[#This Row],[NAMA BARANG]]="","",INDEX(NOTA[SUPPLIER],MATCH(,INDIRECT(ADDRESS(ROW(NOTA[ID]),COLUMN(NOTA[ID]))&amp;":"&amp;ADDRESS(ROW(),COLUMN(NOTA[ID]))),-1)))</f>
        <v>99 JAYA UTAMA</v>
      </c>
      <c r="AI389" s="49" t="str">
        <f ca="1">IF(NOTA[[#This Row],[ID_H]]="","",IF(NOTA[[#This Row],[FAKTUR]]="",INDIRECT(ADDRESS(ROW()-1,COLUMN())),NOTA[[#This Row],[FAKTUR]]))</f>
        <v>ARTO MORO</v>
      </c>
      <c r="AJ389" s="38" t="str">
        <f ca="1">IF(NOTA[[#This Row],[ID]]="","",COUNTIF(NOTA[ID_H],NOTA[[#This Row],[ID_H]]))</f>
        <v/>
      </c>
      <c r="AK389" s="38">
        <f ca="1">IF(NOTA[[#This Row],[TGL.NOTA]]="",IF(NOTA[[#This Row],[SUPPLIER_H]]="","",AK388),MONTH(NOTA[[#This Row],[TGL.NOTA]]))</f>
        <v>1</v>
      </c>
      <c r="AL389" s="38" t="str">
        <f>LOWER(SUBSTITUTE(SUBSTITUTE(SUBSTITUTE(SUBSTITUTE(SUBSTITUTE(SUBSTITUTE(SUBSTITUTE(SUBSTITUTE(SUBSTITUTE(NOTA[NAMA BARANG]," ",),".",""),"-",""),"(",""),")",""),",",""),"/",""),"""",""),"+",""))</f>
        <v>gelzhixinrefillg3093</v>
      </c>
      <c r="AM389" s="38" t="str">
        <f>IF(NOTA[C]="",NOTA[[#This Row],[CONCAT1]]&amp;NOTA[[#This Row],[HARGA SATUAN]],NOTA[[#This Row],[CONCAT1]]&amp;NOTA[[#This Row],[HARGA/ CTN_H]]&amp;NOTA[[#This Row],[DISC 1]]&amp;NOTA[[#This Row],[DISC 2]])</f>
        <v>gelzhixinrefillg30932190000</v>
      </c>
      <c r="AN389" s="184">
        <f>IF(NOTA[[#This Row],[CONCAT1]]="","",MATCH(NOTA[[#This Row],[CONCAT1]],[1]!db[NB NOTA_C],0)+1)</f>
        <v>849</v>
      </c>
    </row>
    <row r="390" spans="1:40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Row],[CEK_EXP]]&lt;D389,"err","")</f>
        <v/>
      </c>
      <c r="D390" s="50">
        <f>IF(NOTA[[#This Row],[TANGGAL]]="",D389,NOTA[[#This Row],[TANGGAL]])</f>
        <v>44940</v>
      </c>
      <c r="E390" s="50">
        <f ca="1">IF(NOTA[[#This Row],[NAMA BARANG]]="","",INDEX(NOTA[ID],MATCH(,INDIRECT(ADDRESS(ROW(NOTA[ID]),COLUMN(NOTA[ID]))&amp;":"&amp;ADDRESS(ROW(),COLUMN(NOTA[ID]))),-1)))</f>
        <v>75</v>
      </c>
      <c r="F390" s="23"/>
      <c r="G390" s="26"/>
      <c r="H390" s="26"/>
      <c r="I390" s="31"/>
      <c r="J390" s="26"/>
      <c r="K390" s="51"/>
      <c r="L390" s="26"/>
      <c r="M390" s="26" t="s">
        <v>557</v>
      </c>
      <c r="N390" s="39">
        <v>1</v>
      </c>
      <c r="O390" s="26">
        <v>120</v>
      </c>
      <c r="P390" s="26" t="s">
        <v>90</v>
      </c>
      <c r="Q390" s="49">
        <v>18250</v>
      </c>
      <c r="R390" s="52"/>
      <c r="S390" s="39" t="s">
        <v>188</v>
      </c>
      <c r="T390" s="53"/>
      <c r="U390" s="53"/>
      <c r="V390" s="54"/>
      <c r="W390" s="37"/>
      <c r="X390" s="54">
        <f>IF(NOTA[[#This Row],[HARGA/ CTN]]="",NOTA[[#This Row],[JUMLAH_H]],NOTA[[#This Row],[HARGA/ CTN]]*IF(NOTA[[#This Row],[C]]="",0,NOTA[[#This Row],[C]]))</f>
        <v>2190000</v>
      </c>
      <c r="Y390" s="54">
        <f>IF(NOTA[[#This Row],[JUMLAH]]="","",NOTA[[#This Row],[JUMLAH]]*NOTA[[#This Row],[DISC 1]])</f>
        <v>0</v>
      </c>
      <c r="Z390" s="54">
        <f>IF(NOTA[[#This Row],[JUMLAH]]="","",(NOTA[[#This Row],[JUMLAH]]-NOTA[[#This Row],[DISC 1-]])*NOTA[[#This Row],[DISC 2]])</f>
        <v>0</v>
      </c>
      <c r="AA390" s="54">
        <f>IF(NOTA[[#This Row],[JUMLAH]]="","",NOTA[[#This Row],[DISC 1-]]+NOTA[[#This Row],[DISC 2-]])</f>
        <v>0</v>
      </c>
      <c r="AB390" s="54">
        <f>IF(NOTA[[#This Row],[JUMLAH]]="","",NOTA[[#This Row],[JUMLAH]]-NOTA[[#This Row],[DISC]])</f>
        <v>2190000</v>
      </c>
      <c r="AC3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8760000</v>
      </c>
      <c r="AE39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0" s="54">
        <f>IF(OR(NOTA[[#This Row],[QTY]]="",NOTA[[#This Row],[HARGA SATUAN]]="",),"",NOTA[[#This Row],[QTY]]*NOTA[[#This Row],[HARGA SATUAN]])</f>
        <v>2190000</v>
      </c>
      <c r="AG390" s="51">
        <f ca="1">IF(NOTA[ID_H]="","",INDEX(NOTA[TANGGAL],MATCH(,INDIRECT(ADDRESS(ROW(NOTA[TANGGAL]),COLUMN(NOTA[TANGGAL]))&amp;":"&amp;ADDRESS(ROW(),COLUMN(NOTA[TANGGAL]))),-1)))</f>
        <v>44940</v>
      </c>
      <c r="AH390" s="49" t="str">
        <f ca="1">IF(NOTA[[#This Row],[NAMA BARANG]]="","",INDEX(NOTA[SUPPLIER],MATCH(,INDIRECT(ADDRESS(ROW(NOTA[ID]),COLUMN(NOTA[ID]))&amp;":"&amp;ADDRESS(ROW(),COLUMN(NOTA[ID]))),-1)))</f>
        <v>99 JAYA UTAMA</v>
      </c>
      <c r="AI390" s="49" t="str">
        <f ca="1">IF(NOTA[[#This Row],[ID_H]]="","",IF(NOTA[[#This Row],[FAKTUR]]="",INDIRECT(ADDRESS(ROW()-1,COLUMN())),NOTA[[#This Row],[FAKTUR]]))</f>
        <v>ARTO MORO</v>
      </c>
      <c r="AJ390" s="38" t="str">
        <f ca="1">IF(NOTA[[#This Row],[ID]]="","",COUNTIF(NOTA[ID_H],NOTA[[#This Row],[ID_H]]))</f>
        <v/>
      </c>
      <c r="AK390" s="38">
        <f ca="1">IF(NOTA[[#This Row],[TGL.NOTA]]="",IF(NOTA[[#This Row],[SUPPLIER_H]]="","",AK389),MONTH(NOTA[[#This Row],[TGL.NOTA]]))</f>
        <v>1</v>
      </c>
      <c r="AL390" s="38" t="str">
        <f>LOWER(SUBSTITUTE(SUBSTITUTE(SUBSTITUTE(SUBSTITUTE(SUBSTITUTE(SUBSTITUTE(SUBSTITUTE(SUBSTITUTE(SUBSTITUTE(NOTA[NAMA BARANG]," ",),".",""),"-",""),"(",""),")",""),",",""),"/",""),"""",""),"+",""))</f>
        <v>gelzhixinrefillg3112</v>
      </c>
      <c r="AM390" s="38" t="str">
        <f>IF(NOTA[C]="",NOTA[[#This Row],[CONCAT1]]&amp;NOTA[[#This Row],[HARGA SATUAN]],NOTA[[#This Row],[CONCAT1]]&amp;NOTA[[#This Row],[HARGA/ CTN_H]]&amp;NOTA[[#This Row],[DISC 1]]&amp;NOTA[[#This Row],[DISC 2]])</f>
        <v>gelzhixinrefillg31122190000</v>
      </c>
      <c r="AN390" s="184">
        <f>IF(NOTA[[#This Row],[CONCAT1]]="","",MATCH(NOTA[[#This Row],[CONCAT1]],[1]!db[NB NOTA_C],0)+1)</f>
        <v>904</v>
      </c>
    </row>
    <row r="391" spans="1:40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Row],[CEK_EXP]]&lt;D390,"err","")</f>
        <v/>
      </c>
      <c r="D391" s="50">
        <f>IF(NOTA[[#This Row],[TANGGAL]]="",D390,NOTA[[#This Row],[TANGGAL]])</f>
        <v>44940</v>
      </c>
      <c r="E391" s="50" t="str">
        <f ca="1">IF(NOTA[[#This Row],[NAMA BARANG]]="","",INDEX(NOTA[ID],MATCH(,INDIRECT(ADDRESS(ROW(NOTA[ID]),COLUMN(NOTA[ID]))&amp;":"&amp;ADDRESS(ROW(),COLUMN(NOTA[ID]))),-1)))</f>
        <v/>
      </c>
      <c r="F391" s="23"/>
      <c r="G391" s="26"/>
      <c r="H391" s="26"/>
      <c r="I391" s="31"/>
      <c r="J391" s="26"/>
      <c r="K391" s="51"/>
      <c r="L391" s="26"/>
      <c r="M391" s="26"/>
      <c r="N391" s="39"/>
      <c r="O391" s="26"/>
      <c r="P391" s="26"/>
      <c r="Q391" s="49"/>
      <c r="R391" s="52"/>
      <c r="S391" s="39"/>
      <c r="T391" s="53"/>
      <c r="U391" s="53"/>
      <c r="V391" s="54"/>
      <c r="W391" s="37"/>
      <c r="X391" s="54" t="str">
        <f>IF(NOTA[[#This Row],[HARGA/ CTN]]="",NOTA[[#This Row],[JUMLAH_H]],NOTA[[#This Row],[HARGA/ CTN]]*IF(NOTA[[#This Row],[C]]="",0,NOTA[[#This Row],[C]]))</f>
        <v/>
      </c>
      <c r="Y391" s="54" t="str">
        <f>IF(NOTA[[#This Row],[JUMLAH]]="","",NOTA[[#This Row],[JUMLAH]]*NOTA[[#This Row],[DISC 1]])</f>
        <v/>
      </c>
      <c r="Z391" s="54" t="str">
        <f>IF(NOTA[[#This Row],[JUMLAH]]="","",(NOTA[[#This Row],[JUMLAH]]-NOTA[[#This Row],[DISC 1-]])*NOTA[[#This Row],[DISC 2]])</f>
        <v/>
      </c>
      <c r="AA391" s="54" t="str">
        <f>IF(NOTA[[#This Row],[JUMLAH]]="","",NOTA[[#This Row],[DISC 1-]]+NOTA[[#This Row],[DISC 2-]])</f>
        <v/>
      </c>
      <c r="AB391" s="54" t="str">
        <f>IF(NOTA[[#This Row],[JUMLAH]]="","",NOTA[[#This Row],[JUMLAH]]-NOTA[[#This Row],[DISC]])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1" s="54" t="str">
        <f>IF(OR(NOTA[[#This Row],[QTY]]="",NOTA[[#This Row],[HARGA SATUAN]]="",),"",NOTA[[#This Row],[QTY]]*NOTA[[#This Row],[HARGA SATUAN]])</f>
        <v/>
      </c>
      <c r="AG391" s="51" t="str">
        <f ca="1">IF(NOTA[ID_H]="","",INDEX(NOTA[TANGGAL],MATCH(,INDIRECT(ADDRESS(ROW(NOTA[TANGGAL]),COLUMN(NOTA[TANGGAL]))&amp;":"&amp;ADDRESS(ROW(),COLUMN(NOTA[TANGGAL]))),-1)))</f>
        <v/>
      </c>
      <c r="AH391" s="49" t="str">
        <f ca="1">IF(NOTA[[#This Row],[NAMA BARANG]]="","",INDEX(NOTA[SUPPLIER],MATCH(,INDIRECT(ADDRESS(ROW(NOTA[ID]),COLUMN(NOTA[ID]))&amp;":"&amp;ADDRESS(ROW(),COLUMN(NOTA[ID]))),-1)))</f>
        <v/>
      </c>
      <c r="AI391" s="49" t="str">
        <f ca="1">IF(NOTA[[#This Row],[ID_H]]="","",IF(NOTA[[#This Row],[FAKTUR]]="",INDIRECT(ADDRESS(ROW()-1,COLUMN())),NOTA[[#This Row],[FAKTUR]]))</f>
        <v/>
      </c>
      <c r="AJ391" s="38" t="str">
        <f ca="1">IF(NOTA[[#This Row],[ID]]="","",COUNTIF(NOTA[ID_H],NOTA[[#This Row],[ID_H]]))</f>
        <v/>
      </c>
      <c r="AK391" s="38" t="str">
        <f ca="1">IF(NOTA[[#This Row],[TGL.NOTA]]="",IF(NOTA[[#This Row],[SUPPLIER_H]]="","",AK390),MONTH(NOTA[[#This Row],[TGL.NOTA]]))</f>
        <v/>
      </c>
      <c r="AL391" s="38" t="str">
        <f>LOWER(SUBSTITUTE(SUBSTITUTE(SUBSTITUTE(SUBSTITUTE(SUBSTITUTE(SUBSTITUTE(SUBSTITUTE(SUBSTITUTE(SUBSTITUTE(NOTA[NAMA BARANG]," ",),".",""),"-",""),"(",""),")",""),",",""),"/",""),"""",""),"+",""))</f>
        <v/>
      </c>
      <c r="AM391" s="38" t="str">
        <f>IF(NOTA[C]="",NOTA[[#This Row],[CONCAT1]]&amp;NOTA[[#This Row],[HARGA SATUAN]],NOTA[[#This Row],[CONCAT1]]&amp;NOTA[[#This Row],[HARGA/ CTN_H]]&amp;NOTA[[#This Row],[DISC 1]]&amp;NOTA[[#This Row],[DISC 2]])</f>
        <v/>
      </c>
      <c r="AN391" s="184" t="str">
        <f>IF(NOTA[[#This Row],[CONCAT1]]="","",MATCH(NOTA[[#This Row],[CONCAT1]],[1]!db[NB NOTA_C],0)+1)</f>
        <v/>
      </c>
    </row>
    <row r="392" spans="1:40" ht="20.100000000000001" customHeight="1" x14ac:dyDescent="0.25">
      <c r="A392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DBS_1401_423-17</v>
      </c>
      <c r="C392" s="50" t="str">
        <f>IF(NOTA[[#This Row],[CEK_EXP]]&lt;D391,"err","")</f>
        <v/>
      </c>
      <c r="D392" s="50">
        <f>IF(NOTA[[#This Row],[TANGGAL]]="",D391,NOTA[[#This Row],[TANGGAL]])</f>
        <v>44940</v>
      </c>
      <c r="E392" s="50">
        <f ca="1">IF(NOTA[[#This Row],[NAMA BARANG]]="","",INDEX(NOTA[ID],MATCH(,INDIRECT(ADDRESS(ROW(NOTA[ID]),COLUMN(NOTA[ID]))&amp;":"&amp;ADDRESS(ROW(),COLUMN(NOTA[ID]))),-1)))</f>
        <v>76</v>
      </c>
      <c r="F392" s="23"/>
      <c r="G392" s="26" t="s">
        <v>220</v>
      </c>
      <c r="H392" s="26" t="s">
        <v>87</v>
      </c>
      <c r="I392" s="31" t="s">
        <v>558</v>
      </c>
      <c r="J392" s="26"/>
      <c r="K392" s="51">
        <v>44938</v>
      </c>
      <c r="L392" s="26"/>
      <c r="M392" s="26" t="s">
        <v>559</v>
      </c>
      <c r="N392" s="39">
        <v>1</v>
      </c>
      <c r="O392" s="26">
        <v>120</v>
      </c>
      <c r="P392" s="26" t="s">
        <v>90</v>
      </c>
      <c r="Q392" s="49">
        <v>18250</v>
      </c>
      <c r="R392" s="52"/>
      <c r="S392" s="39" t="s">
        <v>188</v>
      </c>
      <c r="T392" s="53"/>
      <c r="U392" s="53"/>
      <c r="V392" s="54"/>
      <c r="W392" s="37"/>
      <c r="X392" s="54">
        <f>IF(NOTA[[#This Row],[HARGA/ CTN]]="",NOTA[[#This Row],[JUMLAH_H]],NOTA[[#This Row],[HARGA/ CTN]]*IF(NOTA[[#This Row],[C]]="",0,NOTA[[#This Row],[C]]))</f>
        <v>2190000</v>
      </c>
      <c r="Y392" s="54">
        <f>IF(NOTA[[#This Row],[JUMLAH]]="","",NOTA[[#This Row],[JUMLAH]]*NOTA[[#This Row],[DISC 1]])</f>
        <v>0</v>
      </c>
      <c r="Z392" s="54">
        <f>IF(NOTA[[#This Row],[JUMLAH]]="","",(NOTA[[#This Row],[JUMLAH]]-NOTA[[#This Row],[DISC 1-]])*NOTA[[#This Row],[DISC 2]])</f>
        <v>0</v>
      </c>
      <c r="AA392" s="54">
        <f>IF(NOTA[[#This Row],[JUMLAH]]="","",NOTA[[#This Row],[DISC 1-]]+NOTA[[#This Row],[DISC 2-]])</f>
        <v>0</v>
      </c>
      <c r="AB392" s="54">
        <f>IF(NOTA[[#This Row],[JUMLAH]]="","",NOTA[[#This Row],[JUMLAH]]-NOTA[[#This Row],[DISC]])</f>
        <v>2190000</v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2" s="54">
        <f>IF(OR(NOTA[[#This Row],[QTY]]="",NOTA[[#This Row],[HARGA SATUAN]]="",),"",NOTA[[#This Row],[QTY]]*NOTA[[#This Row],[HARGA SATUAN]])</f>
        <v>2190000</v>
      </c>
      <c r="AG392" s="51">
        <f ca="1">IF(NOTA[ID_H]="","",INDEX(NOTA[TANGGAL],MATCH(,INDIRECT(ADDRESS(ROW(NOTA[TANGGAL]),COLUMN(NOTA[TANGGAL]))&amp;":"&amp;ADDRESS(ROW(),COLUMN(NOTA[TANGGAL]))),-1)))</f>
        <v>44940</v>
      </c>
      <c r="AH392" s="49" t="str">
        <f ca="1">IF(NOTA[[#This Row],[NAMA BARANG]]="","",INDEX(NOTA[SUPPLIER],MATCH(,INDIRECT(ADDRESS(ROW(NOTA[ID]),COLUMN(NOTA[ID]))&amp;":"&amp;ADDRESS(ROW(),COLUMN(NOTA[ID]))),-1)))</f>
        <v>DB STATIONERY</v>
      </c>
      <c r="AI392" s="49" t="str">
        <f ca="1">IF(NOTA[[#This Row],[ID_H]]="","",IF(NOTA[[#This Row],[FAKTUR]]="",INDIRECT(ADDRESS(ROW()-1,COLUMN())),NOTA[[#This Row],[FAKTUR]]))</f>
        <v>UNTANA</v>
      </c>
      <c r="AJ392" s="38">
        <f ca="1">IF(NOTA[[#This Row],[ID]]="","",COUNTIF(NOTA[ID_H],NOTA[[#This Row],[ID_H]]))</f>
        <v>17</v>
      </c>
      <c r="AK392" s="38">
        <f>IF(NOTA[[#This Row],[TGL.NOTA]]="",IF(NOTA[[#This Row],[SUPPLIER_H]]="","",AK391),MONTH(NOTA[[#This Row],[TGL.NOTA]]))</f>
        <v>1</v>
      </c>
      <c r="AL392" s="3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392" s="38" t="str">
        <f>IF(NOTA[C]="",NOTA[[#This Row],[CONCAT1]]&amp;NOTA[[#This Row],[HARGA SATUAN]],NOTA[[#This Row],[CONCAT1]]&amp;NOTA[[#This Row],[HARGA/ CTN_H]]&amp;NOTA[[#This Row],[DISC 1]]&amp;NOTA[[#This Row],[DISC 2]])</f>
        <v>gelzhixinrefillg50022190000</v>
      </c>
      <c r="AN392" s="184">
        <f>IF(NOTA[[#This Row],[CONCAT1]]="","",MATCH(NOTA[[#This Row],[CONCAT1]],[1]!db[NB NOTA_C],0)+1)</f>
        <v>2235</v>
      </c>
    </row>
    <row r="393" spans="1:40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Row],[CEK_EXP]]&lt;D392,"err","")</f>
        <v/>
      </c>
      <c r="D393" s="50">
        <f>IF(NOTA[[#This Row],[TANGGAL]]="",D392,NOTA[[#This Row],[TANGGAL]])</f>
        <v>44940</v>
      </c>
      <c r="E393" s="50">
        <f ca="1">IF(NOTA[[#This Row],[NAMA BARANG]]="","",INDEX(NOTA[ID],MATCH(,INDIRECT(ADDRESS(ROW(NOTA[ID]),COLUMN(NOTA[ID]))&amp;":"&amp;ADDRESS(ROW(),COLUMN(NOTA[ID]))),-1)))</f>
        <v>76</v>
      </c>
      <c r="F393" s="23"/>
      <c r="G393" s="26"/>
      <c r="H393" s="26"/>
      <c r="I393" s="31"/>
      <c r="J393" s="26"/>
      <c r="K393" s="51"/>
      <c r="L393" s="26"/>
      <c r="M393" s="26" t="s">
        <v>560</v>
      </c>
      <c r="N393" s="39">
        <v>1</v>
      </c>
      <c r="O393" s="26">
        <v>120</v>
      </c>
      <c r="P393" s="26" t="s">
        <v>90</v>
      </c>
      <c r="Q393" s="49">
        <v>18250</v>
      </c>
      <c r="R393" s="52"/>
      <c r="S393" s="39" t="s">
        <v>188</v>
      </c>
      <c r="T393" s="53"/>
      <c r="U393" s="53"/>
      <c r="V393" s="54"/>
      <c r="W393" s="37"/>
      <c r="X393" s="54">
        <f>IF(NOTA[[#This Row],[HARGA/ CTN]]="",NOTA[[#This Row],[JUMLAH_H]],NOTA[[#This Row],[HARGA/ CTN]]*IF(NOTA[[#This Row],[C]]="",0,NOTA[[#This Row],[C]]))</f>
        <v>2190000</v>
      </c>
      <c r="Y393" s="54">
        <f>IF(NOTA[[#This Row],[JUMLAH]]="","",NOTA[[#This Row],[JUMLAH]]*NOTA[[#This Row],[DISC 1]])</f>
        <v>0</v>
      </c>
      <c r="Z393" s="54">
        <f>IF(NOTA[[#This Row],[JUMLAH]]="","",(NOTA[[#This Row],[JUMLAH]]-NOTA[[#This Row],[DISC 1-]])*NOTA[[#This Row],[DISC 2]])</f>
        <v>0</v>
      </c>
      <c r="AA393" s="54">
        <f>IF(NOTA[[#This Row],[JUMLAH]]="","",NOTA[[#This Row],[DISC 1-]]+NOTA[[#This Row],[DISC 2-]])</f>
        <v>0</v>
      </c>
      <c r="AB393" s="54">
        <f>IF(NOTA[[#This Row],[JUMLAH]]="","",NOTA[[#This Row],[JUMLAH]]-NOTA[[#This Row],[DISC]])</f>
        <v>2190000</v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3" s="54">
        <f>IF(OR(NOTA[[#This Row],[QTY]]="",NOTA[[#This Row],[HARGA SATUAN]]="",),"",NOTA[[#This Row],[QTY]]*NOTA[[#This Row],[HARGA SATUAN]])</f>
        <v>2190000</v>
      </c>
      <c r="AG393" s="51">
        <f ca="1">IF(NOTA[ID_H]="","",INDEX(NOTA[TANGGAL],MATCH(,INDIRECT(ADDRESS(ROW(NOTA[TANGGAL]),COLUMN(NOTA[TANGGAL]))&amp;":"&amp;ADDRESS(ROW(),COLUMN(NOTA[TANGGAL]))),-1)))</f>
        <v>44940</v>
      </c>
      <c r="AH393" s="49" t="str">
        <f ca="1">IF(NOTA[[#This Row],[NAMA BARANG]]="","",INDEX(NOTA[SUPPLIER],MATCH(,INDIRECT(ADDRESS(ROW(NOTA[ID]),COLUMN(NOTA[ID]))&amp;":"&amp;ADDRESS(ROW(),COLUMN(NOTA[ID]))),-1)))</f>
        <v>DB STATIONERY</v>
      </c>
      <c r="AI393" s="49" t="str">
        <f ca="1">IF(NOTA[[#This Row],[ID_H]]="","",IF(NOTA[[#This Row],[FAKTUR]]="",INDIRECT(ADDRESS(ROW()-1,COLUMN())),NOTA[[#This Row],[FAKTUR]]))</f>
        <v>UNTANA</v>
      </c>
      <c r="AJ393" s="38" t="str">
        <f ca="1">IF(NOTA[[#This Row],[ID]]="","",COUNTIF(NOTA[ID_H],NOTA[[#This Row],[ID_H]]))</f>
        <v/>
      </c>
      <c r="AK393" s="38">
        <f ca="1">IF(NOTA[[#This Row],[TGL.NOTA]]="",IF(NOTA[[#This Row],[SUPPLIER_H]]="","",AK392),MONTH(NOTA[[#This Row],[TGL.NOTA]]))</f>
        <v>1</v>
      </c>
      <c r="AL393" s="3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393" s="38" t="str">
        <f>IF(NOTA[C]="",NOTA[[#This Row],[CONCAT1]]&amp;NOTA[[#This Row],[HARGA SATUAN]],NOTA[[#This Row],[CONCAT1]]&amp;NOTA[[#This Row],[HARGA/ CTN_H]]&amp;NOTA[[#This Row],[DISC 1]]&amp;NOTA[[#This Row],[DISC 2]])</f>
        <v>gelzhixinrefillg31372190000</v>
      </c>
      <c r="AN393" s="184">
        <f>IF(NOTA[[#This Row],[CONCAT1]]="","",MATCH(NOTA[[#This Row],[CONCAT1]],[1]!db[NB NOTA_C],0)+1)</f>
        <v>866</v>
      </c>
    </row>
    <row r="394" spans="1:40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Row],[CEK_EXP]]&lt;D393,"err","")</f>
        <v/>
      </c>
      <c r="D394" s="50">
        <f>IF(NOTA[[#This Row],[TANGGAL]]="",D393,NOTA[[#This Row],[TANGGAL]])</f>
        <v>44940</v>
      </c>
      <c r="E394" s="50">
        <f ca="1">IF(NOTA[[#This Row],[NAMA BARANG]]="","",INDEX(NOTA[ID],MATCH(,INDIRECT(ADDRESS(ROW(NOTA[ID]),COLUMN(NOTA[ID]))&amp;":"&amp;ADDRESS(ROW(),COLUMN(NOTA[ID]))),-1)))</f>
        <v>76</v>
      </c>
      <c r="F394" s="23"/>
      <c r="G394" s="26"/>
      <c r="H394" s="26"/>
      <c r="I394" s="31"/>
      <c r="J394" s="26"/>
      <c r="K394" s="51"/>
      <c r="L394" s="26"/>
      <c r="M394" s="26" t="s">
        <v>561</v>
      </c>
      <c r="N394" s="39">
        <v>1</v>
      </c>
      <c r="O394" s="26">
        <v>120</v>
      </c>
      <c r="P394" s="26" t="s">
        <v>90</v>
      </c>
      <c r="Q394" s="49">
        <v>18250</v>
      </c>
      <c r="R394" s="52"/>
      <c r="S394" s="39" t="s">
        <v>188</v>
      </c>
      <c r="T394" s="53"/>
      <c r="U394" s="53"/>
      <c r="V394" s="54"/>
      <c r="W394" s="37"/>
      <c r="X394" s="54">
        <f>IF(NOTA[[#This Row],[HARGA/ CTN]]="",NOTA[[#This Row],[JUMLAH_H]],NOTA[[#This Row],[HARGA/ CTN]]*IF(NOTA[[#This Row],[C]]="",0,NOTA[[#This Row],[C]]))</f>
        <v>2190000</v>
      </c>
      <c r="Y394" s="54">
        <f>IF(NOTA[[#This Row],[JUMLAH]]="","",NOTA[[#This Row],[JUMLAH]]*NOTA[[#This Row],[DISC 1]])</f>
        <v>0</v>
      </c>
      <c r="Z394" s="54">
        <f>IF(NOTA[[#This Row],[JUMLAH]]="","",(NOTA[[#This Row],[JUMLAH]]-NOTA[[#This Row],[DISC 1-]])*NOTA[[#This Row],[DISC 2]])</f>
        <v>0</v>
      </c>
      <c r="AA394" s="54">
        <f>IF(NOTA[[#This Row],[JUMLAH]]="","",NOTA[[#This Row],[DISC 1-]]+NOTA[[#This Row],[DISC 2-]])</f>
        <v>0</v>
      </c>
      <c r="AB394" s="54">
        <f>IF(NOTA[[#This Row],[JUMLAH]]="","",NOTA[[#This Row],[JUMLAH]]-NOTA[[#This Row],[DISC]])</f>
        <v>2190000</v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4" s="54">
        <f>IF(OR(NOTA[[#This Row],[QTY]]="",NOTA[[#This Row],[HARGA SATUAN]]="",),"",NOTA[[#This Row],[QTY]]*NOTA[[#This Row],[HARGA SATUAN]])</f>
        <v>2190000</v>
      </c>
      <c r="AG394" s="51">
        <f ca="1">IF(NOTA[ID_H]="","",INDEX(NOTA[TANGGAL],MATCH(,INDIRECT(ADDRESS(ROW(NOTA[TANGGAL]),COLUMN(NOTA[TANGGAL]))&amp;":"&amp;ADDRESS(ROW(),COLUMN(NOTA[TANGGAL]))),-1)))</f>
        <v>44940</v>
      </c>
      <c r="AH394" s="49" t="str">
        <f ca="1">IF(NOTA[[#This Row],[NAMA BARANG]]="","",INDEX(NOTA[SUPPLIER],MATCH(,INDIRECT(ADDRESS(ROW(NOTA[ID]),COLUMN(NOTA[ID]))&amp;":"&amp;ADDRESS(ROW(),COLUMN(NOTA[ID]))),-1)))</f>
        <v>DB STATIONERY</v>
      </c>
      <c r="AI394" s="49" t="str">
        <f ca="1">IF(NOTA[[#This Row],[ID_H]]="","",IF(NOTA[[#This Row],[FAKTUR]]="",INDIRECT(ADDRESS(ROW()-1,COLUMN())),NOTA[[#This Row],[FAKTUR]]))</f>
        <v>UNTANA</v>
      </c>
      <c r="AJ394" s="38" t="str">
        <f ca="1">IF(NOTA[[#This Row],[ID]]="","",COUNTIF(NOTA[ID_H],NOTA[[#This Row],[ID_H]]))</f>
        <v/>
      </c>
      <c r="AK394" s="38">
        <f ca="1">IF(NOTA[[#This Row],[TGL.NOTA]]="",IF(NOTA[[#This Row],[SUPPLIER_H]]="","",AK393),MONTH(NOTA[[#This Row],[TGL.NOTA]]))</f>
        <v>1</v>
      </c>
      <c r="AL394" s="3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394" s="38" t="str">
        <f>IF(NOTA[C]="",NOTA[[#This Row],[CONCAT1]]&amp;NOTA[[#This Row],[HARGA SATUAN]],NOTA[[#This Row],[CONCAT1]]&amp;NOTA[[#This Row],[HARGA/ CTN_H]]&amp;NOTA[[#This Row],[DISC 1]]&amp;NOTA[[#This Row],[DISC 2]])</f>
        <v>gelzhixinrefillg31362190000</v>
      </c>
      <c r="AN394" s="184">
        <f>IF(NOTA[[#This Row],[CONCAT1]]="","",MATCH(NOTA[[#This Row],[CONCAT1]],[1]!db[NB NOTA_C],0)+1)</f>
        <v>865</v>
      </c>
    </row>
    <row r="395" spans="1:40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Row],[CEK_EXP]]&lt;D394,"err","")</f>
        <v/>
      </c>
      <c r="D395" s="50">
        <f>IF(NOTA[[#This Row],[TANGGAL]]="",D394,NOTA[[#This Row],[TANGGAL]])</f>
        <v>44940</v>
      </c>
      <c r="E395" s="50">
        <f ca="1">IF(NOTA[[#This Row],[NAMA BARANG]]="","",INDEX(NOTA[ID],MATCH(,INDIRECT(ADDRESS(ROW(NOTA[ID]),COLUMN(NOTA[ID]))&amp;":"&amp;ADDRESS(ROW(),COLUMN(NOTA[ID]))),-1)))</f>
        <v>76</v>
      </c>
      <c r="F395" s="23"/>
      <c r="G395" s="26"/>
      <c r="H395" s="26"/>
      <c r="I395" s="31"/>
      <c r="J395" s="26"/>
      <c r="K395" s="51"/>
      <c r="L395" s="26"/>
      <c r="M395" s="26" t="s">
        <v>562</v>
      </c>
      <c r="N395" s="39">
        <v>1</v>
      </c>
      <c r="O395" s="26">
        <v>120</v>
      </c>
      <c r="P395" s="26" t="s">
        <v>90</v>
      </c>
      <c r="Q395" s="49">
        <v>18250</v>
      </c>
      <c r="R395" s="52"/>
      <c r="S395" s="39" t="s">
        <v>188</v>
      </c>
      <c r="T395" s="53"/>
      <c r="U395" s="53"/>
      <c r="V395" s="54"/>
      <c r="W395" s="37"/>
      <c r="X395" s="54">
        <f>IF(NOTA[[#This Row],[HARGA/ CTN]]="",NOTA[[#This Row],[JUMLAH_H]],NOTA[[#This Row],[HARGA/ CTN]]*IF(NOTA[[#This Row],[C]]="",0,NOTA[[#This Row],[C]]))</f>
        <v>2190000</v>
      </c>
      <c r="Y395" s="54">
        <f>IF(NOTA[[#This Row],[JUMLAH]]="","",NOTA[[#This Row],[JUMLAH]]*NOTA[[#This Row],[DISC 1]])</f>
        <v>0</v>
      </c>
      <c r="Z395" s="54">
        <f>IF(NOTA[[#This Row],[JUMLAH]]="","",(NOTA[[#This Row],[JUMLAH]]-NOTA[[#This Row],[DISC 1-]])*NOTA[[#This Row],[DISC 2]])</f>
        <v>0</v>
      </c>
      <c r="AA395" s="54">
        <f>IF(NOTA[[#This Row],[JUMLAH]]="","",NOTA[[#This Row],[DISC 1-]]+NOTA[[#This Row],[DISC 2-]])</f>
        <v>0</v>
      </c>
      <c r="AB395" s="54">
        <f>IF(NOTA[[#This Row],[JUMLAH]]="","",NOTA[[#This Row],[JUMLAH]]-NOTA[[#This Row],[DISC]])</f>
        <v>2190000</v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5" s="54">
        <f>IF(OR(NOTA[[#This Row],[QTY]]="",NOTA[[#This Row],[HARGA SATUAN]]="",),"",NOTA[[#This Row],[QTY]]*NOTA[[#This Row],[HARGA SATUAN]])</f>
        <v>2190000</v>
      </c>
      <c r="AG395" s="51">
        <f ca="1">IF(NOTA[ID_H]="","",INDEX(NOTA[TANGGAL],MATCH(,INDIRECT(ADDRESS(ROW(NOTA[TANGGAL]),COLUMN(NOTA[TANGGAL]))&amp;":"&amp;ADDRESS(ROW(),COLUMN(NOTA[TANGGAL]))),-1)))</f>
        <v>44940</v>
      </c>
      <c r="AH395" s="49" t="str">
        <f ca="1">IF(NOTA[[#This Row],[NAMA BARANG]]="","",INDEX(NOTA[SUPPLIER],MATCH(,INDIRECT(ADDRESS(ROW(NOTA[ID]),COLUMN(NOTA[ID]))&amp;":"&amp;ADDRESS(ROW(),COLUMN(NOTA[ID]))),-1)))</f>
        <v>DB STATIONERY</v>
      </c>
      <c r="AI395" s="49" t="str">
        <f ca="1">IF(NOTA[[#This Row],[ID_H]]="","",IF(NOTA[[#This Row],[FAKTUR]]="",INDIRECT(ADDRESS(ROW()-1,COLUMN())),NOTA[[#This Row],[FAKTUR]]))</f>
        <v>UNTANA</v>
      </c>
      <c r="AJ395" s="38" t="str">
        <f ca="1">IF(NOTA[[#This Row],[ID]]="","",COUNTIF(NOTA[ID_H],NOTA[[#This Row],[ID_H]]))</f>
        <v/>
      </c>
      <c r="AK395" s="38">
        <f ca="1">IF(NOTA[[#This Row],[TGL.NOTA]]="",IF(NOTA[[#This Row],[SUPPLIER_H]]="","",AK394),MONTH(NOTA[[#This Row],[TGL.NOTA]]))</f>
        <v>1</v>
      </c>
      <c r="AL395" s="3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395" s="38" t="str">
        <f>IF(NOTA[C]="",NOTA[[#This Row],[CONCAT1]]&amp;NOTA[[#This Row],[HARGA SATUAN]],NOTA[[#This Row],[CONCAT1]]&amp;NOTA[[#This Row],[HARGA/ CTN_H]]&amp;NOTA[[#This Row],[DISC 1]]&amp;NOTA[[#This Row],[DISC 2]])</f>
        <v>gelzhixinrefillg31352190000</v>
      </c>
      <c r="AN395" s="184">
        <f>IF(NOTA[[#This Row],[CONCAT1]]="","",MATCH(NOTA[[#This Row],[CONCAT1]],[1]!db[NB NOTA_C],0)+1)</f>
        <v>864</v>
      </c>
    </row>
    <row r="396" spans="1:40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Row],[CEK_EXP]]&lt;D395,"err","")</f>
        <v/>
      </c>
      <c r="D396" s="50">
        <f>IF(NOTA[[#This Row],[TANGGAL]]="",D395,NOTA[[#This Row],[TANGGAL]])</f>
        <v>44940</v>
      </c>
      <c r="E396" s="50">
        <f ca="1">IF(NOTA[[#This Row],[NAMA BARANG]]="","",INDEX(NOTA[ID],MATCH(,INDIRECT(ADDRESS(ROW(NOTA[ID]),COLUMN(NOTA[ID]))&amp;":"&amp;ADDRESS(ROW(),COLUMN(NOTA[ID]))),-1)))</f>
        <v>76</v>
      </c>
      <c r="F396" s="23"/>
      <c r="G396" s="26"/>
      <c r="H396" s="26"/>
      <c r="I396" s="31"/>
      <c r="J396" s="26"/>
      <c r="K396" s="51"/>
      <c r="L396" s="26"/>
      <c r="M396" s="26" t="s">
        <v>563</v>
      </c>
      <c r="N396" s="39">
        <v>1</v>
      </c>
      <c r="O396" s="26">
        <v>120</v>
      </c>
      <c r="P396" s="26" t="s">
        <v>90</v>
      </c>
      <c r="Q396" s="49">
        <v>18250</v>
      </c>
      <c r="R396" s="52"/>
      <c r="S396" s="39" t="s">
        <v>188</v>
      </c>
      <c r="T396" s="53"/>
      <c r="U396" s="53"/>
      <c r="V396" s="54"/>
      <c r="W396" s="37"/>
      <c r="X396" s="54">
        <f>IF(NOTA[[#This Row],[HARGA/ CTN]]="",NOTA[[#This Row],[JUMLAH_H]],NOTA[[#This Row],[HARGA/ CTN]]*IF(NOTA[[#This Row],[C]]="",0,NOTA[[#This Row],[C]]))</f>
        <v>2190000</v>
      </c>
      <c r="Y396" s="54">
        <f>IF(NOTA[[#This Row],[JUMLAH]]="","",NOTA[[#This Row],[JUMLAH]]*NOTA[[#This Row],[DISC 1]])</f>
        <v>0</v>
      </c>
      <c r="Z396" s="54">
        <f>IF(NOTA[[#This Row],[JUMLAH]]="","",(NOTA[[#This Row],[JUMLAH]]-NOTA[[#This Row],[DISC 1-]])*NOTA[[#This Row],[DISC 2]])</f>
        <v>0</v>
      </c>
      <c r="AA396" s="54">
        <f>IF(NOTA[[#This Row],[JUMLAH]]="","",NOTA[[#This Row],[DISC 1-]]+NOTA[[#This Row],[DISC 2-]])</f>
        <v>0</v>
      </c>
      <c r="AB396" s="54">
        <f>IF(NOTA[[#This Row],[JUMLAH]]="","",NOTA[[#This Row],[JUMLAH]]-NOTA[[#This Row],[DISC]])</f>
        <v>2190000</v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6" s="54">
        <f>IF(OR(NOTA[[#This Row],[QTY]]="",NOTA[[#This Row],[HARGA SATUAN]]="",),"",NOTA[[#This Row],[QTY]]*NOTA[[#This Row],[HARGA SATUAN]])</f>
        <v>2190000</v>
      </c>
      <c r="AG396" s="51">
        <f ca="1">IF(NOTA[ID_H]="","",INDEX(NOTA[TANGGAL],MATCH(,INDIRECT(ADDRESS(ROW(NOTA[TANGGAL]),COLUMN(NOTA[TANGGAL]))&amp;":"&amp;ADDRESS(ROW(),COLUMN(NOTA[TANGGAL]))),-1)))</f>
        <v>44940</v>
      </c>
      <c r="AH396" s="49" t="str">
        <f ca="1">IF(NOTA[[#This Row],[NAMA BARANG]]="","",INDEX(NOTA[SUPPLIER],MATCH(,INDIRECT(ADDRESS(ROW(NOTA[ID]),COLUMN(NOTA[ID]))&amp;":"&amp;ADDRESS(ROW(),COLUMN(NOTA[ID]))),-1)))</f>
        <v>DB STATIONERY</v>
      </c>
      <c r="AI396" s="49" t="str">
        <f ca="1">IF(NOTA[[#This Row],[ID_H]]="","",IF(NOTA[[#This Row],[FAKTUR]]="",INDIRECT(ADDRESS(ROW()-1,COLUMN())),NOTA[[#This Row],[FAKTUR]]))</f>
        <v>UNTANA</v>
      </c>
      <c r="AJ396" s="38" t="str">
        <f ca="1">IF(NOTA[[#This Row],[ID]]="","",COUNTIF(NOTA[ID_H],NOTA[[#This Row],[ID_H]]))</f>
        <v/>
      </c>
      <c r="AK396" s="38">
        <f ca="1">IF(NOTA[[#This Row],[TGL.NOTA]]="",IF(NOTA[[#This Row],[SUPPLIER_H]]="","",AK395),MONTH(NOTA[[#This Row],[TGL.NOTA]]))</f>
        <v>1</v>
      </c>
      <c r="AL396" s="3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396" s="38" t="str">
        <f>IF(NOTA[C]="",NOTA[[#This Row],[CONCAT1]]&amp;NOTA[[#This Row],[HARGA SATUAN]],NOTA[[#This Row],[CONCAT1]]&amp;NOTA[[#This Row],[HARGA/ CTN_H]]&amp;NOTA[[#This Row],[DISC 1]]&amp;NOTA[[#This Row],[DISC 2]])</f>
        <v>gelzhixinrefillg31332190000</v>
      </c>
      <c r="AN396" s="184">
        <f>IF(NOTA[[#This Row],[CONCAT1]]="","",MATCH(NOTA[[#This Row],[CONCAT1]],[1]!db[NB NOTA_C],0)+1)</f>
        <v>863</v>
      </c>
    </row>
    <row r="397" spans="1:40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Row],[CEK_EXP]]&lt;D396,"err","")</f>
        <v/>
      </c>
      <c r="D397" s="50">
        <f>IF(NOTA[[#This Row],[TANGGAL]]="",D396,NOTA[[#This Row],[TANGGAL]])</f>
        <v>44940</v>
      </c>
      <c r="E397" s="50">
        <f ca="1">IF(NOTA[[#This Row],[NAMA BARANG]]="","",INDEX(NOTA[ID],MATCH(,INDIRECT(ADDRESS(ROW(NOTA[ID]),COLUMN(NOTA[ID]))&amp;":"&amp;ADDRESS(ROW(),COLUMN(NOTA[ID]))),-1)))</f>
        <v>76</v>
      </c>
      <c r="F397" s="23"/>
      <c r="G397" s="26"/>
      <c r="H397" s="26"/>
      <c r="I397" s="31"/>
      <c r="J397" s="26"/>
      <c r="K397" s="51"/>
      <c r="L397" s="26"/>
      <c r="M397" s="26" t="s">
        <v>564</v>
      </c>
      <c r="N397" s="39">
        <v>1</v>
      </c>
      <c r="O397" s="26">
        <v>120</v>
      </c>
      <c r="P397" s="26" t="s">
        <v>90</v>
      </c>
      <c r="Q397" s="49">
        <v>18250</v>
      </c>
      <c r="R397" s="52"/>
      <c r="S397" s="39" t="s">
        <v>188</v>
      </c>
      <c r="T397" s="53"/>
      <c r="U397" s="53"/>
      <c r="V397" s="54"/>
      <c r="W397" s="37"/>
      <c r="X397" s="54">
        <f>IF(NOTA[[#This Row],[HARGA/ CTN]]="",NOTA[[#This Row],[JUMLAH_H]],NOTA[[#This Row],[HARGA/ CTN]]*IF(NOTA[[#This Row],[C]]="",0,NOTA[[#This Row],[C]]))</f>
        <v>2190000</v>
      </c>
      <c r="Y397" s="54">
        <f>IF(NOTA[[#This Row],[JUMLAH]]="","",NOTA[[#This Row],[JUMLAH]]*NOTA[[#This Row],[DISC 1]])</f>
        <v>0</v>
      </c>
      <c r="Z397" s="54">
        <f>IF(NOTA[[#This Row],[JUMLAH]]="","",(NOTA[[#This Row],[JUMLAH]]-NOTA[[#This Row],[DISC 1-]])*NOTA[[#This Row],[DISC 2]])</f>
        <v>0</v>
      </c>
      <c r="AA397" s="54">
        <f>IF(NOTA[[#This Row],[JUMLAH]]="","",NOTA[[#This Row],[DISC 1-]]+NOTA[[#This Row],[DISC 2-]])</f>
        <v>0</v>
      </c>
      <c r="AB397" s="54">
        <f>IF(NOTA[[#This Row],[JUMLAH]]="","",NOTA[[#This Row],[JUMLAH]]-NOTA[[#This Row],[DISC]])</f>
        <v>2190000</v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7" s="54">
        <f>IF(OR(NOTA[[#This Row],[QTY]]="",NOTA[[#This Row],[HARGA SATUAN]]="",),"",NOTA[[#This Row],[QTY]]*NOTA[[#This Row],[HARGA SATUAN]])</f>
        <v>2190000</v>
      </c>
      <c r="AG397" s="51">
        <f ca="1">IF(NOTA[ID_H]="","",INDEX(NOTA[TANGGAL],MATCH(,INDIRECT(ADDRESS(ROW(NOTA[TANGGAL]),COLUMN(NOTA[TANGGAL]))&amp;":"&amp;ADDRESS(ROW(),COLUMN(NOTA[TANGGAL]))),-1)))</f>
        <v>44940</v>
      </c>
      <c r="AH397" s="49" t="str">
        <f ca="1">IF(NOTA[[#This Row],[NAMA BARANG]]="","",INDEX(NOTA[SUPPLIER],MATCH(,INDIRECT(ADDRESS(ROW(NOTA[ID]),COLUMN(NOTA[ID]))&amp;":"&amp;ADDRESS(ROW(),COLUMN(NOTA[ID]))),-1)))</f>
        <v>DB STATIONERY</v>
      </c>
      <c r="AI397" s="49" t="str">
        <f ca="1">IF(NOTA[[#This Row],[ID_H]]="","",IF(NOTA[[#This Row],[FAKTUR]]="",INDIRECT(ADDRESS(ROW()-1,COLUMN())),NOTA[[#This Row],[FAKTUR]]))</f>
        <v>UNTANA</v>
      </c>
      <c r="AJ397" s="38" t="str">
        <f ca="1">IF(NOTA[[#This Row],[ID]]="","",COUNTIF(NOTA[ID_H],NOTA[[#This Row],[ID_H]]))</f>
        <v/>
      </c>
      <c r="AK397" s="38">
        <f ca="1">IF(NOTA[[#This Row],[TGL.NOTA]]="",IF(NOTA[[#This Row],[SUPPLIER_H]]="","",AK396),MONTH(NOTA[[#This Row],[TGL.NOTA]]))</f>
        <v>1</v>
      </c>
      <c r="AL397" s="38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397" s="38" t="str">
        <f>IF(NOTA[C]="",NOTA[[#This Row],[CONCAT1]]&amp;NOTA[[#This Row],[HARGA SATUAN]],NOTA[[#This Row],[CONCAT1]]&amp;NOTA[[#This Row],[HARGA/ CTN_H]]&amp;NOTA[[#This Row],[DISC 1]]&amp;NOTA[[#This Row],[DISC 2]])</f>
        <v>gelzhixinrefillg31322190000</v>
      </c>
      <c r="AN397" s="184">
        <f>IF(NOTA[[#This Row],[CONCAT1]]="","",MATCH(NOTA[[#This Row],[CONCAT1]],[1]!db[NB NOTA_C],0)+1)</f>
        <v>862</v>
      </c>
    </row>
    <row r="398" spans="1:40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Row],[CEK_EXP]]&lt;D397,"err","")</f>
        <v/>
      </c>
      <c r="D398" s="50">
        <f>IF(NOTA[[#This Row],[TANGGAL]]="",D397,NOTA[[#This Row],[TANGGAL]])</f>
        <v>44940</v>
      </c>
      <c r="E398" s="50">
        <f ca="1">IF(NOTA[[#This Row],[NAMA BARANG]]="","",INDEX(NOTA[ID],MATCH(,INDIRECT(ADDRESS(ROW(NOTA[ID]),COLUMN(NOTA[ID]))&amp;":"&amp;ADDRESS(ROW(),COLUMN(NOTA[ID]))),-1)))</f>
        <v>76</v>
      </c>
      <c r="F398" s="23"/>
      <c r="G398" s="26"/>
      <c r="H398" s="26"/>
      <c r="I398" s="31"/>
      <c r="J398" s="26"/>
      <c r="K398" s="51"/>
      <c r="L398" s="26"/>
      <c r="M398" s="26" t="s">
        <v>565</v>
      </c>
      <c r="N398" s="39">
        <v>1</v>
      </c>
      <c r="O398" s="26">
        <v>120</v>
      </c>
      <c r="P398" s="26" t="s">
        <v>90</v>
      </c>
      <c r="Q398" s="49">
        <v>18250</v>
      </c>
      <c r="R398" s="52"/>
      <c r="S398" s="39" t="s">
        <v>188</v>
      </c>
      <c r="T398" s="53"/>
      <c r="U398" s="53"/>
      <c r="V398" s="54"/>
      <c r="W398" s="37"/>
      <c r="X398" s="54">
        <f>IF(NOTA[[#This Row],[HARGA/ CTN]]="",NOTA[[#This Row],[JUMLAH_H]],NOTA[[#This Row],[HARGA/ CTN]]*IF(NOTA[[#This Row],[C]]="",0,NOTA[[#This Row],[C]]))</f>
        <v>2190000</v>
      </c>
      <c r="Y398" s="54">
        <f>IF(NOTA[[#This Row],[JUMLAH]]="","",NOTA[[#This Row],[JUMLAH]]*NOTA[[#This Row],[DISC 1]])</f>
        <v>0</v>
      </c>
      <c r="Z398" s="54">
        <f>IF(NOTA[[#This Row],[JUMLAH]]="","",(NOTA[[#This Row],[JUMLAH]]-NOTA[[#This Row],[DISC 1-]])*NOTA[[#This Row],[DISC 2]])</f>
        <v>0</v>
      </c>
      <c r="AA398" s="54">
        <f>IF(NOTA[[#This Row],[JUMLAH]]="","",NOTA[[#This Row],[DISC 1-]]+NOTA[[#This Row],[DISC 2-]])</f>
        <v>0</v>
      </c>
      <c r="AB398" s="54">
        <f>IF(NOTA[[#This Row],[JUMLAH]]="","",NOTA[[#This Row],[JUMLAH]]-NOTA[[#This Row],[DISC]])</f>
        <v>2190000</v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8" s="54">
        <f>IF(OR(NOTA[[#This Row],[QTY]]="",NOTA[[#This Row],[HARGA SATUAN]]="",),"",NOTA[[#This Row],[QTY]]*NOTA[[#This Row],[HARGA SATUAN]])</f>
        <v>2190000</v>
      </c>
      <c r="AG398" s="51">
        <f ca="1">IF(NOTA[ID_H]="","",INDEX(NOTA[TANGGAL],MATCH(,INDIRECT(ADDRESS(ROW(NOTA[TANGGAL]),COLUMN(NOTA[TANGGAL]))&amp;":"&amp;ADDRESS(ROW(),COLUMN(NOTA[TANGGAL]))),-1)))</f>
        <v>44940</v>
      </c>
      <c r="AH398" s="49" t="str">
        <f ca="1">IF(NOTA[[#This Row],[NAMA BARANG]]="","",INDEX(NOTA[SUPPLIER],MATCH(,INDIRECT(ADDRESS(ROW(NOTA[ID]),COLUMN(NOTA[ID]))&amp;":"&amp;ADDRESS(ROW(),COLUMN(NOTA[ID]))),-1)))</f>
        <v>DB STATIONERY</v>
      </c>
      <c r="AI398" s="49" t="str">
        <f ca="1">IF(NOTA[[#This Row],[ID_H]]="","",IF(NOTA[[#This Row],[FAKTUR]]="",INDIRECT(ADDRESS(ROW()-1,COLUMN())),NOTA[[#This Row],[FAKTUR]]))</f>
        <v>UNTANA</v>
      </c>
      <c r="AJ398" s="38" t="str">
        <f ca="1">IF(NOTA[[#This Row],[ID]]="","",COUNTIF(NOTA[ID_H],NOTA[[#This Row],[ID_H]]))</f>
        <v/>
      </c>
      <c r="AK398" s="38">
        <f ca="1">IF(NOTA[[#This Row],[TGL.NOTA]]="",IF(NOTA[[#This Row],[SUPPLIER_H]]="","",AK397),MONTH(NOTA[[#This Row],[TGL.NOTA]]))</f>
        <v>1</v>
      </c>
      <c r="AL398" s="3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398" s="38" t="str">
        <f>IF(NOTA[C]="",NOTA[[#This Row],[CONCAT1]]&amp;NOTA[[#This Row],[HARGA SATUAN]],NOTA[[#This Row],[CONCAT1]]&amp;NOTA[[#This Row],[HARGA/ CTN_H]]&amp;NOTA[[#This Row],[DISC 1]]&amp;NOTA[[#This Row],[DISC 2]])</f>
        <v>gelzhixinrefillg31312190000</v>
      </c>
      <c r="AN398" s="184">
        <f>IF(NOTA[[#This Row],[CONCAT1]]="","",MATCH(NOTA[[#This Row],[CONCAT1]],[1]!db[NB NOTA_C],0)+1)</f>
        <v>861</v>
      </c>
    </row>
    <row r="399" spans="1:40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Row],[CEK_EXP]]&lt;D398,"err","")</f>
        <v/>
      </c>
      <c r="D399" s="50">
        <f>IF(NOTA[[#This Row],[TANGGAL]]="",D398,NOTA[[#This Row],[TANGGAL]])</f>
        <v>44940</v>
      </c>
      <c r="E399" s="50">
        <f ca="1">IF(NOTA[[#This Row],[NAMA BARANG]]="","",INDEX(NOTA[ID],MATCH(,INDIRECT(ADDRESS(ROW(NOTA[ID]),COLUMN(NOTA[ID]))&amp;":"&amp;ADDRESS(ROW(),COLUMN(NOTA[ID]))),-1)))</f>
        <v>76</v>
      </c>
      <c r="F399" s="23"/>
      <c r="G399" s="26"/>
      <c r="H399" s="26"/>
      <c r="I399" s="31"/>
      <c r="J399" s="26"/>
      <c r="K399" s="51"/>
      <c r="L399" s="26"/>
      <c r="M399" s="26" t="s">
        <v>566</v>
      </c>
      <c r="N399" s="39">
        <v>1</v>
      </c>
      <c r="O399" s="26">
        <v>120</v>
      </c>
      <c r="P399" s="26" t="s">
        <v>90</v>
      </c>
      <c r="Q399" s="49">
        <v>18250</v>
      </c>
      <c r="R399" s="52"/>
      <c r="S399" s="39" t="s">
        <v>188</v>
      </c>
      <c r="T399" s="53"/>
      <c r="U399" s="53"/>
      <c r="V399" s="54"/>
      <c r="W399" s="37"/>
      <c r="X399" s="54">
        <f>IF(NOTA[[#This Row],[HARGA/ CTN]]="",NOTA[[#This Row],[JUMLAH_H]],NOTA[[#This Row],[HARGA/ CTN]]*IF(NOTA[[#This Row],[C]]="",0,NOTA[[#This Row],[C]]))</f>
        <v>2190000</v>
      </c>
      <c r="Y399" s="54">
        <f>IF(NOTA[[#This Row],[JUMLAH]]="","",NOTA[[#This Row],[JUMLAH]]*NOTA[[#This Row],[DISC 1]])</f>
        <v>0</v>
      </c>
      <c r="Z399" s="54">
        <f>IF(NOTA[[#This Row],[JUMLAH]]="","",(NOTA[[#This Row],[JUMLAH]]-NOTA[[#This Row],[DISC 1-]])*NOTA[[#This Row],[DISC 2]])</f>
        <v>0</v>
      </c>
      <c r="AA399" s="54">
        <f>IF(NOTA[[#This Row],[JUMLAH]]="","",NOTA[[#This Row],[DISC 1-]]+NOTA[[#This Row],[DISC 2-]])</f>
        <v>0</v>
      </c>
      <c r="AB399" s="54">
        <f>IF(NOTA[[#This Row],[JUMLAH]]="","",NOTA[[#This Row],[JUMLAH]]-NOTA[[#This Row],[DISC]])</f>
        <v>2190000</v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399" s="54">
        <f>IF(OR(NOTA[[#This Row],[QTY]]="",NOTA[[#This Row],[HARGA SATUAN]]="",),"",NOTA[[#This Row],[QTY]]*NOTA[[#This Row],[HARGA SATUAN]])</f>
        <v>2190000</v>
      </c>
      <c r="AG399" s="51">
        <f ca="1">IF(NOTA[ID_H]="","",INDEX(NOTA[TANGGAL],MATCH(,INDIRECT(ADDRESS(ROW(NOTA[TANGGAL]),COLUMN(NOTA[TANGGAL]))&amp;":"&amp;ADDRESS(ROW(),COLUMN(NOTA[TANGGAL]))),-1)))</f>
        <v>44940</v>
      </c>
      <c r="AH399" s="49" t="str">
        <f ca="1">IF(NOTA[[#This Row],[NAMA BARANG]]="","",INDEX(NOTA[SUPPLIER],MATCH(,INDIRECT(ADDRESS(ROW(NOTA[ID]),COLUMN(NOTA[ID]))&amp;":"&amp;ADDRESS(ROW(),COLUMN(NOTA[ID]))),-1)))</f>
        <v>DB STATIONERY</v>
      </c>
      <c r="AI399" s="49" t="str">
        <f ca="1">IF(NOTA[[#This Row],[ID_H]]="","",IF(NOTA[[#This Row],[FAKTUR]]="",INDIRECT(ADDRESS(ROW()-1,COLUMN())),NOTA[[#This Row],[FAKTUR]]))</f>
        <v>UNTANA</v>
      </c>
      <c r="AJ399" s="38" t="str">
        <f ca="1">IF(NOTA[[#This Row],[ID]]="","",COUNTIF(NOTA[ID_H],NOTA[[#This Row],[ID_H]]))</f>
        <v/>
      </c>
      <c r="AK399" s="38">
        <f ca="1">IF(NOTA[[#This Row],[TGL.NOTA]]="",IF(NOTA[[#This Row],[SUPPLIER_H]]="","",AK398),MONTH(NOTA[[#This Row],[TGL.NOTA]]))</f>
        <v>1</v>
      </c>
      <c r="AL399" s="38" t="str">
        <f>LOWER(SUBSTITUTE(SUBSTITUTE(SUBSTITUTE(SUBSTITUTE(SUBSTITUTE(SUBSTITUTE(SUBSTITUTE(SUBSTITUTE(SUBSTITUTE(NOTA[NAMA BARANG]," ",),".",""),"-",""),"(",""),")",""),",",""),"/",""),"""",""),"+",""))</f>
        <v>gelzhixinrefillg3130</v>
      </c>
      <c r="AM399" s="38" t="str">
        <f>IF(NOTA[C]="",NOTA[[#This Row],[CONCAT1]]&amp;NOTA[[#This Row],[HARGA SATUAN]],NOTA[[#This Row],[CONCAT1]]&amp;NOTA[[#This Row],[HARGA/ CTN_H]]&amp;NOTA[[#This Row],[DISC 1]]&amp;NOTA[[#This Row],[DISC 2]])</f>
        <v>gelzhixinrefillg31302190000</v>
      </c>
      <c r="AN399" s="184">
        <f>IF(NOTA[[#This Row],[CONCAT1]]="","",MATCH(NOTA[[#This Row],[CONCAT1]],[1]!db[NB NOTA_C],0)+1)</f>
        <v>860</v>
      </c>
    </row>
    <row r="400" spans="1:40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Row],[CEK_EXP]]&lt;D399,"err","")</f>
        <v/>
      </c>
      <c r="D400" s="50">
        <f>IF(NOTA[[#This Row],[TANGGAL]]="",D399,NOTA[[#This Row],[TANGGAL]])</f>
        <v>44940</v>
      </c>
      <c r="E400" s="50">
        <f ca="1">IF(NOTA[[#This Row],[NAMA BARANG]]="","",INDEX(NOTA[ID],MATCH(,INDIRECT(ADDRESS(ROW(NOTA[ID]),COLUMN(NOTA[ID]))&amp;":"&amp;ADDRESS(ROW(),COLUMN(NOTA[ID]))),-1)))</f>
        <v>76</v>
      </c>
      <c r="F400" s="23"/>
      <c r="G400" s="26"/>
      <c r="H400" s="26"/>
      <c r="I400" s="31"/>
      <c r="J400" s="26"/>
      <c r="K400" s="51"/>
      <c r="L400" s="26"/>
      <c r="M400" s="26" t="s">
        <v>567</v>
      </c>
      <c r="N400" s="39">
        <v>1</v>
      </c>
      <c r="O400" s="26">
        <v>120</v>
      </c>
      <c r="P400" s="26" t="s">
        <v>90</v>
      </c>
      <c r="Q400" s="49">
        <v>18250</v>
      </c>
      <c r="R400" s="52"/>
      <c r="S400" s="39" t="s">
        <v>188</v>
      </c>
      <c r="T400" s="53"/>
      <c r="U400" s="53"/>
      <c r="V400" s="54"/>
      <c r="W400" s="37"/>
      <c r="X400" s="54">
        <f>IF(NOTA[[#This Row],[HARGA/ CTN]]="",NOTA[[#This Row],[JUMLAH_H]],NOTA[[#This Row],[HARGA/ CTN]]*IF(NOTA[[#This Row],[C]]="",0,NOTA[[#This Row],[C]]))</f>
        <v>2190000</v>
      </c>
      <c r="Y400" s="54">
        <f>IF(NOTA[[#This Row],[JUMLAH]]="","",NOTA[[#This Row],[JUMLAH]]*NOTA[[#This Row],[DISC 1]])</f>
        <v>0</v>
      </c>
      <c r="Z400" s="54">
        <f>IF(NOTA[[#This Row],[JUMLAH]]="","",(NOTA[[#This Row],[JUMLAH]]-NOTA[[#This Row],[DISC 1-]])*NOTA[[#This Row],[DISC 2]])</f>
        <v>0</v>
      </c>
      <c r="AA400" s="54">
        <f>IF(NOTA[[#This Row],[JUMLAH]]="","",NOTA[[#This Row],[DISC 1-]]+NOTA[[#This Row],[DISC 2-]])</f>
        <v>0</v>
      </c>
      <c r="AB400" s="54">
        <f>IF(NOTA[[#This Row],[JUMLAH]]="","",NOTA[[#This Row],[JUMLAH]]-NOTA[[#This Row],[DISC]])</f>
        <v>2190000</v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0" s="54">
        <f>IF(OR(NOTA[[#This Row],[QTY]]="",NOTA[[#This Row],[HARGA SATUAN]]="",),"",NOTA[[#This Row],[QTY]]*NOTA[[#This Row],[HARGA SATUAN]])</f>
        <v>2190000</v>
      </c>
      <c r="AG400" s="51">
        <f ca="1">IF(NOTA[ID_H]="","",INDEX(NOTA[TANGGAL],MATCH(,INDIRECT(ADDRESS(ROW(NOTA[TANGGAL]),COLUMN(NOTA[TANGGAL]))&amp;":"&amp;ADDRESS(ROW(),COLUMN(NOTA[TANGGAL]))),-1)))</f>
        <v>44940</v>
      </c>
      <c r="AH400" s="49" t="str">
        <f ca="1">IF(NOTA[[#This Row],[NAMA BARANG]]="","",INDEX(NOTA[SUPPLIER],MATCH(,INDIRECT(ADDRESS(ROW(NOTA[ID]),COLUMN(NOTA[ID]))&amp;":"&amp;ADDRESS(ROW(),COLUMN(NOTA[ID]))),-1)))</f>
        <v>DB STATIONERY</v>
      </c>
      <c r="AI400" s="49" t="str">
        <f ca="1">IF(NOTA[[#This Row],[ID_H]]="","",IF(NOTA[[#This Row],[FAKTUR]]="",INDIRECT(ADDRESS(ROW()-1,COLUMN())),NOTA[[#This Row],[FAKTUR]]))</f>
        <v>UNTANA</v>
      </c>
      <c r="AJ400" s="38" t="str">
        <f ca="1">IF(NOTA[[#This Row],[ID]]="","",COUNTIF(NOTA[ID_H],NOTA[[#This Row],[ID_H]]))</f>
        <v/>
      </c>
      <c r="AK400" s="38">
        <f ca="1">IF(NOTA[[#This Row],[TGL.NOTA]]="",IF(NOTA[[#This Row],[SUPPLIER_H]]="","",AK399),MONTH(NOTA[[#This Row],[TGL.NOTA]]))</f>
        <v>1</v>
      </c>
      <c r="AL400" s="38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M400" s="38" t="str">
        <f>IF(NOTA[C]="",NOTA[[#This Row],[CONCAT1]]&amp;NOTA[[#This Row],[HARGA SATUAN]],NOTA[[#This Row],[CONCAT1]]&amp;NOTA[[#This Row],[HARGA/ CTN_H]]&amp;NOTA[[#This Row],[DISC 1]]&amp;NOTA[[#This Row],[DISC 2]])</f>
        <v>gelzhixinrefillg31292190000</v>
      </c>
      <c r="AN400" s="184">
        <f>IF(NOTA[[#This Row],[CONCAT1]]="","",MATCH(NOTA[[#This Row],[CONCAT1]],[1]!db[NB NOTA_C],0)+1)</f>
        <v>915</v>
      </c>
    </row>
    <row r="401" spans="1:40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Row],[CEK_EXP]]&lt;D400,"err","")</f>
        <v/>
      </c>
      <c r="D401" s="50">
        <f>IF(NOTA[[#This Row],[TANGGAL]]="",D400,NOTA[[#This Row],[TANGGAL]])</f>
        <v>44940</v>
      </c>
      <c r="E401" s="50">
        <f ca="1">IF(NOTA[[#This Row],[NAMA BARANG]]="","",INDEX(NOTA[ID],MATCH(,INDIRECT(ADDRESS(ROW(NOTA[ID]),COLUMN(NOTA[ID]))&amp;":"&amp;ADDRESS(ROW(),COLUMN(NOTA[ID]))),-1)))</f>
        <v>76</v>
      </c>
      <c r="F401" s="23"/>
      <c r="G401" s="26"/>
      <c r="H401" s="26"/>
      <c r="I401" s="31"/>
      <c r="J401" s="26"/>
      <c r="K401" s="51"/>
      <c r="L401" s="26"/>
      <c r="M401" s="26" t="s">
        <v>568</v>
      </c>
      <c r="N401" s="39">
        <v>1</v>
      </c>
      <c r="O401" s="26">
        <v>120</v>
      </c>
      <c r="P401" s="26" t="s">
        <v>90</v>
      </c>
      <c r="Q401" s="49">
        <v>18250</v>
      </c>
      <c r="R401" s="52"/>
      <c r="S401" s="39" t="s">
        <v>188</v>
      </c>
      <c r="T401" s="53"/>
      <c r="U401" s="53"/>
      <c r="V401" s="54"/>
      <c r="W401" s="37"/>
      <c r="X401" s="54">
        <f>IF(NOTA[[#This Row],[HARGA/ CTN]]="",NOTA[[#This Row],[JUMLAH_H]],NOTA[[#This Row],[HARGA/ CTN]]*IF(NOTA[[#This Row],[C]]="",0,NOTA[[#This Row],[C]]))</f>
        <v>2190000</v>
      </c>
      <c r="Y401" s="54">
        <f>IF(NOTA[[#This Row],[JUMLAH]]="","",NOTA[[#This Row],[JUMLAH]]*NOTA[[#This Row],[DISC 1]])</f>
        <v>0</v>
      </c>
      <c r="Z401" s="54">
        <f>IF(NOTA[[#This Row],[JUMLAH]]="","",(NOTA[[#This Row],[JUMLAH]]-NOTA[[#This Row],[DISC 1-]])*NOTA[[#This Row],[DISC 2]])</f>
        <v>0</v>
      </c>
      <c r="AA401" s="54">
        <f>IF(NOTA[[#This Row],[JUMLAH]]="","",NOTA[[#This Row],[DISC 1-]]+NOTA[[#This Row],[DISC 2-]])</f>
        <v>0</v>
      </c>
      <c r="AB401" s="54">
        <f>IF(NOTA[[#This Row],[JUMLAH]]="","",NOTA[[#This Row],[JUMLAH]]-NOTA[[#This Row],[DISC]])</f>
        <v>2190000</v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1" s="54">
        <f>IF(OR(NOTA[[#This Row],[QTY]]="",NOTA[[#This Row],[HARGA SATUAN]]="",),"",NOTA[[#This Row],[QTY]]*NOTA[[#This Row],[HARGA SATUAN]])</f>
        <v>2190000</v>
      </c>
      <c r="AG401" s="51">
        <f ca="1">IF(NOTA[ID_H]="","",INDEX(NOTA[TANGGAL],MATCH(,INDIRECT(ADDRESS(ROW(NOTA[TANGGAL]),COLUMN(NOTA[TANGGAL]))&amp;":"&amp;ADDRESS(ROW(),COLUMN(NOTA[TANGGAL]))),-1)))</f>
        <v>44940</v>
      </c>
      <c r="AH401" s="49" t="str">
        <f ca="1">IF(NOTA[[#This Row],[NAMA BARANG]]="","",INDEX(NOTA[SUPPLIER],MATCH(,INDIRECT(ADDRESS(ROW(NOTA[ID]),COLUMN(NOTA[ID]))&amp;":"&amp;ADDRESS(ROW(),COLUMN(NOTA[ID]))),-1)))</f>
        <v>DB STATIONERY</v>
      </c>
      <c r="AI401" s="49" t="str">
        <f ca="1">IF(NOTA[[#This Row],[ID_H]]="","",IF(NOTA[[#This Row],[FAKTUR]]="",INDIRECT(ADDRESS(ROW()-1,COLUMN())),NOTA[[#This Row],[FAKTUR]]))</f>
        <v>UNTANA</v>
      </c>
      <c r="AJ401" s="38" t="str">
        <f ca="1">IF(NOTA[[#This Row],[ID]]="","",COUNTIF(NOTA[ID_H],NOTA[[#This Row],[ID_H]]))</f>
        <v/>
      </c>
      <c r="AK401" s="38">
        <f ca="1">IF(NOTA[[#This Row],[TGL.NOTA]]="",IF(NOTA[[#This Row],[SUPPLIER_H]]="","",AK400),MONTH(NOTA[[#This Row],[TGL.NOTA]]))</f>
        <v>1</v>
      </c>
      <c r="AL401" s="38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M401" s="38" t="str">
        <f>IF(NOTA[C]="",NOTA[[#This Row],[CONCAT1]]&amp;NOTA[[#This Row],[HARGA SATUAN]],NOTA[[#This Row],[CONCAT1]]&amp;NOTA[[#This Row],[HARGA/ CTN_H]]&amp;NOTA[[#This Row],[DISC 1]]&amp;NOTA[[#This Row],[DISC 2]])</f>
        <v>gelzhixinrefillg31282190000</v>
      </c>
      <c r="AN401" s="184">
        <f>IF(NOTA[[#This Row],[CONCAT1]]="","",MATCH(NOTA[[#This Row],[CONCAT1]],[1]!db[NB NOTA_C],0)+1)</f>
        <v>859</v>
      </c>
    </row>
    <row r="402" spans="1:40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Row],[CEK_EXP]]&lt;D401,"err","")</f>
        <v/>
      </c>
      <c r="D402" s="50">
        <f>IF(NOTA[[#This Row],[TANGGAL]]="",D401,NOTA[[#This Row],[TANGGAL]])</f>
        <v>44940</v>
      </c>
      <c r="E402" s="50">
        <f ca="1">IF(NOTA[[#This Row],[NAMA BARANG]]="","",INDEX(NOTA[ID],MATCH(,INDIRECT(ADDRESS(ROW(NOTA[ID]),COLUMN(NOTA[ID]))&amp;":"&amp;ADDRESS(ROW(),COLUMN(NOTA[ID]))),-1)))</f>
        <v>76</v>
      </c>
      <c r="F402" s="23"/>
      <c r="G402" s="26"/>
      <c r="H402" s="26"/>
      <c r="I402" s="31"/>
      <c r="J402" s="26"/>
      <c r="K402" s="51"/>
      <c r="L402" s="26"/>
      <c r="M402" s="26" t="s">
        <v>569</v>
      </c>
      <c r="N402" s="39">
        <v>1</v>
      </c>
      <c r="O402" s="26">
        <v>120</v>
      </c>
      <c r="P402" s="26" t="s">
        <v>90</v>
      </c>
      <c r="Q402" s="49">
        <v>18250</v>
      </c>
      <c r="R402" s="52"/>
      <c r="S402" s="39" t="s">
        <v>188</v>
      </c>
      <c r="T402" s="53"/>
      <c r="U402" s="53"/>
      <c r="V402" s="54"/>
      <c r="W402" s="37"/>
      <c r="X402" s="54">
        <f>IF(NOTA[[#This Row],[HARGA/ CTN]]="",NOTA[[#This Row],[JUMLAH_H]],NOTA[[#This Row],[HARGA/ CTN]]*IF(NOTA[[#This Row],[C]]="",0,NOTA[[#This Row],[C]]))</f>
        <v>2190000</v>
      </c>
      <c r="Y402" s="54">
        <f>IF(NOTA[[#This Row],[JUMLAH]]="","",NOTA[[#This Row],[JUMLAH]]*NOTA[[#This Row],[DISC 1]])</f>
        <v>0</v>
      </c>
      <c r="Z402" s="54">
        <f>IF(NOTA[[#This Row],[JUMLAH]]="","",(NOTA[[#This Row],[JUMLAH]]-NOTA[[#This Row],[DISC 1-]])*NOTA[[#This Row],[DISC 2]])</f>
        <v>0</v>
      </c>
      <c r="AA402" s="54">
        <f>IF(NOTA[[#This Row],[JUMLAH]]="","",NOTA[[#This Row],[DISC 1-]]+NOTA[[#This Row],[DISC 2-]])</f>
        <v>0</v>
      </c>
      <c r="AB402" s="54">
        <f>IF(NOTA[[#This Row],[JUMLAH]]="","",NOTA[[#This Row],[JUMLAH]]-NOTA[[#This Row],[DISC]])</f>
        <v>2190000</v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2" s="54">
        <f>IF(OR(NOTA[[#This Row],[QTY]]="",NOTA[[#This Row],[HARGA SATUAN]]="",),"",NOTA[[#This Row],[QTY]]*NOTA[[#This Row],[HARGA SATUAN]])</f>
        <v>2190000</v>
      </c>
      <c r="AG402" s="51">
        <f ca="1">IF(NOTA[ID_H]="","",INDEX(NOTA[TANGGAL],MATCH(,INDIRECT(ADDRESS(ROW(NOTA[TANGGAL]),COLUMN(NOTA[TANGGAL]))&amp;":"&amp;ADDRESS(ROW(),COLUMN(NOTA[TANGGAL]))),-1)))</f>
        <v>44940</v>
      </c>
      <c r="AH402" s="49" t="str">
        <f ca="1">IF(NOTA[[#This Row],[NAMA BARANG]]="","",INDEX(NOTA[SUPPLIER],MATCH(,INDIRECT(ADDRESS(ROW(NOTA[ID]),COLUMN(NOTA[ID]))&amp;":"&amp;ADDRESS(ROW(),COLUMN(NOTA[ID]))),-1)))</f>
        <v>DB STATIONERY</v>
      </c>
      <c r="AI402" s="49" t="str">
        <f ca="1">IF(NOTA[[#This Row],[ID_H]]="","",IF(NOTA[[#This Row],[FAKTUR]]="",INDIRECT(ADDRESS(ROW()-1,COLUMN())),NOTA[[#This Row],[FAKTUR]]))</f>
        <v>UNTANA</v>
      </c>
      <c r="AJ402" s="38" t="str">
        <f ca="1">IF(NOTA[[#This Row],[ID]]="","",COUNTIF(NOTA[ID_H],NOTA[[#This Row],[ID_H]]))</f>
        <v/>
      </c>
      <c r="AK402" s="38">
        <f ca="1">IF(NOTA[[#This Row],[TGL.NOTA]]="",IF(NOTA[[#This Row],[SUPPLIER_H]]="","",AK401),MONTH(NOTA[[#This Row],[TGL.NOTA]]))</f>
        <v>1</v>
      </c>
      <c r="AL402" s="38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M402" s="38" t="str">
        <f>IF(NOTA[C]="",NOTA[[#This Row],[CONCAT1]]&amp;NOTA[[#This Row],[HARGA SATUAN]],NOTA[[#This Row],[CONCAT1]]&amp;NOTA[[#This Row],[HARGA/ CTN_H]]&amp;NOTA[[#This Row],[DISC 1]]&amp;NOTA[[#This Row],[DISC 2]])</f>
        <v>gelzhixinrefillg31272190000</v>
      </c>
      <c r="AN402" s="184">
        <f>IF(NOTA[[#This Row],[CONCAT1]]="","",MATCH(NOTA[[#This Row],[CONCAT1]],[1]!db[NB NOTA_C],0)+1)</f>
        <v>858</v>
      </c>
    </row>
    <row r="403" spans="1:40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Row],[CEK_EXP]]&lt;D402,"err","")</f>
        <v/>
      </c>
      <c r="D403" s="50">
        <f>IF(NOTA[[#This Row],[TANGGAL]]="",D402,NOTA[[#This Row],[TANGGAL]])</f>
        <v>44940</v>
      </c>
      <c r="E403" s="50">
        <f ca="1">IF(NOTA[[#This Row],[NAMA BARANG]]="","",INDEX(NOTA[ID],MATCH(,INDIRECT(ADDRESS(ROW(NOTA[ID]),COLUMN(NOTA[ID]))&amp;":"&amp;ADDRESS(ROW(),COLUMN(NOTA[ID]))),-1)))</f>
        <v>76</v>
      </c>
      <c r="F403" s="23"/>
      <c r="G403" s="26"/>
      <c r="H403" s="26"/>
      <c r="I403" s="31"/>
      <c r="J403" s="26"/>
      <c r="K403" s="51"/>
      <c r="L403" s="26"/>
      <c r="M403" s="26" t="s">
        <v>570</v>
      </c>
      <c r="N403" s="39">
        <v>1</v>
      </c>
      <c r="O403" s="26">
        <v>120</v>
      </c>
      <c r="P403" s="26" t="s">
        <v>90</v>
      </c>
      <c r="Q403" s="49">
        <v>18250</v>
      </c>
      <c r="R403" s="52"/>
      <c r="S403" s="39" t="s">
        <v>188</v>
      </c>
      <c r="T403" s="53"/>
      <c r="U403" s="53"/>
      <c r="V403" s="54"/>
      <c r="W403" s="37"/>
      <c r="X403" s="54">
        <f>IF(NOTA[[#This Row],[HARGA/ CTN]]="",NOTA[[#This Row],[JUMLAH_H]],NOTA[[#This Row],[HARGA/ CTN]]*IF(NOTA[[#This Row],[C]]="",0,NOTA[[#This Row],[C]]))</f>
        <v>2190000</v>
      </c>
      <c r="Y403" s="54">
        <f>IF(NOTA[[#This Row],[JUMLAH]]="","",NOTA[[#This Row],[JUMLAH]]*NOTA[[#This Row],[DISC 1]])</f>
        <v>0</v>
      </c>
      <c r="Z403" s="54">
        <f>IF(NOTA[[#This Row],[JUMLAH]]="","",(NOTA[[#This Row],[JUMLAH]]-NOTA[[#This Row],[DISC 1-]])*NOTA[[#This Row],[DISC 2]])</f>
        <v>0</v>
      </c>
      <c r="AA403" s="54">
        <f>IF(NOTA[[#This Row],[JUMLAH]]="","",NOTA[[#This Row],[DISC 1-]]+NOTA[[#This Row],[DISC 2-]])</f>
        <v>0</v>
      </c>
      <c r="AB403" s="54">
        <f>IF(NOTA[[#This Row],[JUMLAH]]="","",NOTA[[#This Row],[JUMLAH]]-NOTA[[#This Row],[DISC]])</f>
        <v>2190000</v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3" s="54">
        <f>IF(OR(NOTA[[#This Row],[QTY]]="",NOTA[[#This Row],[HARGA SATUAN]]="",),"",NOTA[[#This Row],[QTY]]*NOTA[[#This Row],[HARGA SATUAN]])</f>
        <v>2190000</v>
      </c>
      <c r="AG403" s="51">
        <f ca="1">IF(NOTA[ID_H]="","",INDEX(NOTA[TANGGAL],MATCH(,INDIRECT(ADDRESS(ROW(NOTA[TANGGAL]),COLUMN(NOTA[TANGGAL]))&amp;":"&amp;ADDRESS(ROW(),COLUMN(NOTA[TANGGAL]))),-1)))</f>
        <v>44940</v>
      </c>
      <c r="AH403" s="49" t="str">
        <f ca="1">IF(NOTA[[#This Row],[NAMA BARANG]]="","",INDEX(NOTA[SUPPLIER],MATCH(,INDIRECT(ADDRESS(ROW(NOTA[ID]),COLUMN(NOTA[ID]))&amp;":"&amp;ADDRESS(ROW(),COLUMN(NOTA[ID]))),-1)))</f>
        <v>DB STATIONERY</v>
      </c>
      <c r="AI403" s="49" t="str">
        <f ca="1">IF(NOTA[[#This Row],[ID_H]]="","",IF(NOTA[[#This Row],[FAKTUR]]="",INDIRECT(ADDRESS(ROW()-1,COLUMN())),NOTA[[#This Row],[FAKTUR]]))</f>
        <v>UNTANA</v>
      </c>
      <c r="AJ403" s="38" t="str">
        <f ca="1">IF(NOTA[[#This Row],[ID]]="","",COUNTIF(NOTA[ID_H],NOTA[[#This Row],[ID_H]]))</f>
        <v/>
      </c>
      <c r="AK403" s="38">
        <f ca="1">IF(NOTA[[#This Row],[TGL.NOTA]]="",IF(NOTA[[#This Row],[SUPPLIER_H]]="","",AK402),MONTH(NOTA[[#This Row],[TGL.NOTA]]))</f>
        <v>1</v>
      </c>
      <c r="AL403" s="38" t="str">
        <f>LOWER(SUBSTITUTE(SUBSTITUTE(SUBSTITUTE(SUBSTITUTE(SUBSTITUTE(SUBSTITUTE(SUBSTITUTE(SUBSTITUTE(SUBSTITUTE(NOTA[NAMA BARANG]," ",),".",""),"-",""),"(",""),")",""),",",""),"/",""),"""",""),"+",""))</f>
        <v>gelzhixinrefillg3126</v>
      </c>
      <c r="AM403" s="38" t="str">
        <f>IF(NOTA[C]="",NOTA[[#This Row],[CONCAT1]]&amp;NOTA[[#This Row],[HARGA SATUAN]],NOTA[[#This Row],[CONCAT1]]&amp;NOTA[[#This Row],[HARGA/ CTN_H]]&amp;NOTA[[#This Row],[DISC 1]]&amp;NOTA[[#This Row],[DISC 2]])</f>
        <v>gelzhixinrefillg31262190000</v>
      </c>
      <c r="AN403" s="184">
        <f>IF(NOTA[[#This Row],[CONCAT1]]="","",MATCH(NOTA[[#This Row],[CONCAT1]],[1]!db[NB NOTA_C],0)+1)</f>
        <v>914</v>
      </c>
    </row>
    <row r="404" spans="1:40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Row],[CEK_EXP]]&lt;D403,"err","")</f>
        <v/>
      </c>
      <c r="D404" s="50">
        <f>IF(NOTA[[#This Row],[TANGGAL]]="",D403,NOTA[[#This Row],[TANGGAL]])</f>
        <v>44940</v>
      </c>
      <c r="E404" s="50">
        <f ca="1">IF(NOTA[[#This Row],[NAMA BARANG]]="","",INDEX(NOTA[ID],MATCH(,INDIRECT(ADDRESS(ROW(NOTA[ID]),COLUMN(NOTA[ID]))&amp;":"&amp;ADDRESS(ROW(),COLUMN(NOTA[ID]))),-1)))</f>
        <v>76</v>
      </c>
      <c r="F404" s="23"/>
      <c r="G404" s="26"/>
      <c r="H404" s="26"/>
      <c r="I404" s="31"/>
      <c r="J404" s="26"/>
      <c r="K404" s="51"/>
      <c r="L404" s="26"/>
      <c r="M404" s="26" t="s">
        <v>571</v>
      </c>
      <c r="N404" s="39">
        <v>1</v>
      </c>
      <c r="O404" s="26">
        <v>120</v>
      </c>
      <c r="P404" s="26" t="s">
        <v>90</v>
      </c>
      <c r="Q404" s="49">
        <v>18250</v>
      </c>
      <c r="R404" s="52"/>
      <c r="S404" s="39" t="s">
        <v>188</v>
      </c>
      <c r="T404" s="53"/>
      <c r="U404" s="53"/>
      <c r="V404" s="54"/>
      <c r="W404" s="37"/>
      <c r="X404" s="54">
        <f>IF(NOTA[[#This Row],[HARGA/ CTN]]="",NOTA[[#This Row],[JUMLAH_H]],NOTA[[#This Row],[HARGA/ CTN]]*IF(NOTA[[#This Row],[C]]="",0,NOTA[[#This Row],[C]]))</f>
        <v>2190000</v>
      </c>
      <c r="Y404" s="54">
        <f>IF(NOTA[[#This Row],[JUMLAH]]="","",NOTA[[#This Row],[JUMLAH]]*NOTA[[#This Row],[DISC 1]])</f>
        <v>0</v>
      </c>
      <c r="Z404" s="54">
        <f>IF(NOTA[[#This Row],[JUMLAH]]="","",(NOTA[[#This Row],[JUMLAH]]-NOTA[[#This Row],[DISC 1-]])*NOTA[[#This Row],[DISC 2]])</f>
        <v>0</v>
      </c>
      <c r="AA404" s="54">
        <f>IF(NOTA[[#This Row],[JUMLAH]]="","",NOTA[[#This Row],[DISC 1-]]+NOTA[[#This Row],[DISC 2-]])</f>
        <v>0</v>
      </c>
      <c r="AB404" s="54">
        <f>IF(NOTA[[#This Row],[JUMLAH]]="","",NOTA[[#This Row],[JUMLAH]]-NOTA[[#This Row],[DISC]])</f>
        <v>2190000</v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4" s="54">
        <f>IF(OR(NOTA[[#This Row],[QTY]]="",NOTA[[#This Row],[HARGA SATUAN]]="",),"",NOTA[[#This Row],[QTY]]*NOTA[[#This Row],[HARGA SATUAN]])</f>
        <v>2190000</v>
      </c>
      <c r="AG404" s="51">
        <f ca="1">IF(NOTA[ID_H]="","",INDEX(NOTA[TANGGAL],MATCH(,INDIRECT(ADDRESS(ROW(NOTA[TANGGAL]),COLUMN(NOTA[TANGGAL]))&amp;":"&amp;ADDRESS(ROW(),COLUMN(NOTA[TANGGAL]))),-1)))</f>
        <v>44940</v>
      </c>
      <c r="AH404" s="49" t="str">
        <f ca="1">IF(NOTA[[#This Row],[NAMA BARANG]]="","",INDEX(NOTA[SUPPLIER],MATCH(,INDIRECT(ADDRESS(ROW(NOTA[ID]),COLUMN(NOTA[ID]))&amp;":"&amp;ADDRESS(ROW(),COLUMN(NOTA[ID]))),-1)))</f>
        <v>DB STATIONERY</v>
      </c>
      <c r="AI404" s="49" t="str">
        <f ca="1">IF(NOTA[[#This Row],[ID_H]]="","",IF(NOTA[[#This Row],[FAKTUR]]="",INDIRECT(ADDRESS(ROW()-1,COLUMN())),NOTA[[#This Row],[FAKTUR]]))</f>
        <v>UNTANA</v>
      </c>
      <c r="AJ404" s="38" t="str">
        <f ca="1">IF(NOTA[[#This Row],[ID]]="","",COUNTIF(NOTA[ID_H],NOTA[[#This Row],[ID_H]]))</f>
        <v/>
      </c>
      <c r="AK404" s="38">
        <f ca="1">IF(NOTA[[#This Row],[TGL.NOTA]]="",IF(NOTA[[#This Row],[SUPPLIER_H]]="","",AK403),MONTH(NOTA[[#This Row],[TGL.NOTA]]))</f>
        <v>1</v>
      </c>
      <c r="AL404" s="38" t="str">
        <f>LOWER(SUBSTITUTE(SUBSTITUTE(SUBSTITUTE(SUBSTITUTE(SUBSTITUTE(SUBSTITUTE(SUBSTITUTE(SUBSTITUTE(SUBSTITUTE(NOTA[NAMA BARANG]," ",),".",""),"-",""),"(",""),")",""),",",""),"/",""),"""",""),"+",""))</f>
        <v>gelzhixinrefillg3125</v>
      </c>
      <c r="AM404" s="38" t="str">
        <f>IF(NOTA[C]="",NOTA[[#This Row],[CONCAT1]]&amp;NOTA[[#This Row],[HARGA SATUAN]],NOTA[[#This Row],[CONCAT1]]&amp;NOTA[[#This Row],[HARGA/ CTN_H]]&amp;NOTA[[#This Row],[DISC 1]]&amp;NOTA[[#This Row],[DISC 2]])</f>
        <v>gelzhixinrefillg31252190000</v>
      </c>
      <c r="AN404" s="184">
        <f>IF(NOTA[[#This Row],[CONCAT1]]="","",MATCH(NOTA[[#This Row],[CONCAT1]],[1]!db[NB NOTA_C],0)+1)</f>
        <v>857</v>
      </c>
    </row>
    <row r="405" spans="1:40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Row],[CEK_EXP]]&lt;D404,"err","")</f>
        <v/>
      </c>
      <c r="D405" s="50">
        <f>IF(NOTA[[#This Row],[TANGGAL]]="",D404,NOTA[[#This Row],[TANGGAL]])</f>
        <v>44940</v>
      </c>
      <c r="E405" s="50">
        <f ca="1">IF(NOTA[[#This Row],[NAMA BARANG]]="","",INDEX(NOTA[ID],MATCH(,INDIRECT(ADDRESS(ROW(NOTA[ID]),COLUMN(NOTA[ID]))&amp;":"&amp;ADDRESS(ROW(),COLUMN(NOTA[ID]))),-1)))</f>
        <v>76</v>
      </c>
      <c r="F405" s="23"/>
      <c r="G405" s="26"/>
      <c r="H405" s="26"/>
      <c r="I405" s="31"/>
      <c r="J405" s="26"/>
      <c r="K405" s="51"/>
      <c r="L405" s="26"/>
      <c r="M405" s="26" t="s">
        <v>572</v>
      </c>
      <c r="N405" s="39">
        <v>1</v>
      </c>
      <c r="O405" s="26">
        <v>120</v>
      </c>
      <c r="P405" s="26" t="s">
        <v>90</v>
      </c>
      <c r="Q405" s="49">
        <v>18250</v>
      </c>
      <c r="R405" s="52"/>
      <c r="S405" s="39" t="s">
        <v>188</v>
      </c>
      <c r="T405" s="53"/>
      <c r="U405" s="53"/>
      <c r="V405" s="54"/>
      <c r="W405" s="37"/>
      <c r="X405" s="54">
        <f>IF(NOTA[[#This Row],[HARGA/ CTN]]="",NOTA[[#This Row],[JUMLAH_H]],NOTA[[#This Row],[HARGA/ CTN]]*IF(NOTA[[#This Row],[C]]="",0,NOTA[[#This Row],[C]]))</f>
        <v>2190000</v>
      </c>
      <c r="Y405" s="54">
        <f>IF(NOTA[[#This Row],[JUMLAH]]="","",NOTA[[#This Row],[JUMLAH]]*NOTA[[#This Row],[DISC 1]])</f>
        <v>0</v>
      </c>
      <c r="Z405" s="54">
        <f>IF(NOTA[[#This Row],[JUMLAH]]="","",(NOTA[[#This Row],[JUMLAH]]-NOTA[[#This Row],[DISC 1-]])*NOTA[[#This Row],[DISC 2]])</f>
        <v>0</v>
      </c>
      <c r="AA405" s="54">
        <f>IF(NOTA[[#This Row],[JUMLAH]]="","",NOTA[[#This Row],[DISC 1-]]+NOTA[[#This Row],[DISC 2-]])</f>
        <v>0</v>
      </c>
      <c r="AB405" s="54">
        <f>IF(NOTA[[#This Row],[JUMLAH]]="","",NOTA[[#This Row],[JUMLAH]]-NOTA[[#This Row],[DISC]])</f>
        <v>2190000</v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5" s="54">
        <f>IF(OR(NOTA[[#This Row],[QTY]]="",NOTA[[#This Row],[HARGA SATUAN]]="",),"",NOTA[[#This Row],[QTY]]*NOTA[[#This Row],[HARGA SATUAN]])</f>
        <v>2190000</v>
      </c>
      <c r="AG405" s="51">
        <f ca="1">IF(NOTA[ID_H]="","",INDEX(NOTA[TANGGAL],MATCH(,INDIRECT(ADDRESS(ROW(NOTA[TANGGAL]),COLUMN(NOTA[TANGGAL]))&amp;":"&amp;ADDRESS(ROW(),COLUMN(NOTA[TANGGAL]))),-1)))</f>
        <v>44940</v>
      </c>
      <c r="AH405" s="49" t="str">
        <f ca="1">IF(NOTA[[#This Row],[NAMA BARANG]]="","",INDEX(NOTA[SUPPLIER],MATCH(,INDIRECT(ADDRESS(ROW(NOTA[ID]),COLUMN(NOTA[ID]))&amp;":"&amp;ADDRESS(ROW(),COLUMN(NOTA[ID]))),-1)))</f>
        <v>DB STATIONERY</v>
      </c>
      <c r="AI405" s="49" t="str">
        <f ca="1">IF(NOTA[[#This Row],[ID_H]]="","",IF(NOTA[[#This Row],[FAKTUR]]="",INDIRECT(ADDRESS(ROW()-1,COLUMN())),NOTA[[#This Row],[FAKTUR]]))</f>
        <v>UNTANA</v>
      </c>
      <c r="AJ405" s="38" t="str">
        <f ca="1">IF(NOTA[[#This Row],[ID]]="","",COUNTIF(NOTA[ID_H],NOTA[[#This Row],[ID_H]]))</f>
        <v/>
      </c>
      <c r="AK405" s="38">
        <f ca="1">IF(NOTA[[#This Row],[TGL.NOTA]]="",IF(NOTA[[#This Row],[SUPPLIER_H]]="","",AK404),MONTH(NOTA[[#This Row],[TGL.NOTA]]))</f>
        <v>1</v>
      </c>
      <c r="AL405" s="38" t="str">
        <f>LOWER(SUBSTITUTE(SUBSTITUTE(SUBSTITUTE(SUBSTITUTE(SUBSTITUTE(SUBSTITUTE(SUBSTITUTE(SUBSTITUTE(SUBSTITUTE(NOTA[NAMA BARANG]," ",),".",""),"-",""),"(",""),")",""),",",""),"/",""),"""",""),"+",""))</f>
        <v>gelzhixinrefillg3124</v>
      </c>
      <c r="AM405" s="38" t="str">
        <f>IF(NOTA[C]="",NOTA[[#This Row],[CONCAT1]]&amp;NOTA[[#This Row],[HARGA SATUAN]],NOTA[[#This Row],[CONCAT1]]&amp;NOTA[[#This Row],[HARGA/ CTN_H]]&amp;NOTA[[#This Row],[DISC 1]]&amp;NOTA[[#This Row],[DISC 2]])</f>
        <v>gelzhixinrefillg31242190000</v>
      </c>
      <c r="AN405" s="184">
        <f>IF(NOTA[[#This Row],[CONCAT1]]="","",MATCH(NOTA[[#This Row],[CONCAT1]],[1]!db[NB NOTA_C],0)+1)</f>
        <v>913</v>
      </c>
    </row>
    <row r="406" spans="1:40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Row],[CEK_EXP]]&lt;D405,"err","")</f>
        <v/>
      </c>
      <c r="D406" s="50">
        <f>IF(NOTA[[#This Row],[TANGGAL]]="",D405,NOTA[[#This Row],[TANGGAL]])</f>
        <v>44940</v>
      </c>
      <c r="E406" s="50">
        <f ca="1">IF(NOTA[[#This Row],[NAMA BARANG]]="","",INDEX(NOTA[ID],MATCH(,INDIRECT(ADDRESS(ROW(NOTA[ID]),COLUMN(NOTA[ID]))&amp;":"&amp;ADDRESS(ROW(),COLUMN(NOTA[ID]))),-1)))</f>
        <v>76</v>
      </c>
      <c r="F406" s="23"/>
      <c r="G406" s="26"/>
      <c r="H406" s="26"/>
      <c r="I406" s="31"/>
      <c r="J406" s="26"/>
      <c r="K406" s="51"/>
      <c r="L406" s="26"/>
      <c r="M406" s="26" t="s">
        <v>573</v>
      </c>
      <c r="N406" s="39">
        <v>1</v>
      </c>
      <c r="O406" s="26">
        <v>120</v>
      </c>
      <c r="P406" s="26" t="s">
        <v>90</v>
      </c>
      <c r="Q406" s="49">
        <v>18250</v>
      </c>
      <c r="R406" s="52"/>
      <c r="S406" s="39" t="s">
        <v>188</v>
      </c>
      <c r="T406" s="53"/>
      <c r="U406" s="53"/>
      <c r="V406" s="54"/>
      <c r="W406" s="37"/>
      <c r="X406" s="54">
        <f>IF(NOTA[[#This Row],[HARGA/ CTN]]="",NOTA[[#This Row],[JUMLAH_H]],NOTA[[#This Row],[HARGA/ CTN]]*IF(NOTA[[#This Row],[C]]="",0,NOTA[[#This Row],[C]]))</f>
        <v>2190000</v>
      </c>
      <c r="Y406" s="54">
        <f>IF(NOTA[[#This Row],[JUMLAH]]="","",NOTA[[#This Row],[JUMLAH]]*NOTA[[#This Row],[DISC 1]])</f>
        <v>0</v>
      </c>
      <c r="Z406" s="54">
        <f>IF(NOTA[[#This Row],[JUMLAH]]="","",(NOTA[[#This Row],[JUMLAH]]-NOTA[[#This Row],[DISC 1-]])*NOTA[[#This Row],[DISC 2]])</f>
        <v>0</v>
      </c>
      <c r="AA406" s="54">
        <f>IF(NOTA[[#This Row],[JUMLAH]]="","",NOTA[[#This Row],[DISC 1-]]+NOTA[[#This Row],[DISC 2-]])</f>
        <v>0</v>
      </c>
      <c r="AB406" s="54">
        <f>IF(NOTA[[#This Row],[JUMLAH]]="","",NOTA[[#This Row],[JUMLAH]]-NOTA[[#This Row],[DISC]])</f>
        <v>2190000</v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6" s="54">
        <f>IF(OR(NOTA[[#This Row],[QTY]]="",NOTA[[#This Row],[HARGA SATUAN]]="",),"",NOTA[[#This Row],[QTY]]*NOTA[[#This Row],[HARGA SATUAN]])</f>
        <v>2190000</v>
      </c>
      <c r="AG406" s="51">
        <f ca="1">IF(NOTA[ID_H]="","",INDEX(NOTA[TANGGAL],MATCH(,INDIRECT(ADDRESS(ROW(NOTA[TANGGAL]),COLUMN(NOTA[TANGGAL]))&amp;":"&amp;ADDRESS(ROW(),COLUMN(NOTA[TANGGAL]))),-1)))</f>
        <v>44940</v>
      </c>
      <c r="AH406" s="49" t="str">
        <f ca="1">IF(NOTA[[#This Row],[NAMA BARANG]]="","",INDEX(NOTA[SUPPLIER],MATCH(,INDIRECT(ADDRESS(ROW(NOTA[ID]),COLUMN(NOTA[ID]))&amp;":"&amp;ADDRESS(ROW(),COLUMN(NOTA[ID]))),-1)))</f>
        <v>DB STATIONERY</v>
      </c>
      <c r="AI406" s="49" t="str">
        <f ca="1">IF(NOTA[[#This Row],[ID_H]]="","",IF(NOTA[[#This Row],[FAKTUR]]="",INDIRECT(ADDRESS(ROW()-1,COLUMN())),NOTA[[#This Row],[FAKTUR]]))</f>
        <v>UNTANA</v>
      </c>
      <c r="AJ406" s="38" t="str">
        <f ca="1">IF(NOTA[[#This Row],[ID]]="","",COUNTIF(NOTA[ID_H],NOTA[[#This Row],[ID_H]]))</f>
        <v/>
      </c>
      <c r="AK406" s="38">
        <f ca="1">IF(NOTA[[#This Row],[TGL.NOTA]]="",IF(NOTA[[#This Row],[SUPPLIER_H]]="","",AK405),MONTH(NOTA[[#This Row],[TGL.NOTA]]))</f>
        <v>1</v>
      </c>
      <c r="AL406" s="38" t="str">
        <f>LOWER(SUBSTITUTE(SUBSTITUTE(SUBSTITUTE(SUBSTITUTE(SUBSTITUTE(SUBSTITUTE(SUBSTITUTE(SUBSTITUTE(SUBSTITUTE(NOTA[NAMA BARANG]," ",),".",""),"-",""),"(",""),")",""),",",""),"/",""),"""",""),"+",""))</f>
        <v>gelzhixinrefillg3123</v>
      </c>
      <c r="AM406" s="38" t="str">
        <f>IF(NOTA[C]="",NOTA[[#This Row],[CONCAT1]]&amp;NOTA[[#This Row],[HARGA SATUAN]],NOTA[[#This Row],[CONCAT1]]&amp;NOTA[[#This Row],[HARGA/ CTN_H]]&amp;NOTA[[#This Row],[DISC 1]]&amp;NOTA[[#This Row],[DISC 2]])</f>
        <v>gelzhixinrefillg31232190000</v>
      </c>
      <c r="AN406" s="184">
        <f>IF(NOTA[[#This Row],[CONCAT1]]="","",MATCH(NOTA[[#This Row],[CONCAT1]],[1]!db[NB NOTA_C],0)+1)</f>
        <v>912</v>
      </c>
    </row>
    <row r="407" spans="1:40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Row],[CEK_EXP]]&lt;D406,"err","")</f>
        <v/>
      </c>
      <c r="D407" s="50">
        <f>IF(NOTA[[#This Row],[TANGGAL]]="",D406,NOTA[[#This Row],[TANGGAL]])</f>
        <v>44940</v>
      </c>
      <c r="E407" s="50">
        <f ca="1">IF(NOTA[[#This Row],[NAMA BARANG]]="","",INDEX(NOTA[ID],MATCH(,INDIRECT(ADDRESS(ROW(NOTA[ID]),COLUMN(NOTA[ID]))&amp;":"&amp;ADDRESS(ROW(),COLUMN(NOTA[ID]))),-1)))</f>
        <v>76</v>
      </c>
      <c r="F407" s="23"/>
      <c r="G407" s="26"/>
      <c r="H407" s="26"/>
      <c r="I407" s="31"/>
      <c r="J407" s="26"/>
      <c r="K407" s="51"/>
      <c r="L407" s="26"/>
      <c r="M407" s="26" t="s">
        <v>574</v>
      </c>
      <c r="N407" s="39">
        <v>1</v>
      </c>
      <c r="O407" s="26">
        <v>120</v>
      </c>
      <c r="P407" s="26" t="s">
        <v>90</v>
      </c>
      <c r="Q407" s="49">
        <v>18250</v>
      </c>
      <c r="R407" s="52"/>
      <c r="S407" s="39" t="s">
        <v>188</v>
      </c>
      <c r="T407" s="53"/>
      <c r="U407" s="53"/>
      <c r="V407" s="54"/>
      <c r="W407" s="37"/>
      <c r="X407" s="54">
        <f>IF(NOTA[[#This Row],[HARGA/ CTN]]="",NOTA[[#This Row],[JUMLAH_H]],NOTA[[#This Row],[HARGA/ CTN]]*IF(NOTA[[#This Row],[C]]="",0,NOTA[[#This Row],[C]]))</f>
        <v>2190000</v>
      </c>
      <c r="Y407" s="54">
        <f>IF(NOTA[[#This Row],[JUMLAH]]="","",NOTA[[#This Row],[JUMLAH]]*NOTA[[#This Row],[DISC 1]])</f>
        <v>0</v>
      </c>
      <c r="Z407" s="54">
        <f>IF(NOTA[[#This Row],[JUMLAH]]="","",(NOTA[[#This Row],[JUMLAH]]-NOTA[[#This Row],[DISC 1-]])*NOTA[[#This Row],[DISC 2]])</f>
        <v>0</v>
      </c>
      <c r="AA407" s="54">
        <f>IF(NOTA[[#This Row],[JUMLAH]]="","",NOTA[[#This Row],[DISC 1-]]+NOTA[[#This Row],[DISC 2-]])</f>
        <v>0</v>
      </c>
      <c r="AB407" s="54">
        <f>IF(NOTA[[#This Row],[JUMLAH]]="","",NOTA[[#This Row],[JUMLAH]]-NOTA[[#This Row],[DISC]])</f>
        <v>2190000</v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07" s="54">
        <f>IF(OR(NOTA[[#This Row],[QTY]]="",NOTA[[#This Row],[HARGA SATUAN]]="",),"",NOTA[[#This Row],[QTY]]*NOTA[[#This Row],[HARGA SATUAN]])</f>
        <v>2190000</v>
      </c>
      <c r="AG407" s="51">
        <f ca="1">IF(NOTA[ID_H]="","",INDEX(NOTA[TANGGAL],MATCH(,INDIRECT(ADDRESS(ROW(NOTA[TANGGAL]),COLUMN(NOTA[TANGGAL]))&amp;":"&amp;ADDRESS(ROW(),COLUMN(NOTA[TANGGAL]))),-1)))</f>
        <v>44940</v>
      </c>
      <c r="AH407" s="49" t="str">
        <f ca="1">IF(NOTA[[#This Row],[NAMA BARANG]]="","",INDEX(NOTA[SUPPLIER],MATCH(,INDIRECT(ADDRESS(ROW(NOTA[ID]),COLUMN(NOTA[ID]))&amp;":"&amp;ADDRESS(ROW(),COLUMN(NOTA[ID]))),-1)))</f>
        <v>DB STATIONERY</v>
      </c>
      <c r="AI407" s="49" t="str">
        <f ca="1">IF(NOTA[[#This Row],[ID_H]]="","",IF(NOTA[[#This Row],[FAKTUR]]="",INDIRECT(ADDRESS(ROW()-1,COLUMN())),NOTA[[#This Row],[FAKTUR]]))</f>
        <v>UNTANA</v>
      </c>
      <c r="AJ407" s="38" t="str">
        <f ca="1">IF(NOTA[[#This Row],[ID]]="","",COUNTIF(NOTA[ID_H],NOTA[[#This Row],[ID_H]]))</f>
        <v/>
      </c>
      <c r="AK407" s="38">
        <f ca="1">IF(NOTA[[#This Row],[TGL.NOTA]]="",IF(NOTA[[#This Row],[SUPPLIER_H]]="","",AK406),MONTH(NOTA[[#This Row],[TGL.NOTA]]))</f>
        <v>1</v>
      </c>
      <c r="AL407" s="38" t="str">
        <f>LOWER(SUBSTITUTE(SUBSTITUTE(SUBSTITUTE(SUBSTITUTE(SUBSTITUTE(SUBSTITUTE(SUBSTITUTE(SUBSTITUTE(SUBSTITUTE(NOTA[NAMA BARANG]," ",),".",""),"-",""),"(",""),")",""),",",""),"/",""),"""",""),"+",""))</f>
        <v>gelzhixinrefillg3121</v>
      </c>
      <c r="AM407" s="38" t="str">
        <f>IF(NOTA[C]="",NOTA[[#This Row],[CONCAT1]]&amp;NOTA[[#This Row],[HARGA SATUAN]],NOTA[[#This Row],[CONCAT1]]&amp;NOTA[[#This Row],[HARGA/ CTN_H]]&amp;NOTA[[#This Row],[DISC 1]]&amp;NOTA[[#This Row],[DISC 2]])</f>
        <v>gelzhixinrefillg31212190000</v>
      </c>
      <c r="AN407" s="184">
        <f>IF(NOTA[[#This Row],[CONCAT1]]="","",MATCH(NOTA[[#This Row],[CONCAT1]],[1]!db[NB NOTA_C],0)+1)</f>
        <v>856</v>
      </c>
    </row>
    <row r="408" spans="1:40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Row],[CEK_EXP]]&lt;D407,"err","")</f>
        <v/>
      </c>
      <c r="D408" s="50">
        <f>IF(NOTA[[#This Row],[TANGGAL]]="",D407,NOTA[[#This Row],[TANGGAL]])</f>
        <v>44940</v>
      </c>
      <c r="E408" s="50">
        <f ca="1">IF(NOTA[[#This Row],[NAMA BARANG]]="","",INDEX(NOTA[ID],MATCH(,INDIRECT(ADDRESS(ROW(NOTA[ID]),COLUMN(NOTA[ID]))&amp;":"&amp;ADDRESS(ROW(),COLUMN(NOTA[ID]))),-1)))</f>
        <v>76</v>
      </c>
      <c r="F408" s="23"/>
      <c r="G408" s="26"/>
      <c r="H408" s="26"/>
      <c r="I408" s="31"/>
      <c r="J408" s="26"/>
      <c r="K408" s="51"/>
      <c r="L408" s="26"/>
      <c r="M408" s="26" t="s">
        <v>575</v>
      </c>
      <c r="N408" s="39">
        <v>1</v>
      </c>
      <c r="O408" s="26">
        <v>120</v>
      </c>
      <c r="P408" s="26" t="s">
        <v>90</v>
      </c>
      <c r="Q408" s="49"/>
      <c r="R408" s="52"/>
      <c r="S408" s="39" t="s">
        <v>188</v>
      </c>
      <c r="T408" s="53"/>
      <c r="U408" s="53"/>
      <c r="V408" s="54"/>
      <c r="W408" s="37" t="s">
        <v>211</v>
      </c>
      <c r="X408" s="54" t="str">
        <f>IF(NOTA[[#This Row],[HARGA/ CTN]]="",NOTA[[#This Row],[JUMLAH_H]],NOTA[[#This Row],[HARGA/ CTN]]*IF(NOTA[[#This Row],[C]]="",0,NOTA[[#This Row],[C]]))</f>
        <v/>
      </c>
      <c r="Y408" s="54" t="str">
        <f>IF(NOTA[[#This Row],[JUMLAH]]="","",NOTA[[#This Row],[JUMLAH]]*NOTA[[#This Row],[DISC 1]])</f>
        <v/>
      </c>
      <c r="Z408" s="54" t="str">
        <f>IF(NOTA[[#This Row],[JUMLAH]]="","",(NOTA[[#This Row],[JUMLAH]]-NOTA[[#This Row],[DISC 1-]])*NOTA[[#This Row],[DISC 2]])</f>
        <v/>
      </c>
      <c r="AA408" s="54" t="str">
        <f>IF(NOTA[[#This Row],[JUMLAH]]="","",NOTA[[#This Row],[DISC 1-]]+NOTA[[#This Row],[DISC 2-]])</f>
        <v/>
      </c>
      <c r="AB408" s="54" t="str">
        <f>IF(NOTA[[#This Row],[JUMLAH]]="","",NOTA[[#This Row],[JUMLAH]]-NOTA[[#This Row],[DISC]])</f>
        <v/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E4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08" s="54" t="str">
        <f>IF(OR(NOTA[[#This Row],[QTY]]="",NOTA[[#This Row],[HARGA SATUAN]]="",),"",NOTA[[#This Row],[QTY]]*NOTA[[#This Row],[HARGA SATUAN]])</f>
        <v/>
      </c>
      <c r="AG408" s="51">
        <f ca="1">IF(NOTA[ID_H]="","",INDEX(NOTA[TANGGAL],MATCH(,INDIRECT(ADDRESS(ROW(NOTA[TANGGAL]),COLUMN(NOTA[TANGGAL]))&amp;":"&amp;ADDRESS(ROW(),COLUMN(NOTA[TANGGAL]))),-1)))</f>
        <v>44940</v>
      </c>
      <c r="AH408" s="49" t="str">
        <f ca="1">IF(NOTA[[#This Row],[NAMA BARANG]]="","",INDEX(NOTA[SUPPLIER],MATCH(,INDIRECT(ADDRESS(ROW(NOTA[ID]),COLUMN(NOTA[ID]))&amp;":"&amp;ADDRESS(ROW(),COLUMN(NOTA[ID]))),-1)))</f>
        <v>DB STATIONERY</v>
      </c>
      <c r="AI408" s="49" t="str">
        <f ca="1">IF(NOTA[[#This Row],[ID_H]]="","",IF(NOTA[[#This Row],[FAKTUR]]="",INDIRECT(ADDRESS(ROW()-1,COLUMN())),NOTA[[#This Row],[FAKTUR]]))</f>
        <v>UNTANA</v>
      </c>
      <c r="AJ408" s="38" t="str">
        <f ca="1">IF(NOTA[[#This Row],[ID]]="","",COUNTIF(NOTA[ID_H],NOTA[[#This Row],[ID_H]]))</f>
        <v/>
      </c>
      <c r="AK408" s="38">
        <f ca="1">IF(NOTA[[#This Row],[TGL.NOTA]]="",IF(NOTA[[#This Row],[SUPPLIER_H]]="","",AK407),MONTH(NOTA[[#This Row],[TGL.NOTA]]))</f>
        <v>1</v>
      </c>
      <c r="AL408" s="38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M408" s="38" t="str">
        <f>IF(NOTA[C]="",NOTA[[#This Row],[CONCAT1]]&amp;NOTA[[#This Row],[HARGA SATUAN]],NOTA[[#This Row],[CONCAT1]]&amp;NOTA[[#This Row],[HARGA/ CTN_H]]&amp;NOTA[[#This Row],[DISC 1]]&amp;NOTA[[#This Row],[DISC 2]])</f>
        <v>gelzhixinrefillg31190</v>
      </c>
      <c r="AN408" s="184">
        <f>IF(NOTA[[#This Row],[CONCAT1]]="","",MATCH(NOTA[[#This Row],[CONCAT1]],[1]!db[NB NOTA_C],0)+1)</f>
        <v>909</v>
      </c>
    </row>
    <row r="409" spans="1:40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Row],[CEK_EXP]]&lt;D408,"err","")</f>
        <v/>
      </c>
      <c r="D409" s="50">
        <f>IF(NOTA[[#This Row],[TANGGAL]]="",D408,NOTA[[#This Row],[TANGGAL]])</f>
        <v>44940</v>
      </c>
      <c r="E409" s="50" t="str">
        <f ca="1">IF(NOTA[[#This Row],[NAMA BARANG]]="","",INDEX(NOTA[ID],MATCH(,INDIRECT(ADDRESS(ROW(NOTA[ID]),COLUMN(NOTA[ID]))&amp;":"&amp;ADDRESS(ROW(),COLUMN(NOTA[ID]))),-1)))</f>
        <v/>
      </c>
      <c r="F409" s="23"/>
      <c r="G409" s="26"/>
      <c r="H409" s="26"/>
      <c r="I409" s="31"/>
      <c r="J409" s="26"/>
      <c r="K409" s="51"/>
      <c r="L409" s="26"/>
      <c r="M409" s="26"/>
      <c r="N409" s="39"/>
      <c r="O409" s="26"/>
      <c r="P409" s="26"/>
      <c r="Q409" s="49"/>
      <c r="R409" s="52"/>
      <c r="S409" s="39"/>
      <c r="T409" s="53"/>
      <c r="U409" s="53"/>
      <c r="V409" s="54"/>
      <c r="W409" s="37"/>
      <c r="X409" s="54" t="str">
        <f>IF(NOTA[[#This Row],[HARGA/ CTN]]="",NOTA[[#This Row],[JUMLAH_H]],NOTA[[#This Row],[HARGA/ CTN]]*IF(NOTA[[#This Row],[C]]="",0,NOTA[[#This Row],[C]]))</f>
        <v/>
      </c>
      <c r="Y409" s="54" t="str">
        <f>IF(NOTA[[#This Row],[JUMLAH]]="","",NOTA[[#This Row],[JUMLAH]]*NOTA[[#This Row],[DISC 1]])</f>
        <v/>
      </c>
      <c r="Z409" s="54" t="str">
        <f>IF(NOTA[[#This Row],[JUMLAH]]="","",(NOTA[[#This Row],[JUMLAH]]-NOTA[[#This Row],[DISC 1-]])*NOTA[[#This Row],[DISC 2]])</f>
        <v/>
      </c>
      <c r="AA409" s="54" t="str">
        <f>IF(NOTA[[#This Row],[JUMLAH]]="","",NOTA[[#This Row],[DISC 1-]]+NOTA[[#This Row],[DISC 2-]])</f>
        <v/>
      </c>
      <c r="AB409" s="54" t="str">
        <f>IF(NOTA[[#This Row],[JUMLAH]]="","",NOTA[[#This Row],[JUMLAH]]-NOTA[[#This Row],[DISC]])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4" t="str">
        <f>IF(OR(NOTA[[#This Row],[QTY]]="",NOTA[[#This Row],[HARGA SATUAN]]="",),"",NOTA[[#This Row],[QTY]]*NOTA[[#This Row],[HARGA SATUAN]])</f>
        <v/>
      </c>
      <c r="AG409" s="51" t="str">
        <f ca="1">IF(NOTA[ID_H]="","",INDEX(NOTA[TANGGAL],MATCH(,INDIRECT(ADDRESS(ROW(NOTA[TANGGAL]),COLUMN(NOTA[TANGGAL]))&amp;":"&amp;ADDRESS(ROW(),COLUMN(NOTA[TANGGAL]))),-1)))</f>
        <v/>
      </c>
      <c r="AH409" s="49" t="str">
        <f ca="1">IF(NOTA[[#This Row],[NAMA BARANG]]="","",INDEX(NOTA[SUPPLIER],MATCH(,INDIRECT(ADDRESS(ROW(NOTA[ID]),COLUMN(NOTA[ID]))&amp;":"&amp;ADDRESS(ROW(),COLUMN(NOTA[ID]))),-1)))</f>
        <v/>
      </c>
      <c r="AI409" s="49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Row],[SUPPLIER_H]]="","",#REF!),MONTH(NOTA[[#This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IF(NOTA[C]="",NOTA[[#This Row],[CONCAT1]]&amp;NOTA[[#This Row],[HARGA SATUAN]],NOTA[[#This Row],[CONCAT1]]&amp;NOTA[[#This Row],[HARGA/ CTN_H]]&amp;NOTA[[#This Row],[DISC 1]]&amp;NOTA[[#This Row],[DISC 2]])</f>
        <v/>
      </c>
      <c r="AN409" s="184" t="str">
        <f>IF(NOTA[[#This Row],[CONCAT1]]="","",MATCH(NOTA[[#This Row],[CONCAT1]],[1]!db[NB NOTA_C],0)+1)</f>
        <v/>
      </c>
    </row>
    <row r="410" spans="1:40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DBS_1401_323-17</v>
      </c>
      <c r="C410" s="50" t="str">
        <f>IF(NOTA[[#This Row],[CEK_EXP]]&lt;D409,"err","")</f>
        <v/>
      </c>
      <c r="D410" s="50">
        <f>IF(NOTA[[#This Row],[TANGGAL]]="",D409,NOTA[[#This Row],[TANGGAL]])</f>
        <v>44940</v>
      </c>
      <c r="E410" s="50">
        <f ca="1">IF(NOTA[[#This Row],[NAMA BARANG]]="","",INDEX(NOTA[ID],MATCH(,INDIRECT(ADDRESS(ROW(NOTA[ID]),COLUMN(NOTA[ID]))&amp;":"&amp;ADDRESS(ROW(),COLUMN(NOTA[ID]))),-1)))</f>
        <v>77</v>
      </c>
      <c r="F410" s="23"/>
      <c r="G410" s="26" t="s">
        <v>220</v>
      </c>
      <c r="H410" s="26" t="s">
        <v>87</v>
      </c>
      <c r="I410" s="31" t="s">
        <v>576</v>
      </c>
      <c r="J410" s="26"/>
      <c r="K410" s="51">
        <v>44938</v>
      </c>
      <c r="L410" s="26"/>
      <c r="M410" s="26" t="s">
        <v>307</v>
      </c>
      <c r="N410" s="39">
        <v>3</v>
      </c>
      <c r="O410" s="26">
        <v>540</v>
      </c>
      <c r="P410" s="26" t="s">
        <v>104</v>
      </c>
      <c r="Q410" s="49">
        <v>11000</v>
      </c>
      <c r="R410" s="52"/>
      <c r="S410" s="39" t="s">
        <v>305</v>
      </c>
      <c r="T410" s="53">
        <v>2.5000000000000001E-2</v>
      </c>
      <c r="U410" s="53"/>
      <c r="V410" s="54"/>
      <c r="W410" s="37"/>
      <c r="X410" s="54">
        <f>IF(NOTA[[#This Row],[HARGA/ CTN]]="",NOTA[[#This Row],[JUMLAH_H]],NOTA[[#This Row],[HARGA/ CTN]]*IF(NOTA[[#This Row],[C]]="",0,NOTA[[#This Row],[C]]))</f>
        <v>5940000</v>
      </c>
      <c r="Y410" s="54">
        <f>IF(NOTA[[#This Row],[JUMLAH]]="","",NOTA[[#This Row],[JUMLAH]]*NOTA[[#This Row],[DISC 1]])</f>
        <v>148500</v>
      </c>
      <c r="Z410" s="54">
        <f>IF(NOTA[[#This Row],[JUMLAH]]="","",(NOTA[[#This Row],[JUMLAH]]-NOTA[[#This Row],[DISC 1-]])*NOTA[[#This Row],[DISC 2]])</f>
        <v>0</v>
      </c>
      <c r="AA410" s="54">
        <f>IF(NOTA[[#This Row],[JUMLAH]]="","",NOTA[[#This Row],[DISC 1-]]+NOTA[[#This Row],[DISC 2-]])</f>
        <v>148500</v>
      </c>
      <c r="AB410" s="54">
        <f>IF(NOTA[[#This Row],[JUMLAH]]="","",NOTA[[#This Row],[JUMLAH]]-NOTA[[#This Row],[DISC]])</f>
        <v>5791500</v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410" s="54">
        <f>IF(OR(NOTA[[#This Row],[QTY]]="",NOTA[[#This Row],[HARGA SATUAN]]="",),"",NOTA[[#This Row],[QTY]]*NOTA[[#This Row],[HARGA SATUAN]])</f>
        <v>5940000</v>
      </c>
      <c r="AG410" s="51">
        <f ca="1">IF(NOTA[ID_H]="","",INDEX(NOTA[TANGGAL],MATCH(,INDIRECT(ADDRESS(ROW(NOTA[TANGGAL]),COLUMN(NOTA[TANGGAL]))&amp;":"&amp;ADDRESS(ROW(),COLUMN(NOTA[TANGGAL]))),-1)))</f>
        <v>44940</v>
      </c>
      <c r="AH410" s="49" t="str">
        <f ca="1">IF(NOTA[[#This Row],[NAMA BARANG]]="","",INDEX(NOTA[SUPPLIER],MATCH(,INDIRECT(ADDRESS(ROW(NOTA[ID]),COLUMN(NOTA[ID]))&amp;":"&amp;ADDRESS(ROW(),COLUMN(NOTA[ID]))),-1)))</f>
        <v>DB STATIONERY</v>
      </c>
      <c r="AI410" s="49" t="str">
        <f ca="1">IF(NOTA[[#This Row],[ID_H]]="","",IF(NOTA[[#This Row],[FAKTUR]]="",INDIRECT(ADDRESS(ROW()-1,COLUMN())),NOTA[[#This Row],[FAKTUR]]))</f>
        <v>UNTANA</v>
      </c>
      <c r="AJ410" s="38">
        <f ca="1">IF(NOTA[[#This Row],[ID]]="","",COUNTIF(NOTA[ID_H],NOTA[[#This Row],[ID_H]]))</f>
        <v>17</v>
      </c>
      <c r="AK410" s="38">
        <f>IF(NOTA[[#This Row],[TGL.NOTA]]="",IF(NOTA[[#This Row],[SUPPLIER_H]]="","",AK409),MONTH(NOTA[[#This Row],[TGL.NOTA]]))</f>
        <v>1</v>
      </c>
      <c r="AL410" s="38" t="str">
        <f>LOWER(SUBSTITUTE(SUBSTITUTE(SUBSTITUTE(SUBSTITUTE(SUBSTITUTE(SUBSTITUTE(SUBSTITUTE(SUBSTITUTE(SUBSTITUTE(NOTA[NAMA BARANG]," ",),".",""),"-",""),"(",""),")",""),",",""),"/",""),"""",""),"+",""))</f>
        <v>tpensilbdxlgbd18026</v>
      </c>
      <c r="AM410" s="38" t="str">
        <f>IF(NOTA[C]="",NOTA[[#This Row],[CONCAT1]]&amp;NOTA[[#This Row],[HARGA SATUAN]],NOTA[[#This Row],[CONCAT1]]&amp;NOTA[[#This Row],[HARGA/ CTN_H]]&amp;NOTA[[#This Row],[DISC 1]]&amp;NOTA[[#This Row],[DISC 2]])</f>
        <v>tpensilbdxlgbd1802619800000.025</v>
      </c>
      <c r="AN410" s="184">
        <f>IF(NOTA[[#This Row],[CONCAT1]]="","",MATCH(NOTA[[#This Row],[CONCAT1]],[1]!db[NB NOTA_C],0)+1)</f>
        <v>2008</v>
      </c>
    </row>
    <row r="411" spans="1:40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Row],[CEK_EXP]]&lt;D410,"err","")</f>
        <v/>
      </c>
      <c r="D411" s="50">
        <f>IF(NOTA[[#This Row],[TANGGAL]]="",D410,NOTA[[#This Row],[TANGGAL]])</f>
        <v>44940</v>
      </c>
      <c r="E411" s="50">
        <f ca="1">IF(NOTA[[#This Row],[NAMA BARANG]]="","",INDEX(NOTA[ID],MATCH(,INDIRECT(ADDRESS(ROW(NOTA[ID]),COLUMN(NOTA[ID]))&amp;":"&amp;ADDRESS(ROW(),COLUMN(NOTA[ID]))),-1)))</f>
        <v>77</v>
      </c>
      <c r="F411" s="23"/>
      <c r="G411" s="26"/>
      <c r="H411" s="26"/>
      <c r="I411" s="31"/>
      <c r="J411" s="26"/>
      <c r="K411" s="51"/>
      <c r="L411" s="26"/>
      <c r="M411" s="26" t="s">
        <v>577</v>
      </c>
      <c r="N411" s="39">
        <v>2</v>
      </c>
      <c r="O411" s="26">
        <v>192</v>
      </c>
      <c r="P411" s="26" t="s">
        <v>90</v>
      </c>
      <c r="Q411" s="49">
        <v>29000</v>
      </c>
      <c r="R411" s="52"/>
      <c r="S411" s="39" t="s">
        <v>223</v>
      </c>
      <c r="T411" s="53"/>
      <c r="U411" s="53"/>
      <c r="V411" s="54"/>
      <c r="W411" s="37"/>
      <c r="X411" s="54">
        <f>IF(NOTA[[#This Row],[HARGA/ CTN]]="",NOTA[[#This Row],[JUMLAH_H]],NOTA[[#This Row],[HARGA/ CTN]]*IF(NOTA[[#This Row],[C]]="",0,NOTA[[#This Row],[C]]))</f>
        <v>5568000</v>
      </c>
      <c r="Y411" s="54">
        <f>IF(NOTA[[#This Row],[JUMLAH]]="","",NOTA[[#This Row],[JUMLAH]]*NOTA[[#This Row],[DISC 1]])</f>
        <v>0</v>
      </c>
      <c r="Z411" s="54">
        <f>IF(NOTA[[#This Row],[JUMLAH]]="","",(NOTA[[#This Row],[JUMLAH]]-NOTA[[#This Row],[DISC 1-]])*NOTA[[#This Row],[DISC 2]])</f>
        <v>0</v>
      </c>
      <c r="AA411" s="54">
        <f>IF(NOTA[[#This Row],[JUMLAH]]="","",NOTA[[#This Row],[DISC 1-]]+NOTA[[#This Row],[DISC 2-]])</f>
        <v>0</v>
      </c>
      <c r="AB411" s="54">
        <f>IF(NOTA[[#This Row],[JUMLAH]]="","",NOTA[[#This Row],[JUMLAH]]-NOTA[[#This Row],[DISC]])</f>
        <v>5568000</v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1" s="54">
        <f>IF(OR(NOTA[[#This Row],[QTY]]="",NOTA[[#This Row],[HARGA SATUAN]]="",),"",NOTA[[#This Row],[QTY]]*NOTA[[#This Row],[HARGA SATUAN]])</f>
        <v>5568000</v>
      </c>
      <c r="AG411" s="51">
        <f ca="1">IF(NOTA[ID_H]="","",INDEX(NOTA[TANGGAL],MATCH(,INDIRECT(ADDRESS(ROW(NOTA[TANGGAL]),COLUMN(NOTA[TANGGAL]))&amp;":"&amp;ADDRESS(ROW(),COLUMN(NOTA[TANGGAL]))),-1)))</f>
        <v>44940</v>
      </c>
      <c r="AH411" s="49" t="str">
        <f ca="1">IF(NOTA[[#This Row],[NAMA BARANG]]="","",INDEX(NOTA[SUPPLIER],MATCH(,INDIRECT(ADDRESS(ROW(NOTA[ID]),COLUMN(NOTA[ID]))&amp;":"&amp;ADDRESS(ROW(),COLUMN(NOTA[ID]))),-1)))</f>
        <v>DB STATIONERY</v>
      </c>
      <c r="AI411" s="49" t="str">
        <f ca="1">IF(NOTA[[#This Row],[ID_H]]="","",IF(NOTA[[#This Row],[FAKTUR]]="",INDIRECT(ADDRESS(ROW()-1,COLUMN())),NOTA[[#This Row],[FAKTUR]]))</f>
        <v>UNTANA</v>
      </c>
      <c r="AJ411" s="38" t="str">
        <f ca="1">IF(NOTA[[#This Row],[ID]]="","",COUNTIF(NOTA[ID_H],NOTA[[#This Row],[ID_H]]))</f>
        <v/>
      </c>
      <c r="AK411" s="38">
        <f ca="1">IF(NOTA[[#This Row],[TGL.NOTA]]="",IF(NOTA[[#This Row],[SUPPLIER_H]]="","",AK410),MONTH(NOTA[[#This Row],[TGL.NOTA]]))</f>
        <v>1</v>
      </c>
      <c r="AL411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M411" s="38" t="str">
        <f>IF(NOTA[C]="",NOTA[[#This Row],[CONCAT1]]&amp;NOTA[[#This Row],[HARGA SATUAN]],NOTA[[#This Row],[CONCAT1]]&amp;NOTA[[#This Row],[HARGA/ CTN_H]]&amp;NOTA[[#This Row],[DISC 1]]&amp;NOTA[[#This Row],[DISC 2]])</f>
        <v>mekpensil20tizotm030a12784000</v>
      </c>
      <c r="AN411" s="184">
        <f>IF(NOTA[[#This Row],[CONCAT1]]="","",MATCH(NOTA[[#This Row],[CONCAT1]],[1]!db[NB NOTA_C],0)+1)</f>
        <v>1509</v>
      </c>
    </row>
    <row r="412" spans="1:40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Row],[CEK_EXP]]&lt;D411,"err","")</f>
        <v/>
      </c>
      <c r="D412" s="50">
        <f>IF(NOTA[[#This Row],[TANGGAL]]="",D411,NOTA[[#This Row],[TANGGAL]])</f>
        <v>44940</v>
      </c>
      <c r="E412" s="50">
        <f ca="1">IF(NOTA[[#This Row],[NAMA BARANG]]="","",INDEX(NOTA[ID],MATCH(,INDIRECT(ADDRESS(ROW(NOTA[ID]),COLUMN(NOTA[ID]))&amp;":"&amp;ADDRESS(ROW(),COLUMN(NOTA[ID]))),-1)))</f>
        <v>77</v>
      </c>
      <c r="F412" s="23"/>
      <c r="G412" s="26"/>
      <c r="H412" s="26"/>
      <c r="I412" s="31"/>
      <c r="J412" s="26"/>
      <c r="K412" s="51"/>
      <c r="L412" s="26"/>
      <c r="M412" s="26" t="s">
        <v>578</v>
      </c>
      <c r="N412" s="39">
        <v>2</v>
      </c>
      <c r="O412" s="26">
        <v>192</v>
      </c>
      <c r="P412" s="26" t="s">
        <v>90</v>
      </c>
      <c r="Q412" s="49">
        <v>29000</v>
      </c>
      <c r="R412" s="52"/>
      <c r="S412" s="39" t="s">
        <v>223</v>
      </c>
      <c r="T412" s="53"/>
      <c r="U412" s="53"/>
      <c r="V412" s="54"/>
      <c r="W412" s="37"/>
      <c r="X412" s="54">
        <f>IF(NOTA[[#This Row],[HARGA/ CTN]]="",NOTA[[#This Row],[JUMLAH_H]],NOTA[[#This Row],[HARGA/ CTN]]*IF(NOTA[[#This Row],[C]]="",0,NOTA[[#This Row],[C]]))</f>
        <v>5568000</v>
      </c>
      <c r="Y412" s="54">
        <f>IF(NOTA[[#This Row],[JUMLAH]]="","",NOTA[[#This Row],[JUMLAH]]*NOTA[[#This Row],[DISC 1]])</f>
        <v>0</v>
      </c>
      <c r="Z412" s="54">
        <f>IF(NOTA[[#This Row],[JUMLAH]]="","",(NOTA[[#This Row],[JUMLAH]]-NOTA[[#This Row],[DISC 1-]])*NOTA[[#This Row],[DISC 2]])</f>
        <v>0</v>
      </c>
      <c r="AA412" s="54">
        <f>IF(NOTA[[#This Row],[JUMLAH]]="","",NOTA[[#This Row],[DISC 1-]]+NOTA[[#This Row],[DISC 2-]])</f>
        <v>0</v>
      </c>
      <c r="AB412" s="54">
        <f>IF(NOTA[[#This Row],[JUMLAH]]="","",NOTA[[#This Row],[JUMLAH]]-NOTA[[#This Row],[DISC]])</f>
        <v>5568000</v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2" s="54">
        <f>IF(OR(NOTA[[#This Row],[QTY]]="",NOTA[[#This Row],[HARGA SATUAN]]="",),"",NOTA[[#This Row],[QTY]]*NOTA[[#This Row],[HARGA SATUAN]])</f>
        <v>5568000</v>
      </c>
      <c r="AG412" s="51">
        <f ca="1">IF(NOTA[ID_H]="","",INDEX(NOTA[TANGGAL],MATCH(,INDIRECT(ADDRESS(ROW(NOTA[TANGGAL]),COLUMN(NOTA[TANGGAL]))&amp;":"&amp;ADDRESS(ROW(),COLUMN(NOTA[TANGGAL]))),-1)))</f>
        <v>44940</v>
      </c>
      <c r="AH412" s="49" t="str">
        <f ca="1">IF(NOTA[[#This Row],[NAMA BARANG]]="","",INDEX(NOTA[SUPPLIER],MATCH(,INDIRECT(ADDRESS(ROW(NOTA[ID]),COLUMN(NOTA[ID]))&amp;":"&amp;ADDRESS(ROW(),COLUMN(NOTA[ID]))),-1)))</f>
        <v>DB STATIONERY</v>
      </c>
      <c r="AI412" s="49" t="str">
        <f ca="1">IF(NOTA[[#This Row],[ID_H]]="","",IF(NOTA[[#This Row],[FAKTUR]]="",INDIRECT(ADDRESS(ROW()-1,COLUMN())),NOTA[[#This Row],[FAKTUR]]))</f>
        <v>UNTANA</v>
      </c>
      <c r="AJ412" s="38" t="str">
        <f ca="1">IF(NOTA[[#This Row],[ID]]="","",COUNTIF(NOTA[ID_H],NOTA[[#This Row],[ID_H]]))</f>
        <v/>
      </c>
      <c r="AK412" s="38">
        <f ca="1">IF(NOTA[[#This Row],[TGL.NOTA]]="",IF(NOTA[[#This Row],[SUPPLIER_H]]="","",AK411),MONTH(NOTA[[#This Row],[TGL.NOTA]]))</f>
        <v>1</v>
      </c>
      <c r="AL412" s="3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412" s="38" t="str">
        <f>IF(NOTA[C]="",NOTA[[#This Row],[CONCAT1]]&amp;NOTA[[#This Row],[HARGA SATUAN]],NOTA[[#This Row],[CONCAT1]]&amp;NOTA[[#This Row],[HARGA/ CTN_H]]&amp;NOTA[[#This Row],[DISC 1]]&amp;NOTA[[#This Row],[DISC 2]])</f>
        <v>mekaniktizo20tm030e2784000</v>
      </c>
      <c r="AN412" s="184">
        <f>IF(NOTA[[#This Row],[CONCAT1]]="","",MATCH(NOTA[[#This Row],[CONCAT1]],[1]!db[NB NOTA_C],0)+1)</f>
        <v>1528</v>
      </c>
    </row>
    <row r="413" spans="1:40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Row],[CEK_EXP]]&lt;D412,"err","")</f>
        <v/>
      </c>
      <c r="D413" s="50">
        <f>IF(NOTA[[#This Row],[TANGGAL]]="",D412,NOTA[[#This Row],[TANGGAL]])</f>
        <v>44940</v>
      </c>
      <c r="E413" s="50">
        <f ca="1">IF(NOTA[[#This Row],[NAMA BARANG]]="","",INDEX(NOTA[ID],MATCH(,INDIRECT(ADDRESS(ROW(NOTA[ID]),COLUMN(NOTA[ID]))&amp;":"&amp;ADDRESS(ROW(),COLUMN(NOTA[ID]))),-1)))</f>
        <v>77</v>
      </c>
      <c r="F413" s="23"/>
      <c r="G413" s="26"/>
      <c r="H413" s="26"/>
      <c r="I413" s="31"/>
      <c r="J413" s="26"/>
      <c r="K413" s="51"/>
      <c r="L413" s="26"/>
      <c r="M413" s="26" t="s">
        <v>579</v>
      </c>
      <c r="N413" s="39">
        <v>2</v>
      </c>
      <c r="O413" s="26">
        <v>192</v>
      </c>
      <c r="P413" s="26" t="s">
        <v>90</v>
      </c>
      <c r="Q413" s="49">
        <v>29000</v>
      </c>
      <c r="R413" s="52"/>
      <c r="S413" s="39" t="s">
        <v>223</v>
      </c>
      <c r="T413" s="53"/>
      <c r="U413" s="53"/>
      <c r="V413" s="54"/>
      <c r="W413" s="37"/>
      <c r="X413" s="54">
        <f>IF(NOTA[[#This Row],[HARGA/ CTN]]="",NOTA[[#This Row],[JUMLAH_H]],NOTA[[#This Row],[HARGA/ CTN]]*IF(NOTA[[#This Row],[C]]="",0,NOTA[[#This Row],[C]]))</f>
        <v>5568000</v>
      </c>
      <c r="Y413" s="54">
        <f>IF(NOTA[[#This Row],[JUMLAH]]="","",NOTA[[#This Row],[JUMLAH]]*NOTA[[#This Row],[DISC 1]])</f>
        <v>0</v>
      </c>
      <c r="Z413" s="54">
        <f>IF(NOTA[[#This Row],[JUMLAH]]="","",(NOTA[[#This Row],[JUMLAH]]-NOTA[[#This Row],[DISC 1-]])*NOTA[[#This Row],[DISC 2]])</f>
        <v>0</v>
      </c>
      <c r="AA413" s="54">
        <f>IF(NOTA[[#This Row],[JUMLAH]]="","",NOTA[[#This Row],[DISC 1-]]+NOTA[[#This Row],[DISC 2-]])</f>
        <v>0</v>
      </c>
      <c r="AB413" s="54">
        <f>IF(NOTA[[#This Row],[JUMLAH]]="","",NOTA[[#This Row],[JUMLAH]]-NOTA[[#This Row],[DISC]])</f>
        <v>5568000</v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3" s="54">
        <f>IF(OR(NOTA[[#This Row],[QTY]]="",NOTA[[#This Row],[HARGA SATUAN]]="",),"",NOTA[[#This Row],[QTY]]*NOTA[[#This Row],[HARGA SATUAN]])</f>
        <v>5568000</v>
      </c>
      <c r="AG413" s="51">
        <f ca="1">IF(NOTA[ID_H]="","",INDEX(NOTA[TANGGAL],MATCH(,INDIRECT(ADDRESS(ROW(NOTA[TANGGAL]),COLUMN(NOTA[TANGGAL]))&amp;":"&amp;ADDRESS(ROW(),COLUMN(NOTA[TANGGAL]))),-1)))</f>
        <v>44940</v>
      </c>
      <c r="AH413" s="49" t="str">
        <f ca="1">IF(NOTA[[#This Row],[NAMA BARANG]]="","",INDEX(NOTA[SUPPLIER],MATCH(,INDIRECT(ADDRESS(ROW(NOTA[ID]),COLUMN(NOTA[ID]))&amp;":"&amp;ADDRESS(ROW(),COLUMN(NOTA[ID]))),-1)))</f>
        <v>DB STATIONERY</v>
      </c>
      <c r="AI413" s="49" t="str">
        <f ca="1">IF(NOTA[[#This Row],[ID_H]]="","",IF(NOTA[[#This Row],[FAKTUR]]="",INDIRECT(ADDRESS(ROW()-1,COLUMN())),NOTA[[#This Row],[FAKTUR]]))</f>
        <v>UNTANA</v>
      </c>
      <c r="AJ413" s="38" t="str">
        <f ca="1">IF(NOTA[[#This Row],[ID]]="","",COUNTIF(NOTA[ID_H],NOTA[[#This Row],[ID_H]]))</f>
        <v/>
      </c>
      <c r="AK413" s="38">
        <f ca="1">IF(NOTA[[#This Row],[TGL.NOTA]]="",IF(NOTA[[#This Row],[SUPPLIER_H]]="","",AK412),MONTH(NOTA[[#This Row],[TGL.NOTA]]))</f>
        <v>1</v>
      </c>
      <c r="AL413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M413" s="38" t="str">
        <f>IF(NOTA[C]="",NOTA[[#This Row],[CONCAT1]]&amp;NOTA[[#This Row],[HARGA SATUAN]],NOTA[[#This Row],[CONCAT1]]&amp;NOTA[[#This Row],[HARGA/ CTN_H]]&amp;NOTA[[#This Row],[DISC 1]]&amp;NOTA[[#This Row],[DISC 2]])</f>
        <v>mekpensil20tm18002784000</v>
      </c>
      <c r="AN413" s="184">
        <f>IF(NOTA[[#This Row],[CONCAT1]]="","",MATCH(NOTA[[#This Row],[CONCAT1]],[1]!db[NB NOTA_C],0)+1)</f>
        <v>1503</v>
      </c>
    </row>
    <row r="414" spans="1:40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Row],[CEK_EXP]]&lt;D413,"err","")</f>
        <v/>
      </c>
      <c r="D414" s="50">
        <f>IF(NOTA[[#This Row],[TANGGAL]]="",D413,NOTA[[#This Row],[TANGGAL]])</f>
        <v>44940</v>
      </c>
      <c r="E414" s="50">
        <f ca="1">IF(NOTA[[#This Row],[NAMA BARANG]]="","",INDEX(NOTA[ID],MATCH(,INDIRECT(ADDRESS(ROW(NOTA[ID]),COLUMN(NOTA[ID]))&amp;":"&amp;ADDRESS(ROW(),COLUMN(NOTA[ID]))),-1)))</f>
        <v>77</v>
      </c>
      <c r="F414" s="23"/>
      <c r="G414" s="26"/>
      <c r="H414" s="26"/>
      <c r="I414" s="31"/>
      <c r="J414" s="26"/>
      <c r="K414" s="51"/>
      <c r="L414" s="26"/>
      <c r="M414" s="26" t="s">
        <v>580</v>
      </c>
      <c r="N414" s="39">
        <v>1</v>
      </c>
      <c r="O414" s="26">
        <v>96</v>
      </c>
      <c r="P414" s="26" t="s">
        <v>90</v>
      </c>
      <c r="Q414" s="49">
        <v>29000</v>
      </c>
      <c r="R414" s="52"/>
      <c r="S414" s="39" t="s">
        <v>223</v>
      </c>
      <c r="T414" s="53"/>
      <c r="U414" s="53"/>
      <c r="V414" s="54"/>
      <c r="W414" s="37"/>
      <c r="X414" s="54">
        <f>IF(NOTA[[#This Row],[HARGA/ CTN]]="",NOTA[[#This Row],[JUMLAH_H]],NOTA[[#This Row],[HARGA/ CTN]]*IF(NOTA[[#This Row],[C]]="",0,NOTA[[#This Row],[C]]))</f>
        <v>2784000</v>
      </c>
      <c r="Y414" s="54">
        <f>IF(NOTA[[#This Row],[JUMLAH]]="","",NOTA[[#This Row],[JUMLAH]]*NOTA[[#This Row],[DISC 1]])</f>
        <v>0</v>
      </c>
      <c r="Z414" s="54">
        <f>IF(NOTA[[#This Row],[JUMLAH]]="","",(NOTA[[#This Row],[JUMLAH]]-NOTA[[#This Row],[DISC 1-]])*NOTA[[#This Row],[DISC 2]])</f>
        <v>0</v>
      </c>
      <c r="AA414" s="54">
        <f>IF(NOTA[[#This Row],[JUMLAH]]="","",NOTA[[#This Row],[DISC 1-]]+NOTA[[#This Row],[DISC 2-]])</f>
        <v>0</v>
      </c>
      <c r="AB414" s="54">
        <f>IF(NOTA[[#This Row],[JUMLAH]]="","",NOTA[[#This Row],[JUMLAH]]-NOTA[[#This Row],[DISC]])</f>
        <v>2784000</v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4" s="91">
        <f>IF(OR(NOTA[[#This Row],[QTY]]="",NOTA[[#This Row],[HARGA SATUAN]]="",),"",NOTA[[#This Row],[QTY]]*NOTA[[#This Row],[HARGA SATUAN]])</f>
        <v>2784000</v>
      </c>
      <c r="AG414" s="51">
        <f ca="1">IF(NOTA[ID_H]="","",INDEX(NOTA[TANGGAL],MATCH(,INDIRECT(ADDRESS(ROW(NOTA[TANGGAL]),COLUMN(NOTA[TANGGAL]))&amp;":"&amp;ADDRESS(ROW(),COLUMN(NOTA[TANGGAL]))),-1)))</f>
        <v>44940</v>
      </c>
      <c r="AH414" s="49" t="str">
        <f ca="1">IF(NOTA[[#This Row],[NAMA BARANG]]="","",INDEX(NOTA[SUPPLIER],MATCH(,INDIRECT(ADDRESS(ROW(NOTA[ID]),COLUMN(NOTA[ID]))&amp;":"&amp;ADDRESS(ROW(),COLUMN(NOTA[ID]))),-1)))</f>
        <v>DB STATIONERY</v>
      </c>
      <c r="AI414" s="49" t="str">
        <f ca="1">IF(NOTA[[#This Row],[ID_H]]="","",IF(NOTA[[#This Row],[FAKTUR]]="",INDIRECT(ADDRESS(ROW()-1,COLUMN())),NOTA[[#This Row],[FAKTUR]]))</f>
        <v>UNTANA</v>
      </c>
      <c r="AJ414" s="92" t="str">
        <f ca="1">IF(NOTA[[#This Row],[ID]]="","",COUNTIF(NOTA[ID_H],NOTA[[#This Row],[ID_H]]))</f>
        <v/>
      </c>
      <c r="AK414" s="38">
        <f ca="1">IF(NOTA[[#This Row],[TGL.NOTA]]="",IF(NOTA[[#This Row],[SUPPLIER_H]]="","",AK413),MONTH(NOTA[[#This Row],[TGL.NOTA]]))</f>
        <v>1</v>
      </c>
      <c r="AL414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M414" s="38" t="str">
        <f>IF(NOTA[C]="",NOTA[[#This Row],[CONCAT1]]&amp;NOTA[[#This Row],[HARGA SATUAN]],NOTA[[#This Row],[CONCAT1]]&amp;NOTA[[#This Row],[HARGA/ CTN_H]]&amp;NOTA[[#This Row],[DISC 1]]&amp;NOTA[[#This Row],[DISC 2]])</f>
        <v>mektizo20tm030c2784000</v>
      </c>
      <c r="AN414" s="184">
        <f>IF(NOTA[[#This Row],[CONCAT1]]="","",MATCH(NOTA[[#This Row],[CONCAT1]],[1]!db[NB NOTA_C],0)+1)</f>
        <v>1525</v>
      </c>
    </row>
    <row r="415" spans="1:40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Row],[CEK_EXP]]&lt;D414,"err","")</f>
        <v/>
      </c>
      <c r="D415" s="50">
        <f>IF(NOTA[[#This Row],[TANGGAL]]="",D414,NOTA[[#This Row],[TANGGAL]])</f>
        <v>44940</v>
      </c>
      <c r="E415" s="50">
        <f ca="1">IF(NOTA[[#This Row],[NAMA BARANG]]="","",INDEX(NOTA[ID],MATCH(,INDIRECT(ADDRESS(ROW(NOTA[ID]),COLUMN(NOTA[ID]))&amp;":"&amp;ADDRESS(ROW(),COLUMN(NOTA[ID]))),-1)))</f>
        <v>77</v>
      </c>
      <c r="F415" s="23"/>
      <c r="G415" s="26"/>
      <c r="H415" s="26"/>
      <c r="I415" s="31"/>
      <c r="J415" s="26"/>
      <c r="K415" s="51"/>
      <c r="L415" s="26"/>
      <c r="M415" s="26" t="s">
        <v>581</v>
      </c>
      <c r="N415" s="39">
        <v>1</v>
      </c>
      <c r="O415" s="26">
        <v>96</v>
      </c>
      <c r="P415" s="26" t="s">
        <v>90</v>
      </c>
      <c r="Q415" s="49">
        <v>29000</v>
      </c>
      <c r="R415" s="52"/>
      <c r="S415" s="39" t="s">
        <v>223</v>
      </c>
      <c r="T415" s="53"/>
      <c r="U415" s="53"/>
      <c r="V415" s="54"/>
      <c r="W415" s="37"/>
      <c r="X415" s="54">
        <f>IF(NOTA[[#This Row],[HARGA/ CTN]]="",NOTA[[#This Row],[JUMLAH_H]],NOTA[[#This Row],[HARGA/ CTN]]*IF(NOTA[[#This Row],[C]]="",0,NOTA[[#This Row],[C]]))</f>
        <v>2784000</v>
      </c>
      <c r="Y415" s="54">
        <f>IF(NOTA[[#This Row],[JUMLAH]]="","",NOTA[[#This Row],[JUMLAH]]*NOTA[[#This Row],[DISC 1]])</f>
        <v>0</v>
      </c>
      <c r="Z415" s="54">
        <f>IF(NOTA[[#This Row],[JUMLAH]]="","",(NOTA[[#This Row],[JUMLAH]]-NOTA[[#This Row],[DISC 1-]])*NOTA[[#This Row],[DISC 2]])</f>
        <v>0</v>
      </c>
      <c r="AA415" s="54">
        <f>IF(NOTA[[#This Row],[JUMLAH]]="","",NOTA[[#This Row],[DISC 1-]]+NOTA[[#This Row],[DISC 2-]])</f>
        <v>0</v>
      </c>
      <c r="AB415" s="54">
        <f>IF(NOTA[[#This Row],[JUMLAH]]="","",NOTA[[#This Row],[JUMLAH]]-NOTA[[#This Row],[DISC]])</f>
        <v>2784000</v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5" s="54">
        <f>IF(OR(NOTA[[#This Row],[QTY]]="",NOTA[[#This Row],[HARGA SATUAN]]="",),"",NOTA[[#This Row],[QTY]]*NOTA[[#This Row],[HARGA SATUAN]])</f>
        <v>2784000</v>
      </c>
      <c r="AG415" s="51">
        <f ca="1">IF(NOTA[ID_H]="","",INDEX(NOTA[TANGGAL],MATCH(,INDIRECT(ADDRESS(ROW(NOTA[TANGGAL]),COLUMN(NOTA[TANGGAL]))&amp;":"&amp;ADDRESS(ROW(),COLUMN(NOTA[TANGGAL]))),-1)))</f>
        <v>44940</v>
      </c>
      <c r="AH415" s="49" t="str">
        <f ca="1">IF(NOTA[[#This Row],[NAMA BARANG]]="","",INDEX(NOTA[SUPPLIER],MATCH(,INDIRECT(ADDRESS(ROW(NOTA[ID]),COLUMN(NOTA[ID]))&amp;":"&amp;ADDRESS(ROW(),COLUMN(NOTA[ID]))),-1)))</f>
        <v>DB STATIONERY</v>
      </c>
      <c r="AI415" s="49" t="str">
        <f ca="1">IF(NOTA[[#This Row],[ID_H]]="","",IF(NOTA[[#This Row],[FAKTUR]]="",INDIRECT(ADDRESS(ROW()-1,COLUMN())),NOTA[[#This Row],[FAKTUR]]))</f>
        <v>UNTANA</v>
      </c>
      <c r="AJ415" s="38" t="str">
        <f ca="1">IF(NOTA[[#This Row],[ID]]="","",COUNTIF(NOTA[ID_H],NOTA[[#This Row],[ID_H]]))</f>
        <v/>
      </c>
      <c r="AK415" s="38">
        <f ca="1">IF(NOTA[[#This Row],[TGL.NOTA]]="",IF(NOTA[[#This Row],[SUPPLIER_H]]="","",AK414),MONTH(NOTA[[#This Row],[TGL.NOTA]]))</f>
        <v>1</v>
      </c>
      <c r="AL415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415" s="38" t="str">
        <f>IF(NOTA[C]="",NOTA[[#This Row],[CONCAT1]]&amp;NOTA[[#This Row],[HARGA SATUAN]],NOTA[[#This Row],[CONCAT1]]&amp;NOTA[[#This Row],[HARGA/ CTN_H]]&amp;NOTA[[#This Row],[DISC 1]]&amp;NOTA[[#This Row],[DISC 2]])</f>
        <v>mekpensil20tizotm030f2784000</v>
      </c>
      <c r="AN415" s="184">
        <f>IF(NOTA[[#This Row],[CONCAT1]]="","",MATCH(NOTA[[#This Row],[CONCAT1]],[1]!db[NB NOTA_C],0)+1)</f>
        <v>1519</v>
      </c>
    </row>
    <row r="416" spans="1:40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Row],[CEK_EXP]]&lt;D415,"err","")</f>
        <v/>
      </c>
      <c r="D416" s="50">
        <f>IF(NOTA[[#This Row],[TANGGAL]]="",D415,NOTA[[#This Row],[TANGGAL]])</f>
        <v>44940</v>
      </c>
      <c r="E416" s="50">
        <f ca="1">IF(NOTA[[#This Row],[NAMA BARANG]]="","",INDEX(NOTA[ID],MATCH(,INDIRECT(ADDRESS(ROW(NOTA[ID]),COLUMN(NOTA[ID]))&amp;":"&amp;ADDRESS(ROW(),COLUMN(NOTA[ID]))),-1)))</f>
        <v>77</v>
      </c>
      <c r="F416" s="23"/>
      <c r="G416" s="26"/>
      <c r="H416" s="26"/>
      <c r="I416" s="31"/>
      <c r="J416" s="26"/>
      <c r="K416" s="51"/>
      <c r="L416" s="26"/>
      <c r="M416" s="26" t="s">
        <v>582</v>
      </c>
      <c r="N416" s="39">
        <v>1</v>
      </c>
      <c r="O416" s="26">
        <v>96</v>
      </c>
      <c r="P416" s="26" t="s">
        <v>90</v>
      </c>
      <c r="Q416" s="49">
        <v>29000</v>
      </c>
      <c r="R416" s="52"/>
      <c r="S416" s="39" t="s">
        <v>223</v>
      </c>
      <c r="T416" s="53"/>
      <c r="U416" s="53"/>
      <c r="V416" s="54"/>
      <c r="W416" s="37"/>
      <c r="X416" s="54">
        <f>IF(NOTA[[#This Row],[HARGA/ CTN]]="",NOTA[[#This Row],[JUMLAH_H]],NOTA[[#This Row],[HARGA/ CTN]]*IF(NOTA[[#This Row],[C]]="",0,NOTA[[#This Row],[C]]))</f>
        <v>2784000</v>
      </c>
      <c r="Y416" s="54">
        <f>IF(NOTA[[#This Row],[JUMLAH]]="","",NOTA[[#This Row],[JUMLAH]]*NOTA[[#This Row],[DISC 1]])</f>
        <v>0</v>
      </c>
      <c r="Z416" s="54">
        <f>IF(NOTA[[#This Row],[JUMLAH]]="","",(NOTA[[#This Row],[JUMLAH]]-NOTA[[#This Row],[DISC 1-]])*NOTA[[#This Row],[DISC 2]])</f>
        <v>0</v>
      </c>
      <c r="AA416" s="54">
        <f>IF(NOTA[[#This Row],[JUMLAH]]="","",NOTA[[#This Row],[DISC 1-]]+NOTA[[#This Row],[DISC 2-]])</f>
        <v>0</v>
      </c>
      <c r="AB416" s="54">
        <f>IF(NOTA[[#This Row],[JUMLAH]]="","",NOTA[[#This Row],[JUMLAH]]-NOTA[[#This Row],[DISC]])</f>
        <v>2784000</v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6" s="54">
        <f>IF(OR(NOTA[[#This Row],[QTY]]="",NOTA[[#This Row],[HARGA SATUAN]]="",),"",NOTA[[#This Row],[QTY]]*NOTA[[#This Row],[HARGA SATUAN]])</f>
        <v>2784000</v>
      </c>
      <c r="AG416" s="51">
        <f ca="1">IF(NOTA[ID_H]="","",INDEX(NOTA[TANGGAL],MATCH(,INDIRECT(ADDRESS(ROW(NOTA[TANGGAL]),COLUMN(NOTA[TANGGAL]))&amp;":"&amp;ADDRESS(ROW(),COLUMN(NOTA[TANGGAL]))),-1)))</f>
        <v>44940</v>
      </c>
      <c r="AH416" s="49" t="str">
        <f ca="1">IF(NOTA[[#This Row],[NAMA BARANG]]="","",INDEX(NOTA[SUPPLIER],MATCH(,INDIRECT(ADDRESS(ROW(NOTA[ID]),COLUMN(NOTA[ID]))&amp;":"&amp;ADDRESS(ROW(),COLUMN(NOTA[ID]))),-1)))</f>
        <v>DB STATIONERY</v>
      </c>
      <c r="AI416" s="49" t="str">
        <f ca="1">IF(NOTA[[#This Row],[ID_H]]="","",IF(NOTA[[#This Row],[FAKTUR]]="",INDIRECT(ADDRESS(ROW()-1,COLUMN())),NOTA[[#This Row],[FAKTUR]]))</f>
        <v>UNTANA</v>
      </c>
      <c r="AJ416" s="38" t="str">
        <f ca="1">IF(NOTA[[#This Row],[ID]]="","",COUNTIF(NOTA[ID_H],NOTA[[#This Row],[ID_H]]))</f>
        <v/>
      </c>
      <c r="AK416" s="38">
        <f ca="1">IF(NOTA[[#This Row],[TGL.NOTA]]="",IF(NOTA[[#This Row],[SUPPLIER_H]]="","",AK415),MONTH(NOTA[[#This Row],[TGL.NOTA]]))</f>
        <v>1</v>
      </c>
      <c r="AL416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416" s="38" t="str">
        <f>IF(NOTA[C]="",NOTA[[#This Row],[CONCAT1]]&amp;NOTA[[#This Row],[HARGA SATUAN]],NOTA[[#This Row],[CONCAT1]]&amp;NOTA[[#This Row],[HARGA/ CTN_H]]&amp;NOTA[[#This Row],[DISC 1]]&amp;NOTA[[#This Row],[DISC 2]])</f>
        <v>mekpensil20tizotm030g2784000</v>
      </c>
      <c r="AN416" s="184">
        <f>IF(NOTA[[#This Row],[CONCAT1]]="","",MATCH(NOTA[[#This Row],[CONCAT1]],[1]!db[NB NOTA_C],0)+1)</f>
        <v>1510</v>
      </c>
    </row>
    <row r="417" spans="1:40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Row],[CEK_EXP]]&lt;D416,"err","")</f>
        <v/>
      </c>
      <c r="D417" s="50">
        <f>IF(NOTA[[#This Row],[TANGGAL]]="",D416,NOTA[[#This Row],[TANGGAL]])</f>
        <v>44940</v>
      </c>
      <c r="E417" s="50">
        <f ca="1">IF(NOTA[[#This Row],[NAMA BARANG]]="","",INDEX(NOTA[ID],MATCH(,INDIRECT(ADDRESS(ROW(NOTA[ID]),COLUMN(NOTA[ID]))&amp;":"&amp;ADDRESS(ROW(),COLUMN(NOTA[ID]))),-1)))</f>
        <v>77</v>
      </c>
      <c r="F417" s="23"/>
      <c r="G417" s="26"/>
      <c r="H417" s="26"/>
      <c r="I417" s="31"/>
      <c r="J417" s="26"/>
      <c r="K417" s="51"/>
      <c r="L417" s="26"/>
      <c r="M417" s="26" t="s">
        <v>583</v>
      </c>
      <c r="N417" s="39">
        <v>1</v>
      </c>
      <c r="O417" s="26">
        <v>96</v>
      </c>
      <c r="P417" s="26" t="s">
        <v>90</v>
      </c>
      <c r="Q417" s="49">
        <v>29000</v>
      </c>
      <c r="R417" s="52"/>
      <c r="S417" s="39" t="s">
        <v>223</v>
      </c>
      <c r="T417" s="53"/>
      <c r="U417" s="53"/>
      <c r="V417" s="54"/>
      <c r="W417" s="37"/>
      <c r="X417" s="54">
        <f>IF(NOTA[[#This Row],[HARGA/ CTN]]="",NOTA[[#This Row],[JUMLAH_H]],NOTA[[#This Row],[HARGA/ CTN]]*IF(NOTA[[#This Row],[C]]="",0,NOTA[[#This Row],[C]]))</f>
        <v>2784000</v>
      </c>
      <c r="Y417" s="54">
        <f>IF(NOTA[[#This Row],[JUMLAH]]="","",NOTA[[#This Row],[JUMLAH]]*NOTA[[#This Row],[DISC 1]])</f>
        <v>0</v>
      </c>
      <c r="Z417" s="54">
        <f>IF(NOTA[[#This Row],[JUMLAH]]="","",(NOTA[[#This Row],[JUMLAH]]-NOTA[[#This Row],[DISC 1-]])*NOTA[[#This Row],[DISC 2]])</f>
        <v>0</v>
      </c>
      <c r="AA417" s="54">
        <f>IF(NOTA[[#This Row],[JUMLAH]]="","",NOTA[[#This Row],[DISC 1-]]+NOTA[[#This Row],[DISC 2-]])</f>
        <v>0</v>
      </c>
      <c r="AB417" s="54">
        <f>IF(NOTA[[#This Row],[JUMLAH]]="","",NOTA[[#This Row],[JUMLAH]]-NOTA[[#This Row],[DISC]])</f>
        <v>2784000</v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17" s="54">
        <f>IF(OR(NOTA[[#This Row],[QTY]]="",NOTA[[#This Row],[HARGA SATUAN]]="",),"",NOTA[[#This Row],[QTY]]*NOTA[[#This Row],[HARGA SATUAN]])</f>
        <v>2784000</v>
      </c>
      <c r="AG417" s="51">
        <f ca="1">IF(NOTA[ID_H]="","",INDEX(NOTA[TANGGAL],MATCH(,INDIRECT(ADDRESS(ROW(NOTA[TANGGAL]),COLUMN(NOTA[TANGGAL]))&amp;":"&amp;ADDRESS(ROW(),COLUMN(NOTA[TANGGAL]))),-1)))</f>
        <v>44940</v>
      </c>
      <c r="AH417" s="49" t="str">
        <f ca="1">IF(NOTA[[#This Row],[NAMA BARANG]]="","",INDEX(NOTA[SUPPLIER],MATCH(,INDIRECT(ADDRESS(ROW(NOTA[ID]),COLUMN(NOTA[ID]))&amp;":"&amp;ADDRESS(ROW(),COLUMN(NOTA[ID]))),-1)))</f>
        <v>DB STATIONERY</v>
      </c>
      <c r="AI417" s="49" t="str">
        <f ca="1">IF(NOTA[[#This Row],[ID_H]]="","",IF(NOTA[[#This Row],[FAKTUR]]="",INDIRECT(ADDRESS(ROW()-1,COLUMN())),NOTA[[#This Row],[FAKTUR]]))</f>
        <v>UNTANA</v>
      </c>
      <c r="AJ417" s="38" t="str">
        <f ca="1">IF(NOTA[[#This Row],[ID]]="","",COUNTIF(NOTA[ID_H],NOTA[[#This Row],[ID_H]]))</f>
        <v/>
      </c>
      <c r="AK417" s="38">
        <f ca="1">IF(NOTA[[#This Row],[TGL.NOTA]]="",IF(NOTA[[#This Row],[SUPPLIER_H]]="","",AK416),MONTH(NOTA[[#This Row],[TGL.NOTA]]))</f>
        <v>1</v>
      </c>
      <c r="AL417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417" s="38" t="str">
        <f>IF(NOTA[C]="",NOTA[[#This Row],[CONCAT1]]&amp;NOTA[[#This Row],[HARGA SATUAN]],NOTA[[#This Row],[CONCAT1]]&amp;NOTA[[#This Row],[HARGA/ CTN_H]]&amp;NOTA[[#This Row],[DISC 1]]&amp;NOTA[[#This Row],[DISC 2]])</f>
        <v>mekpensil20tizotm030h2784000</v>
      </c>
      <c r="AN417" s="184">
        <f>IF(NOTA[[#This Row],[CONCAT1]]="","",MATCH(NOTA[[#This Row],[CONCAT1]],[1]!db[NB NOTA_C],0)+1)</f>
        <v>1502</v>
      </c>
    </row>
    <row r="418" spans="1:40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Row],[CEK_EXP]]&lt;D417,"err","")</f>
        <v/>
      </c>
      <c r="D418" s="50">
        <f>IF(NOTA[[#This Row],[TANGGAL]]="",D417,NOTA[[#This Row],[TANGGAL]])</f>
        <v>44940</v>
      </c>
      <c r="E418" s="50">
        <f ca="1">IF(NOTA[[#This Row],[NAMA BARANG]]="","",INDEX(NOTA[ID],MATCH(,INDIRECT(ADDRESS(ROW(NOTA[ID]),COLUMN(NOTA[ID]))&amp;":"&amp;ADDRESS(ROW(),COLUMN(NOTA[ID]))),-1)))</f>
        <v>77</v>
      </c>
      <c r="F418" s="23"/>
      <c r="G418" s="26"/>
      <c r="H418" s="26"/>
      <c r="I418" s="31"/>
      <c r="J418" s="26"/>
      <c r="K418" s="51"/>
      <c r="L418" s="26"/>
      <c r="M418" s="26" t="s">
        <v>584</v>
      </c>
      <c r="N418" s="39">
        <v>1</v>
      </c>
      <c r="O418" s="26">
        <v>144</v>
      </c>
      <c r="P418" s="26" t="s">
        <v>90</v>
      </c>
      <c r="Q418" s="49">
        <v>19000</v>
      </c>
      <c r="R418" s="52"/>
      <c r="S418" s="39" t="s">
        <v>585</v>
      </c>
      <c r="T418" s="53"/>
      <c r="U418" s="53"/>
      <c r="V418" s="54"/>
      <c r="W418" s="37"/>
      <c r="X418" s="54">
        <f>IF(NOTA[[#This Row],[HARGA/ CTN]]="",NOTA[[#This Row],[JUMLAH_H]],NOTA[[#This Row],[HARGA/ CTN]]*IF(NOTA[[#This Row],[C]]="",0,NOTA[[#This Row],[C]]))</f>
        <v>2736000</v>
      </c>
      <c r="Y418" s="54">
        <f>IF(NOTA[[#This Row],[JUMLAH]]="","",NOTA[[#This Row],[JUMLAH]]*NOTA[[#This Row],[DISC 1]])</f>
        <v>0</v>
      </c>
      <c r="Z418" s="54">
        <f>IF(NOTA[[#This Row],[JUMLAH]]="","",(NOTA[[#This Row],[JUMLAH]]-NOTA[[#This Row],[DISC 1-]])*NOTA[[#This Row],[DISC 2]])</f>
        <v>0</v>
      </c>
      <c r="AA418" s="54">
        <f>IF(NOTA[[#This Row],[JUMLAH]]="","",NOTA[[#This Row],[DISC 1-]]+NOTA[[#This Row],[DISC 2-]])</f>
        <v>0</v>
      </c>
      <c r="AB418" s="54">
        <f>IF(NOTA[[#This Row],[JUMLAH]]="","",NOTA[[#This Row],[JUMLAH]]-NOTA[[#This Row],[DISC]])</f>
        <v>2736000</v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4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18" s="54">
        <f>IF(OR(NOTA[[#This Row],[QTY]]="",NOTA[[#This Row],[HARGA SATUAN]]="",),"",NOTA[[#This Row],[QTY]]*NOTA[[#This Row],[HARGA SATUAN]])</f>
        <v>2736000</v>
      </c>
      <c r="AG418" s="51">
        <f ca="1">IF(NOTA[ID_H]="","",INDEX(NOTA[TANGGAL],MATCH(,INDIRECT(ADDRESS(ROW(NOTA[TANGGAL]),COLUMN(NOTA[TANGGAL]))&amp;":"&amp;ADDRESS(ROW(),COLUMN(NOTA[TANGGAL]))),-1)))</f>
        <v>44940</v>
      </c>
      <c r="AH418" s="49" t="str">
        <f ca="1">IF(NOTA[[#This Row],[NAMA BARANG]]="","",INDEX(NOTA[SUPPLIER],MATCH(,INDIRECT(ADDRESS(ROW(NOTA[ID]),COLUMN(NOTA[ID]))&amp;":"&amp;ADDRESS(ROW(),COLUMN(NOTA[ID]))),-1)))</f>
        <v>DB STATIONERY</v>
      </c>
      <c r="AI418" s="49" t="str">
        <f ca="1">IF(NOTA[[#This Row],[ID_H]]="","",IF(NOTA[[#This Row],[FAKTUR]]="",INDIRECT(ADDRESS(ROW()-1,COLUMN())),NOTA[[#This Row],[FAKTUR]]))</f>
        <v>UNTANA</v>
      </c>
      <c r="AJ418" s="38" t="str">
        <f ca="1">IF(NOTA[[#This Row],[ID]]="","",COUNTIF(NOTA[ID_H],NOTA[[#This Row],[ID_H]]))</f>
        <v/>
      </c>
      <c r="AK418" s="38">
        <f ca="1">IF(NOTA[[#This Row],[TGL.NOTA]]="",IF(NOTA[[#This Row],[SUPPLIER_H]]="","",AK417),MONTH(NOTA[[#This Row],[TGL.NOTA]]))</f>
        <v>1</v>
      </c>
      <c r="AL418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M418" s="38" t="str">
        <f>IF(NOTA[C]="",NOTA[[#This Row],[CONCAT1]]&amp;NOTA[[#This Row],[HARGA SATUAN]],NOTA[[#This Row],[CONCAT1]]&amp;NOTA[[#This Row],[HARGA/ CTN_H]]&amp;NOTA[[#This Row],[DISC 1]]&amp;NOTA[[#This Row],[DISC 2]])</f>
        <v>mekpensil2b20tm016612736000</v>
      </c>
      <c r="AN418" s="184">
        <f>IF(NOTA[[#This Row],[CONCAT1]]="","",MATCH(NOTA[[#This Row],[CONCAT1]],[1]!db[NB NOTA_C],0)+1)</f>
        <v>2236</v>
      </c>
    </row>
    <row r="419" spans="1:40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Row],[CEK_EXP]]&lt;D418,"err","")</f>
        <v/>
      </c>
      <c r="D419" s="50">
        <f>IF(NOTA[[#This Row],[TANGGAL]]="",D418,NOTA[[#This Row],[TANGGAL]])</f>
        <v>44940</v>
      </c>
      <c r="E419" s="50">
        <f ca="1">IF(NOTA[[#This Row],[NAMA BARANG]]="","",INDEX(NOTA[ID],MATCH(,INDIRECT(ADDRESS(ROW(NOTA[ID]),COLUMN(NOTA[ID]))&amp;":"&amp;ADDRESS(ROW(),COLUMN(NOTA[ID]))),-1)))</f>
        <v>77</v>
      </c>
      <c r="F419" s="23"/>
      <c r="G419" s="26"/>
      <c r="H419" s="26"/>
      <c r="I419" s="31"/>
      <c r="J419" s="26"/>
      <c r="K419" s="51"/>
      <c r="L419" s="26"/>
      <c r="M419" s="26" t="s">
        <v>586</v>
      </c>
      <c r="N419" s="39">
        <v>1</v>
      </c>
      <c r="O419" s="26">
        <v>144</v>
      </c>
      <c r="P419" s="26" t="s">
        <v>90</v>
      </c>
      <c r="Q419" s="49">
        <v>19000</v>
      </c>
      <c r="R419" s="52"/>
      <c r="S419" s="39" t="s">
        <v>585</v>
      </c>
      <c r="T419" s="53"/>
      <c r="U419" s="53"/>
      <c r="V419" s="54"/>
      <c r="W419" s="37"/>
      <c r="X419" s="54">
        <f>IF(NOTA[[#This Row],[HARGA/ CTN]]="",NOTA[[#This Row],[JUMLAH_H]],NOTA[[#This Row],[HARGA/ CTN]]*IF(NOTA[[#This Row],[C]]="",0,NOTA[[#This Row],[C]]))</f>
        <v>2736000</v>
      </c>
      <c r="Y419" s="54">
        <f>IF(NOTA[[#This Row],[JUMLAH]]="","",NOTA[[#This Row],[JUMLAH]]*NOTA[[#This Row],[DISC 1]])</f>
        <v>0</v>
      </c>
      <c r="Z419" s="54">
        <f>IF(NOTA[[#This Row],[JUMLAH]]="","",(NOTA[[#This Row],[JUMLAH]]-NOTA[[#This Row],[DISC 1-]])*NOTA[[#This Row],[DISC 2]])</f>
        <v>0</v>
      </c>
      <c r="AA419" s="54">
        <f>IF(NOTA[[#This Row],[JUMLAH]]="","",NOTA[[#This Row],[DISC 1-]]+NOTA[[#This Row],[DISC 2-]])</f>
        <v>0</v>
      </c>
      <c r="AB419" s="54">
        <f>IF(NOTA[[#This Row],[JUMLAH]]="","",NOTA[[#This Row],[JUMLAH]]-NOTA[[#This Row],[DISC]])</f>
        <v>2736000</v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19" s="54">
        <f>IF(OR(NOTA[[#This Row],[QTY]]="",NOTA[[#This Row],[HARGA SATUAN]]="",),"",NOTA[[#This Row],[QTY]]*NOTA[[#This Row],[HARGA SATUAN]])</f>
        <v>2736000</v>
      </c>
      <c r="AG419" s="51">
        <f ca="1">IF(NOTA[ID_H]="","",INDEX(NOTA[TANGGAL],MATCH(,INDIRECT(ADDRESS(ROW(NOTA[TANGGAL]),COLUMN(NOTA[TANGGAL]))&amp;":"&amp;ADDRESS(ROW(),COLUMN(NOTA[TANGGAL]))),-1)))</f>
        <v>44940</v>
      </c>
      <c r="AH419" s="49" t="str">
        <f ca="1">IF(NOTA[[#This Row],[NAMA BARANG]]="","",INDEX(NOTA[SUPPLIER],MATCH(,INDIRECT(ADDRESS(ROW(NOTA[ID]),COLUMN(NOTA[ID]))&amp;":"&amp;ADDRESS(ROW(),COLUMN(NOTA[ID]))),-1)))</f>
        <v>DB STATIONERY</v>
      </c>
      <c r="AI419" s="49" t="str">
        <f ca="1">IF(NOTA[[#This Row],[ID_H]]="","",IF(NOTA[[#This Row],[FAKTUR]]="",INDIRECT(ADDRESS(ROW()-1,COLUMN())),NOTA[[#This Row],[FAKTUR]]))</f>
        <v>UNTANA</v>
      </c>
      <c r="AJ419" s="38" t="str">
        <f ca="1">IF(NOTA[[#This Row],[ID]]="","",COUNTIF(NOTA[ID_H],NOTA[[#This Row],[ID_H]]))</f>
        <v/>
      </c>
      <c r="AK419" s="38">
        <f ca="1">IF(NOTA[[#This Row],[TGL.NOTA]]="",IF(NOTA[[#This Row],[SUPPLIER_H]]="","",AK418),MONTH(NOTA[[#This Row],[TGL.NOTA]]))</f>
        <v>1</v>
      </c>
      <c r="AL419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M419" s="38" t="str">
        <f>IF(NOTA[C]="",NOTA[[#This Row],[CONCAT1]]&amp;NOTA[[#This Row],[HARGA SATUAN]],NOTA[[#This Row],[CONCAT1]]&amp;NOTA[[#This Row],[HARGA/ CTN_H]]&amp;NOTA[[#This Row],[DISC 1]]&amp;NOTA[[#This Row],[DISC 2]])</f>
        <v>mekpensil2b20tm010692736000</v>
      </c>
      <c r="AN419" s="184">
        <f>IF(NOTA[[#This Row],[CONCAT1]]="","",MATCH(NOTA[[#This Row],[CONCAT1]],[1]!db[NB NOTA_C],0)+1)</f>
        <v>2237</v>
      </c>
    </row>
    <row r="420" spans="1:40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Row],[CEK_EXP]]&lt;D419,"err","")</f>
        <v/>
      </c>
      <c r="D420" s="50">
        <f>IF(NOTA[[#This Row],[TANGGAL]]="",D419,NOTA[[#This Row],[TANGGAL]])</f>
        <v>44940</v>
      </c>
      <c r="E420" s="50">
        <f ca="1">IF(NOTA[[#This Row],[NAMA BARANG]]="","",INDEX(NOTA[ID],MATCH(,INDIRECT(ADDRESS(ROW(NOTA[ID]),COLUMN(NOTA[ID]))&amp;":"&amp;ADDRESS(ROW(),COLUMN(NOTA[ID]))),-1)))</f>
        <v>77</v>
      </c>
      <c r="F420" s="23"/>
      <c r="G420" s="26"/>
      <c r="H420" s="26"/>
      <c r="I420" s="31"/>
      <c r="J420" s="26"/>
      <c r="K420" s="51"/>
      <c r="L420" s="26"/>
      <c r="M420" s="26" t="s">
        <v>587</v>
      </c>
      <c r="N420" s="39">
        <v>2</v>
      </c>
      <c r="O420" s="26">
        <v>288</v>
      </c>
      <c r="P420" s="26" t="s">
        <v>90</v>
      </c>
      <c r="Q420" s="49">
        <v>21000</v>
      </c>
      <c r="R420" s="52"/>
      <c r="S420" s="39" t="s">
        <v>585</v>
      </c>
      <c r="T420" s="53"/>
      <c r="U420" s="53"/>
      <c r="V420" s="54"/>
      <c r="W420" s="37"/>
      <c r="X420" s="54">
        <f>IF(NOTA[[#This Row],[HARGA/ CTN]]="",NOTA[[#This Row],[JUMLAH_H]],NOTA[[#This Row],[HARGA/ CTN]]*IF(NOTA[[#This Row],[C]]="",0,NOTA[[#This Row],[C]]))</f>
        <v>6048000</v>
      </c>
      <c r="Y420" s="54">
        <f>IF(NOTA[[#This Row],[JUMLAH]]="","",NOTA[[#This Row],[JUMLAH]]*NOTA[[#This Row],[DISC 1]])</f>
        <v>0</v>
      </c>
      <c r="Z420" s="54">
        <f>IF(NOTA[[#This Row],[JUMLAH]]="","",(NOTA[[#This Row],[JUMLAH]]-NOTA[[#This Row],[DISC 1-]])*NOTA[[#This Row],[DISC 2]])</f>
        <v>0</v>
      </c>
      <c r="AA420" s="54">
        <f>IF(NOTA[[#This Row],[JUMLAH]]="","",NOTA[[#This Row],[DISC 1-]]+NOTA[[#This Row],[DISC 2-]])</f>
        <v>0</v>
      </c>
      <c r="AB420" s="54">
        <f>IF(NOTA[[#This Row],[JUMLAH]]="","",NOTA[[#This Row],[JUMLAH]]-NOTA[[#This Row],[DISC]])</f>
        <v>6048000</v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20" s="54">
        <f>IF(OR(NOTA[[#This Row],[QTY]]="",NOTA[[#This Row],[HARGA SATUAN]]="",),"",NOTA[[#This Row],[QTY]]*NOTA[[#This Row],[HARGA SATUAN]])</f>
        <v>6048000</v>
      </c>
      <c r="AG420" s="51">
        <f ca="1">IF(NOTA[ID_H]="","",INDEX(NOTA[TANGGAL],MATCH(,INDIRECT(ADDRESS(ROW(NOTA[TANGGAL]),COLUMN(NOTA[TANGGAL]))&amp;":"&amp;ADDRESS(ROW(),COLUMN(NOTA[TANGGAL]))),-1)))</f>
        <v>44940</v>
      </c>
      <c r="AH420" s="49" t="str">
        <f ca="1">IF(NOTA[[#This Row],[NAMA BARANG]]="","",INDEX(NOTA[SUPPLIER],MATCH(,INDIRECT(ADDRESS(ROW(NOTA[ID]),COLUMN(NOTA[ID]))&amp;":"&amp;ADDRESS(ROW(),COLUMN(NOTA[ID]))),-1)))</f>
        <v>DB STATIONERY</v>
      </c>
      <c r="AI420" s="49" t="str">
        <f ca="1">IF(NOTA[[#This Row],[ID_H]]="","",IF(NOTA[[#This Row],[FAKTUR]]="",INDIRECT(ADDRESS(ROW()-1,COLUMN())),NOTA[[#This Row],[FAKTUR]]))</f>
        <v>UNTANA</v>
      </c>
      <c r="AJ420" s="38" t="str">
        <f ca="1">IF(NOTA[[#This Row],[ID]]="","",COUNTIF(NOTA[ID_H],NOTA[[#This Row],[ID_H]]))</f>
        <v/>
      </c>
      <c r="AK420" s="38">
        <f ca="1">IF(NOTA[[#This Row],[TGL.NOTA]]="",IF(NOTA[[#This Row],[SUPPLIER_H]]="","",AK419),MONTH(NOTA[[#This Row],[TGL.NOTA]]))</f>
        <v>1</v>
      </c>
      <c r="AL420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M420" s="38" t="str">
        <f>IF(NOTA[C]="",NOTA[[#This Row],[CONCAT1]]&amp;NOTA[[#This Row],[HARGA SATUAN]],NOTA[[#This Row],[CONCAT1]]&amp;NOTA[[#This Row],[HARGA/ CTN_H]]&amp;NOTA[[#This Row],[DISC 1]]&amp;NOTA[[#This Row],[DISC 2]])</f>
        <v>geltizotg312203024000</v>
      </c>
      <c r="AN420" s="184">
        <f>IF(NOTA[[#This Row],[CONCAT1]]="","",MATCH(NOTA[[#This Row],[CONCAT1]],[1]!db[NB NOTA_C],0)+1)</f>
        <v>846</v>
      </c>
    </row>
    <row r="421" spans="1:40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Row],[CEK_EXP]]&lt;D420,"err","")</f>
        <v/>
      </c>
      <c r="D421" s="50">
        <f>IF(NOTA[[#This Row],[TANGGAL]]="",D420,NOTA[[#This Row],[TANGGAL]])</f>
        <v>44940</v>
      </c>
      <c r="E421" s="50">
        <f ca="1">IF(NOTA[[#This Row],[NAMA BARANG]]="","",INDEX(NOTA[ID],MATCH(,INDIRECT(ADDRESS(ROW(NOTA[ID]),COLUMN(NOTA[ID]))&amp;":"&amp;ADDRESS(ROW(),COLUMN(NOTA[ID]))),-1)))</f>
        <v>77</v>
      </c>
      <c r="F421" s="23"/>
      <c r="G421" s="26"/>
      <c r="H421" s="26"/>
      <c r="I421" s="31"/>
      <c r="J421" s="26"/>
      <c r="K421" s="51"/>
      <c r="L421" s="26"/>
      <c r="M421" s="26" t="s">
        <v>588</v>
      </c>
      <c r="N421" s="39">
        <v>2</v>
      </c>
      <c r="O421" s="26">
        <v>288</v>
      </c>
      <c r="P421" s="26" t="s">
        <v>90</v>
      </c>
      <c r="Q421" s="49">
        <v>27000</v>
      </c>
      <c r="R421" s="52"/>
      <c r="S421" s="39" t="s">
        <v>585</v>
      </c>
      <c r="T421" s="53"/>
      <c r="U421" s="53"/>
      <c r="V421" s="54"/>
      <c r="W421" s="37"/>
      <c r="X421" s="54">
        <f>IF(NOTA[[#This Row],[HARGA/ CTN]]="",NOTA[[#This Row],[JUMLAH_H]],NOTA[[#This Row],[HARGA/ CTN]]*IF(NOTA[[#This Row],[C]]="",0,NOTA[[#This Row],[C]]))</f>
        <v>7776000</v>
      </c>
      <c r="Y421" s="54">
        <f>IF(NOTA[[#This Row],[JUMLAH]]="","",NOTA[[#This Row],[JUMLAH]]*NOTA[[#This Row],[DISC 1]])</f>
        <v>0</v>
      </c>
      <c r="Z421" s="54">
        <f>IF(NOTA[[#This Row],[JUMLAH]]="","",(NOTA[[#This Row],[JUMLAH]]-NOTA[[#This Row],[DISC 1-]])*NOTA[[#This Row],[DISC 2]])</f>
        <v>0</v>
      </c>
      <c r="AA421" s="54">
        <f>IF(NOTA[[#This Row],[JUMLAH]]="","",NOTA[[#This Row],[DISC 1-]]+NOTA[[#This Row],[DISC 2-]])</f>
        <v>0</v>
      </c>
      <c r="AB421" s="54">
        <f>IF(NOTA[[#This Row],[JUMLAH]]="","",NOTA[[#This Row],[JUMLAH]]-NOTA[[#This Row],[DISC]])</f>
        <v>7776000</v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21" s="54">
        <f>IF(OR(NOTA[[#This Row],[QTY]]="",NOTA[[#This Row],[HARGA SATUAN]]="",),"",NOTA[[#This Row],[QTY]]*NOTA[[#This Row],[HARGA SATUAN]])</f>
        <v>7776000</v>
      </c>
      <c r="AG421" s="51">
        <f ca="1">IF(NOTA[ID_H]="","",INDEX(NOTA[TANGGAL],MATCH(,INDIRECT(ADDRESS(ROW(NOTA[TANGGAL]),COLUMN(NOTA[TANGGAL]))&amp;":"&amp;ADDRESS(ROW(),COLUMN(NOTA[TANGGAL]))),-1)))</f>
        <v>44940</v>
      </c>
      <c r="AH421" s="49" t="str">
        <f ca="1">IF(NOTA[[#This Row],[NAMA BARANG]]="","",INDEX(NOTA[SUPPLIER],MATCH(,INDIRECT(ADDRESS(ROW(NOTA[ID]),COLUMN(NOTA[ID]))&amp;":"&amp;ADDRESS(ROW(),COLUMN(NOTA[ID]))),-1)))</f>
        <v>DB STATIONERY</v>
      </c>
      <c r="AI421" s="49" t="str">
        <f ca="1">IF(NOTA[[#This Row],[ID_H]]="","",IF(NOTA[[#This Row],[FAKTUR]]="",INDIRECT(ADDRESS(ROW()-1,COLUMN())),NOTA[[#This Row],[FAKTUR]]))</f>
        <v>UNTANA</v>
      </c>
      <c r="AJ421" s="38" t="str">
        <f ca="1">IF(NOTA[[#This Row],[ID]]="","",COUNTIF(NOTA[ID_H],NOTA[[#This Row],[ID_H]]))</f>
        <v/>
      </c>
      <c r="AK421" s="38">
        <f ca="1">IF(NOTA[[#This Row],[TGL.NOTA]]="",IF(NOTA[[#This Row],[SUPPLIER_H]]="","",AK420),MONTH(NOTA[[#This Row],[TGL.NOTA]]))</f>
        <v>1</v>
      </c>
      <c r="AL421" s="38" t="str">
        <f>LOWER(SUBSTITUTE(SUBSTITUTE(SUBSTITUTE(SUBSTITUTE(SUBSTITUTE(SUBSTITUTE(SUBSTITUTE(SUBSTITUTE(SUBSTITUTE(NOTA[NAMA BARANG]," ",),".",""),"-",""),"(",""),")",""),",",""),"/",""),"""",""),"+",""))</f>
        <v>gptizo395ftg395f</v>
      </c>
      <c r="AM421" s="38" t="str">
        <f>IF(NOTA[C]="",NOTA[[#This Row],[CONCAT1]]&amp;NOTA[[#This Row],[HARGA SATUAN]],NOTA[[#This Row],[CONCAT1]]&amp;NOTA[[#This Row],[HARGA/ CTN_H]]&amp;NOTA[[#This Row],[DISC 1]]&amp;NOTA[[#This Row],[DISC 2]])</f>
        <v>gptizo395ftg395f3888000</v>
      </c>
      <c r="AN421" s="184">
        <f>IF(NOTA[[#This Row],[CONCAT1]]="","",MATCH(NOTA[[#This Row],[CONCAT1]],[1]!db[NB NOTA_C],0)+1)</f>
        <v>2238</v>
      </c>
    </row>
    <row r="422" spans="1:40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Row],[CEK_EXP]]&lt;D421,"err","")</f>
        <v/>
      </c>
      <c r="D422" s="50">
        <f>IF(NOTA[[#This Row],[TANGGAL]]="",D421,NOTA[[#This Row],[TANGGAL]])</f>
        <v>44940</v>
      </c>
      <c r="E422" s="50">
        <f ca="1">IF(NOTA[[#This Row],[NAMA BARANG]]="","",INDEX(NOTA[ID],MATCH(,INDIRECT(ADDRESS(ROW(NOTA[ID]),COLUMN(NOTA[ID]))&amp;":"&amp;ADDRESS(ROW(),COLUMN(NOTA[ID]))),-1)))</f>
        <v>77</v>
      </c>
      <c r="F422" s="23"/>
      <c r="G422" s="26"/>
      <c r="H422" s="26"/>
      <c r="I422" s="31"/>
      <c r="J422" s="26"/>
      <c r="K422" s="51"/>
      <c r="L422" s="26"/>
      <c r="M422" s="26" t="s">
        <v>589</v>
      </c>
      <c r="N422" s="39">
        <v>1</v>
      </c>
      <c r="O422" s="26">
        <v>120</v>
      </c>
      <c r="P422" s="26" t="s">
        <v>90</v>
      </c>
      <c r="Q422" s="49">
        <v>18250</v>
      </c>
      <c r="R422" s="164"/>
      <c r="S422" s="187" t="s">
        <v>188</v>
      </c>
      <c r="T422" s="165"/>
      <c r="U422" s="53"/>
      <c r="V422" s="54"/>
      <c r="W422" s="37"/>
      <c r="X422" s="54">
        <f>IF(NOTA[[#This Row],[HARGA/ CTN]]="",NOTA[[#This Row],[JUMLAH_H]],NOTA[[#This Row],[HARGA/ CTN]]*IF(NOTA[[#This Row],[C]]="",0,NOTA[[#This Row],[C]]))</f>
        <v>2190000</v>
      </c>
      <c r="Y422" s="54">
        <f>IF(NOTA[[#This Row],[JUMLAH]]="","",NOTA[[#This Row],[JUMLAH]]*NOTA[[#This Row],[DISC 1]])</f>
        <v>0</v>
      </c>
      <c r="Z422" s="54">
        <f>IF(NOTA[[#This Row],[JUMLAH]]="","",(NOTA[[#This Row],[JUMLAH]]-NOTA[[#This Row],[DISC 1-]])*NOTA[[#This Row],[DISC 2]])</f>
        <v>0</v>
      </c>
      <c r="AA422" s="54">
        <f>IF(NOTA[[#This Row],[JUMLAH]]="","",NOTA[[#This Row],[DISC 1-]]+NOTA[[#This Row],[DISC 2-]])</f>
        <v>0</v>
      </c>
      <c r="AB422" s="54">
        <f>IF(NOTA[[#This Row],[JUMLAH]]="","",NOTA[[#This Row],[JUMLAH]]-NOTA[[#This Row],[DISC]])</f>
        <v>2190000</v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22" s="54">
        <f>IF(OR(NOTA[[#This Row],[QTY]]="",NOTA[[#This Row],[HARGA SATUAN]]="",),"",NOTA[[#This Row],[QTY]]*NOTA[[#This Row],[HARGA SATUAN]])</f>
        <v>2190000</v>
      </c>
      <c r="AG422" s="51">
        <f ca="1">IF(NOTA[ID_H]="","",INDEX(NOTA[TANGGAL],MATCH(,INDIRECT(ADDRESS(ROW(NOTA[TANGGAL]),COLUMN(NOTA[TANGGAL]))&amp;":"&amp;ADDRESS(ROW(),COLUMN(NOTA[TANGGAL]))),-1)))</f>
        <v>44940</v>
      </c>
      <c r="AH422" s="49" t="str">
        <f ca="1">IF(NOTA[[#This Row],[NAMA BARANG]]="","",INDEX(NOTA[SUPPLIER],MATCH(,INDIRECT(ADDRESS(ROW(NOTA[ID]),COLUMN(NOTA[ID]))&amp;":"&amp;ADDRESS(ROW(),COLUMN(NOTA[ID]))),-1)))</f>
        <v>DB STATIONERY</v>
      </c>
      <c r="AI422" s="49" t="str">
        <f ca="1">IF(NOTA[[#This Row],[ID_H]]="","",IF(NOTA[[#This Row],[FAKTUR]]="",INDIRECT(ADDRESS(ROW()-1,COLUMN())),NOTA[[#This Row],[FAKTUR]]))</f>
        <v>UNTANA</v>
      </c>
      <c r="AJ422" s="38" t="str">
        <f ca="1">IF(NOTA[[#This Row],[ID]]="","",COUNTIF(NOTA[ID_H],NOTA[[#This Row],[ID_H]]))</f>
        <v/>
      </c>
      <c r="AK422" s="38">
        <f ca="1">IF(NOTA[[#This Row],[TGL.NOTA]]="",IF(NOTA[[#This Row],[SUPPLIER_H]]="","",AK421),MONTH(NOTA[[#This Row],[TGL.NOTA]]))</f>
        <v>1</v>
      </c>
      <c r="AL422" s="3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422" s="38" t="str">
        <f>IF(NOTA[C]="",NOTA[[#This Row],[CONCAT1]]&amp;NOTA[[#This Row],[HARGA SATUAN]],NOTA[[#This Row],[CONCAT1]]&amp;NOTA[[#This Row],[HARGA/ CTN_H]]&amp;NOTA[[#This Row],[DISC 1]]&amp;NOTA[[#This Row],[DISC 2]])</f>
        <v>gelzhixinrefillg50012190000</v>
      </c>
      <c r="AN422" s="184">
        <f>IF(NOTA[[#This Row],[CONCAT1]]="","",MATCH(NOTA[[#This Row],[CONCAT1]],[1]!db[NB NOTA_C],0)+1)</f>
        <v>868</v>
      </c>
    </row>
    <row r="423" spans="1:40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Row],[CEK_EXP]]&lt;D422,"err","")</f>
        <v/>
      </c>
      <c r="D423" s="50">
        <f>IF(NOTA[[#This Row],[TANGGAL]]="",D422,NOTA[[#This Row],[TANGGAL]])</f>
        <v>44940</v>
      </c>
      <c r="E423" s="50">
        <f ca="1">IF(NOTA[[#This Row],[NAMA BARANG]]="","",INDEX(NOTA[ID],MATCH(,INDIRECT(ADDRESS(ROW(NOTA[ID]),COLUMN(NOTA[ID]))&amp;":"&amp;ADDRESS(ROW(),COLUMN(NOTA[ID]))),-1)))</f>
        <v>77</v>
      </c>
      <c r="F423" s="23"/>
      <c r="G423" s="26"/>
      <c r="H423" s="26"/>
      <c r="I423" s="31"/>
      <c r="J423" s="26"/>
      <c r="K423" s="51"/>
      <c r="L423" s="26"/>
      <c r="M423" s="26" t="s">
        <v>590</v>
      </c>
      <c r="N423" s="39">
        <v>1</v>
      </c>
      <c r="O423" s="26">
        <v>120</v>
      </c>
      <c r="P423" s="26" t="s">
        <v>90</v>
      </c>
      <c r="Q423" s="49">
        <v>18250</v>
      </c>
      <c r="R423" s="52"/>
      <c r="S423" s="39" t="s">
        <v>188</v>
      </c>
      <c r="T423" s="53"/>
      <c r="U423" s="53"/>
      <c r="V423" s="54"/>
      <c r="W423" s="37"/>
      <c r="X423" s="54">
        <f>IF(NOTA[[#This Row],[HARGA/ CTN]]="",NOTA[[#This Row],[JUMLAH_H]],NOTA[[#This Row],[HARGA/ CTN]]*IF(NOTA[[#This Row],[C]]="",0,NOTA[[#This Row],[C]]))</f>
        <v>2190000</v>
      </c>
      <c r="Y423" s="54">
        <f>IF(NOTA[[#This Row],[JUMLAH]]="","",NOTA[[#This Row],[JUMLAH]]*NOTA[[#This Row],[DISC 1]])</f>
        <v>0</v>
      </c>
      <c r="Z423" s="54">
        <f>IF(NOTA[[#This Row],[JUMLAH]]="","",(NOTA[[#This Row],[JUMLAH]]-NOTA[[#This Row],[DISC 1-]])*NOTA[[#This Row],[DISC 2]])</f>
        <v>0</v>
      </c>
      <c r="AA423" s="54">
        <f>IF(NOTA[[#This Row],[JUMLAH]]="","",NOTA[[#This Row],[DISC 1-]]+NOTA[[#This Row],[DISC 2-]])</f>
        <v>0</v>
      </c>
      <c r="AB423" s="54">
        <f>IF(NOTA[[#This Row],[JUMLAH]]="","",NOTA[[#This Row],[JUMLAH]]-NOTA[[#This Row],[DISC]])</f>
        <v>2190000</v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23" s="54">
        <f>IF(OR(NOTA[[#This Row],[QTY]]="",NOTA[[#This Row],[HARGA SATUAN]]="",),"",NOTA[[#This Row],[QTY]]*NOTA[[#This Row],[HARGA SATUAN]])</f>
        <v>2190000</v>
      </c>
      <c r="AG423" s="51">
        <f ca="1">IF(NOTA[ID_H]="","",INDEX(NOTA[TANGGAL],MATCH(,INDIRECT(ADDRESS(ROW(NOTA[TANGGAL]),COLUMN(NOTA[TANGGAL]))&amp;":"&amp;ADDRESS(ROW(),COLUMN(NOTA[TANGGAL]))),-1)))</f>
        <v>44940</v>
      </c>
      <c r="AH423" s="49" t="str">
        <f ca="1">IF(NOTA[[#This Row],[NAMA BARANG]]="","",INDEX(NOTA[SUPPLIER],MATCH(,INDIRECT(ADDRESS(ROW(NOTA[ID]),COLUMN(NOTA[ID]))&amp;":"&amp;ADDRESS(ROW(),COLUMN(NOTA[ID]))),-1)))</f>
        <v>DB STATIONERY</v>
      </c>
      <c r="AI423" s="49" t="str">
        <f ca="1">IF(NOTA[[#This Row],[ID_H]]="","",IF(NOTA[[#This Row],[FAKTUR]]="",INDIRECT(ADDRESS(ROW()-1,COLUMN())),NOTA[[#This Row],[FAKTUR]]))</f>
        <v>UNTANA</v>
      </c>
      <c r="AJ423" s="38" t="str">
        <f ca="1">IF(NOTA[[#This Row],[ID]]="","",COUNTIF(NOTA[ID_H],NOTA[[#This Row],[ID_H]]))</f>
        <v/>
      </c>
      <c r="AK423" s="38">
        <f ca="1">IF(NOTA[[#This Row],[TGL.NOTA]]="",IF(NOTA[[#This Row],[SUPPLIER_H]]="","",AK422),MONTH(NOTA[[#This Row],[TGL.NOTA]]))</f>
        <v>1</v>
      </c>
      <c r="AL423" s="38" t="str">
        <f>LOWER(SUBSTITUTE(SUBSTITUTE(SUBSTITUTE(SUBSTITUTE(SUBSTITUTE(SUBSTITUTE(SUBSTITUTE(SUBSTITUTE(SUBSTITUTE(NOTA[NAMA BARANG]," ",),".",""),"-",""),"(",""),")",""),",",""),"/",""),"""",""),"+",""))</f>
        <v>gelzhixinrefillg5004</v>
      </c>
      <c r="AM423" s="38" t="str">
        <f>IF(NOTA[C]="",NOTA[[#This Row],[CONCAT1]]&amp;NOTA[[#This Row],[HARGA SATUAN]],NOTA[[#This Row],[CONCAT1]]&amp;NOTA[[#This Row],[HARGA/ CTN_H]]&amp;NOTA[[#This Row],[DISC 1]]&amp;NOTA[[#This Row],[DISC 2]])</f>
        <v>gelzhixinrefillg50042190000</v>
      </c>
      <c r="AN423" s="184">
        <f>IF(NOTA[[#This Row],[CONCAT1]]="","",MATCH(NOTA[[#This Row],[CONCAT1]],[1]!db[NB NOTA_C],0)+1)</f>
        <v>869</v>
      </c>
    </row>
    <row r="424" spans="1:40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Row],[CEK_EXP]]&lt;D423,"err","")</f>
        <v/>
      </c>
      <c r="D424" s="50">
        <f>IF(NOTA[[#This Row],[TANGGAL]]="",D423,NOTA[[#This Row],[TANGGAL]])</f>
        <v>44940</v>
      </c>
      <c r="E424" s="50">
        <f ca="1">IF(NOTA[[#This Row],[NAMA BARANG]]="","",INDEX(NOTA[ID],MATCH(,INDIRECT(ADDRESS(ROW(NOTA[ID]),COLUMN(NOTA[ID]))&amp;":"&amp;ADDRESS(ROW(),COLUMN(NOTA[ID]))),-1)))</f>
        <v>77</v>
      </c>
      <c r="F424" s="23"/>
      <c r="G424" s="26"/>
      <c r="H424" s="26"/>
      <c r="I424" s="31"/>
      <c r="J424" s="26"/>
      <c r="K424" s="51"/>
      <c r="L424" s="26"/>
      <c r="M424" s="26" t="s">
        <v>591</v>
      </c>
      <c r="N424" s="39">
        <v>1</v>
      </c>
      <c r="O424" s="26">
        <v>120</v>
      </c>
      <c r="P424" s="26" t="s">
        <v>90</v>
      </c>
      <c r="Q424" s="49">
        <v>18250</v>
      </c>
      <c r="R424" s="52"/>
      <c r="S424" s="39" t="s">
        <v>188</v>
      </c>
      <c r="T424" s="53"/>
      <c r="U424" s="53"/>
      <c r="V424" s="54"/>
      <c r="W424" s="37"/>
      <c r="X424" s="54">
        <f>IF(NOTA[[#This Row],[HARGA/ CTN]]="",NOTA[[#This Row],[JUMLAH_H]],NOTA[[#This Row],[HARGA/ CTN]]*IF(NOTA[[#This Row],[C]]="",0,NOTA[[#This Row],[C]]))</f>
        <v>2190000</v>
      </c>
      <c r="Y424" s="54">
        <f>IF(NOTA[[#This Row],[JUMLAH]]="","",NOTA[[#This Row],[JUMLAH]]*NOTA[[#This Row],[DISC 1]])</f>
        <v>0</v>
      </c>
      <c r="Z424" s="54">
        <f>IF(NOTA[[#This Row],[JUMLAH]]="","",(NOTA[[#This Row],[JUMLAH]]-NOTA[[#This Row],[DISC 1-]])*NOTA[[#This Row],[DISC 2]])</f>
        <v>0</v>
      </c>
      <c r="AA424" s="54">
        <f>IF(NOTA[[#This Row],[JUMLAH]]="","",NOTA[[#This Row],[DISC 1-]]+NOTA[[#This Row],[DISC 2-]])</f>
        <v>0</v>
      </c>
      <c r="AB424" s="54">
        <f>IF(NOTA[[#This Row],[JUMLAH]]="","",NOTA[[#This Row],[JUMLAH]]-NOTA[[#This Row],[DISC]])</f>
        <v>2190000</v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24" s="54">
        <f>IF(OR(NOTA[[#This Row],[QTY]]="",NOTA[[#This Row],[HARGA SATUAN]]="",),"",NOTA[[#This Row],[QTY]]*NOTA[[#This Row],[HARGA SATUAN]])</f>
        <v>2190000</v>
      </c>
      <c r="AG424" s="51">
        <f ca="1">IF(NOTA[ID_H]="","",INDEX(NOTA[TANGGAL],MATCH(,INDIRECT(ADDRESS(ROW(NOTA[TANGGAL]),COLUMN(NOTA[TANGGAL]))&amp;":"&amp;ADDRESS(ROW(),COLUMN(NOTA[TANGGAL]))),-1)))</f>
        <v>44940</v>
      </c>
      <c r="AH424" s="49" t="str">
        <f ca="1">IF(NOTA[[#This Row],[NAMA BARANG]]="","",INDEX(NOTA[SUPPLIER],MATCH(,INDIRECT(ADDRESS(ROW(NOTA[ID]),COLUMN(NOTA[ID]))&amp;":"&amp;ADDRESS(ROW(),COLUMN(NOTA[ID]))),-1)))</f>
        <v>DB STATIONERY</v>
      </c>
      <c r="AI424" s="49" t="str">
        <f ca="1">IF(NOTA[[#This Row],[ID_H]]="","",IF(NOTA[[#This Row],[FAKTUR]]="",INDIRECT(ADDRESS(ROW()-1,COLUMN())),NOTA[[#This Row],[FAKTUR]]))</f>
        <v>UNTANA</v>
      </c>
      <c r="AJ424" s="38" t="str">
        <f ca="1">IF(NOTA[[#This Row],[ID]]="","",COUNTIF(NOTA[ID_H],NOTA[[#This Row],[ID_H]]))</f>
        <v/>
      </c>
      <c r="AK424" s="38">
        <f ca="1">IF(NOTA[[#This Row],[TGL.NOTA]]="",IF(NOTA[[#This Row],[SUPPLIER_H]]="","",AK423),MONTH(NOTA[[#This Row],[TGL.NOTA]]))</f>
        <v>1</v>
      </c>
      <c r="AL424" s="3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424" s="38" t="str">
        <f>IF(NOTA[C]="",NOTA[[#This Row],[CONCAT1]]&amp;NOTA[[#This Row],[HARGA SATUAN]],NOTA[[#This Row],[CONCAT1]]&amp;NOTA[[#This Row],[HARGA/ CTN_H]]&amp;NOTA[[#This Row],[DISC 1]]&amp;NOTA[[#This Row],[DISC 2]])</f>
        <v>gelzhixinrefillg50092190000</v>
      </c>
      <c r="AN424" s="184">
        <f>IF(NOTA[[#This Row],[CONCAT1]]="","",MATCH(NOTA[[#This Row],[CONCAT1]],[1]!db[NB NOTA_C],0)+1)</f>
        <v>870</v>
      </c>
    </row>
    <row r="425" spans="1:40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Row],[CEK_EXP]]&lt;D424,"err","")</f>
        <v/>
      </c>
      <c r="D425" s="50">
        <f>IF(NOTA[[#This Row],[TANGGAL]]="",D424,NOTA[[#This Row],[TANGGAL]])</f>
        <v>44940</v>
      </c>
      <c r="E425" s="50">
        <f ca="1">IF(NOTA[[#This Row],[NAMA BARANG]]="","",INDEX(NOTA[ID],MATCH(,INDIRECT(ADDRESS(ROW(NOTA[ID]),COLUMN(NOTA[ID]))&amp;":"&amp;ADDRESS(ROW(),COLUMN(NOTA[ID]))),-1)))</f>
        <v>77</v>
      </c>
      <c r="F425" s="23"/>
      <c r="G425" s="26"/>
      <c r="H425" s="26"/>
      <c r="I425" s="31"/>
      <c r="J425" s="26"/>
      <c r="K425" s="51"/>
      <c r="L425" s="26"/>
      <c r="M425" s="26" t="s">
        <v>592</v>
      </c>
      <c r="N425" s="39">
        <v>1</v>
      </c>
      <c r="O425" s="26">
        <v>120</v>
      </c>
      <c r="P425" s="26" t="s">
        <v>90</v>
      </c>
      <c r="Q425" s="49">
        <v>18250</v>
      </c>
      <c r="R425" s="52"/>
      <c r="S425" s="39" t="s">
        <v>188</v>
      </c>
      <c r="T425" s="53"/>
      <c r="U425" s="53"/>
      <c r="V425" s="54"/>
      <c r="W425" s="37"/>
      <c r="X425" s="54">
        <f>IF(NOTA[[#This Row],[HARGA/ CTN]]="",NOTA[[#This Row],[JUMLAH_H]],NOTA[[#This Row],[HARGA/ CTN]]*IF(NOTA[[#This Row],[C]]="",0,NOTA[[#This Row],[C]]))</f>
        <v>2190000</v>
      </c>
      <c r="Y425" s="54">
        <f>IF(NOTA[[#This Row],[JUMLAH]]="","",NOTA[[#This Row],[JUMLAH]]*NOTA[[#This Row],[DISC 1]])</f>
        <v>0</v>
      </c>
      <c r="Z425" s="54">
        <f>IF(NOTA[[#This Row],[JUMLAH]]="","",(NOTA[[#This Row],[JUMLAH]]-NOTA[[#This Row],[DISC 1-]])*NOTA[[#This Row],[DISC 2]])</f>
        <v>0</v>
      </c>
      <c r="AA425" s="54">
        <f>IF(NOTA[[#This Row],[JUMLAH]]="","",NOTA[[#This Row],[DISC 1-]]+NOTA[[#This Row],[DISC 2-]])</f>
        <v>0</v>
      </c>
      <c r="AB425" s="54">
        <f>IF(NOTA[[#This Row],[JUMLAH]]="","",NOTA[[#This Row],[JUMLAH]]-NOTA[[#This Row],[DISC]])</f>
        <v>2190000</v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25" s="54">
        <f>IF(OR(NOTA[[#This Row],[QTY]]="",NOTA[[#This Row],[HARGA SATUAN]]="",),"",NOTA[[#This Row],[QTY]]*NOTA[[#This Row],[HARGA SATUAN]])</f>
        <v>2190000</v>
      </c>
      <c r="AG425" s="51">
        <f ca="1">IF(NOTA[ID_H]="","",INDEX(NOTA[TANGGAL],MATCH(,INDIRECT(ADDRESS(ROW(NOTA[TANGGAL]),COLUMN(NOTA[TANGGAL]))&amp;":"&amp;ADDRESS(ROW(),COLUMN(NOTA[TANGGAL]))),-1)))</f>
        <v>44940</v>
      </c>
      <c r="AH425" s="49" t="str">
        <f ca="1">IF(NOTA[[#This Row],[NAMA BARANG]]="","",INDEX(NOTA[SUPPLIER],MATCH(,INDIRECT(ADDRESS(ROW(NOTA[ID]),COLUMN(NOTA[ID]))&amp;":"&amp;ADDRESS(ROW(),COLUMN(NOTA[ID]))),-1)))</f>
        <v>DB STATIONERY</v>
      </c>
      <c r="AI425" s="49" t="str">
        <f ca="1">IF(NOTA[[#This Row],[ID_H]]="","",IF(NOTA[[#This Row],[FAKTUR]]="",INDIRECT(ADDRESS(ROW()-1,COLUMN())),NOTA[[#This Row],[FAKTUR]]))</f>
        <v>UNTANA</v>
      </c>
      <c r="AJ425" s="38" t="str">
        <f ca="1">IF(NOTA[[#This Row],[ID]]="","",COUNTIF(NOTA[ID_H],NOTA[[#This Row],[ID_H]]))</f>
        <v/>
      </c>
      <c r="AK425" s="38">
        <f ca="1">IF(NOTA[[#This Row],[TGL.NOTA]]="",IF(NOTA[[#This Row],[SUPPLIER_H]]="","",AK424),MONTH(NOTA[[#This Row],[TGL.NOTA]]))</f>
        <v>1</v>
      </c>
      <c r="AL425" s="38" t="str">
        <f>LOWER(SUBSTITUTE(SUBSTITUTE(SUBSTITUTE(SUBSTITUTE(SUBSTITUTE(SUBSTITUTE(SUBSTITUTE(SUBSTITUTE(SUBSTITUTE(NOTA[NAMA BARANG]," ",),".",""),"-",""),"(",""),")",""),",",""),"/",""),"""",""),"+",""))</f>
        <v>gelzhixinrefillg3101</v>
      </c>
      <c r="AM425" s="38" t="str">
        <f>IF(NOTA[C]="",NOTA[[#This Row],[CONCAT1]]&amp;NOTA[[#This Row],[HARGA SATUAN]],NOTA[[#This Row],[CONCAT1]]&amp;NOTA[[#This Row],[HARGA/ CTN_H]]&amp;NOTA[[#This Row],[DISC 1]]&amp;NOTA[[#This Row],[DISC 2]])</f>
        <v>gelzhixinrefillg31012190000</v>
      </c>
      <c r="AN425" s="184">
        <f>IF(NOTA[[#This Row],[CONCAT1]]="","",MATCH(NOTA[[#This Row],[CONCAT1]],[1]!db[NB NOTA_C],0)+1)</f>
        <v>852</v>
      </c>
    </row>
    <row r="426" spans="1:40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Row],[CEK_EXP]]&lt;D425,"err","")</f>
        <v/>
      </c>
      <c r="D426" s="50">
        <f>IF(NOTA[[#This Row],[TANGGAL]]="",D425,NOTA[[#This Row],[TANGGAL]])</f>
        <v>44940</v>
      </c>
      <c r="E426" s="50">
        <f ca="1">IF(NOTA[[#This Row],[NAMA BARANG]]="","",INDEX(NOTA[ID],MATCH(,INDIRECT(ADDRESS(ROW(NOTA[ID]),COLUMN(NOTA[ID]))&amp;":"&amp;ADDRESS(ROW(),COLUMN(NOTA[ID]))),-1)))</f>
        <v>77</v>
      </c>
      <c r="F426" s="23"/>
      <c r="G426" s="26"/>
      <c r="H426" s="26"/>
      <c r="I426" s="31"/>
      <c r="J426" s="26"/>
      <c r="K426" s="51"/>
      <c r="L426" s="26"/>
      <c r="M426" s="26" t="s">
        <v>593</v>
      </c>
      <c r="N426" s="39">
        <v>1</v>
      </c>
      <c r="O426" s="26">
        <v>120</v>
      </c>
      <c r="P426" s="26" t="s">
        <v>90</v>
      </c>
      <c r="Q426" s="49">
        <v>18250</v>
      </c>
      <c r="R426" s="52"/>
      <c r="S426" s="39" t="s">
        <v>188</v>
      </c>
      <c r="T426" s="53"/>
      <c r="U426" s="53"/>
      <c r="V426" s="54"/>
      <c r="W426" s="37"/>
      <c r="X426" s="54">
        <f>IF(NOTA[[#This Row],[HARGA/ CTN]]="",NOTA[[#This Row],[JUMLAH_H]],NOTA[[#This Row],[HARGA/ CTN]]*IF(NOTA[[#This Row],[C]]="",0,NOTA[[#This Row],[C]]))</f>
        <v>2190000</v>
      </c>
      <c r="Y426" s="54">
        <f>IF(NOTA[[#This Row],[JUMLAH]]="","",NOTA[[#This Row],[JUMLAH]]*NOTA[[#This Row],[DISC 1]])</f>
        <v>0</v>
      </c>
      <c r="Z426" s="54">
        <f>IF(NOTA[[#This Row],[JUMLAH]]="","",(NOTA[[#This Row],[JUMLAH]]-NOTA[[#This Row],[DISC 1-]])*NOTA[[#This Row],[DISC 2]])</f>
        <v>0</v>
      </c>
      <c r="AA426" s="54">
        <f>IF(NOTA[[#This Row],[JUMLAH]]="","",NOTA[[#This Row],[DISC 1-]]+NOTA[[#This Row],[DISC 2-]])</f>
        <v>0</v>
      </c>
      <c r="AB426" s="54">
        <f>IF(NOTA[[#This Row],[JUMLAH]]="","",NOTA[[#This Row],[JUMLAH]]-NOTA[[#This Row],[DISC]])</f>
        <v>2190000</v>
      </c>
      <c r="AC4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148500</v>
      </c>
      <c r="AD4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63877500</v>
      </c>
      <c r="AE42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426" s="54">
        <f>IF(OR(NOTA[[#This Row],[QTY]]="",NOTA[[#This Row],[HARGA SATUAN]]="",),"",NOTA[[#This Row],[QTY]]*NOTA[[#This Row],[HARGA SATUAN]])</f>
        <v>2190000</v>
      </c>
      <c r="AG426" s="51">
        <f ca="1">IF(NOTA[ID_H]="","",INDEX(NOTA[TANGGAL],MATCH(,INDIRECT(ADDRESS(ROW(NOTA[TANGGAL]),COLUMN(NOTA[TANGGAL]))&amp;":"&amp;ADDRESS(ROW(),COLUMN(NOTA[TANGGAL]))),-1)))</f>
        <v>44940</v>
      </c>
      <c r="AH426" s="49" t="str">
        <f ca="1">IF(NOTA[[#This Row],[NAMA BARANG]]="","",INDEX(NOTA[SUPPLIER],MATCH(,INDIRECT(ADDRESS(ROW(NOTA[ID]),COLUMN(NOTA[ID]))&amp;":"&amp;ADDRESS(ROW(),COLUMN(NOTA[ID]))),-1)))</f>
        <v>DB STATIONERY</v>
      </c>
      <c r="AI426" s="49" t="str">
        <f ca="1">IF(NOTA[[#This Row],[ID_H]]="","",IF(NOTA[[#This Row],[FAKTUR]]="",INDIRECT(ADDRESS(ROW()-1,COLUMN())),NOTA[[#This Row],[FAKTUR]]))</f>
        <v>UNTANA</v>
      </c>
      <c r="AJ426" s="38" t="str">
        <f ca="1">IF(NOTA[[#This Row],[ID]]="","",COUNTIF(NOTA[ID_H],NOTA[[#This Row],[ID_H]]))</f>
        <v/>
      </c>
      <c r="AK426" s="38">
        <f ca="1">IF(NOTA[[#This Row],[TGL.NOTA]]="",IF(NOTA[[#This Row],[SUPPLIER_H]]="","",AK425),MONTH(NOTA[[#This Row],[TGL.NOTA]]))</f>
        <v>1</v>
      </c>
      <c r="AL426" s="38" t="str">
        <f>LOWER(SUBSTITUTE(SUBSTITUTE(SUBSTITUTE(SUBSTITUTE(SUBSTITUTE(SUBSTITUTE(SUBSTITUTE(SUBSTITUTE(SUBSTITUTE(NOTA[NAMA BARANG]," ",),".",""),"-",""),"(",""),")",""),",",""),"/",""),"""",""),"+",""))</f>
        <v>gelzhixinrefillg3117</v>
      </c>
      <c r="AM426" s="38" t="str">
        <f>IF(NOTA[C]="",NOTA[[#This Row],[CONCAT1]]&amp;NOTA[[#This Row],[HARGA SATUAN]],NOTA[[#This Row],[CONCAT1]]&amp;NOTA[[#This Row],[HARGA/ CTN_H]]&amp;NOTA[[#This Row],[DISC 1]]&amp;NOTA[[#This Row],[DISC 2]])</f>
        <v>gelzhixinrefillg31172190000</v>
      </c>
      <c r="AN426" s="184">
        <f>IF(NOTA[[#This Row],[CONCAT1]]="","",MATCH(NOTA[[#This Row],[CONCAT1]],[1]!db[NB NOTA_C],0)+1)</f>
        <v>907</v>
      </c>
    </row>
    <row r="427" spans="1:40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Row],[CEK_EXP]]&lt;D426,"err","")</f>
        <v/>
      </c>
      <c r="D427" s="50">
        <f>IF(NOTA[[#This Row],[TANGGAL]]="",D426,NOTA[[#This Row],[TANGGAL]])</f>
        <v>44940</v>
      </c>
      <c r="E427" s="50" t="str">
        <f ca="1">IF(NOTA[[#This Row],[NAMA BARANG]]="","",INDEX(NOTA[ID],MATCH(,INDIRECT(ADDRESS(ROW(NOTA[ID]),COLUMN(NOTA[ID]))&amp;":"&amp;ADDRESS(ROW(),COLUMN(NOTA[ID]))),-1)))</f>
        <v/>
      </c>
      <c r="F427" s="23"/>
      <c r="G427" s="26"/>
      <c r="H427" s="26"/>
      <c r="I427" s="31"/>
      <c r="J427" s="26"/>
      <c r="K427" s="51"/>
      <c r="L427" s="26"/>
      <c r="M427" s="26"/>
      <c r="N427" s="39"/>
      <c r="O427" s="26"/>
      <c r="P427" s="26"/>
      <c r="Q427" s="49"/>
      <c r="R427" s="52"/>
      <c r="S427" s="39"/>
      <c r="T427" s="53"/>
      <c r="U427" s="53"/>
      <c r="V427" s="54"/>
      <c r="W427" s="37"/>
      <c r="X427" s="54" t="str">
        <f>IF(NOTA[[#This Row],[HARGA/ CTN]]="",NOTA[[#This Row],[JUMLAH_H]],NOTA[[#This Row],[HARGA/ CTN]]*IF(NOTA[[#This Row],[C]]="",0,NOTA[[#This Row],[C]]))</f>
        <v/>
      </c>
      <c r="Y427" s="54" t="str">
        <f>IF(NOTA[[#This Row],[JUMLAH]]="","",NOTA[[#This Row],[JUMLAH]]*NOTA[[#This Row],[DISC 1]])</f>
        <v/>
      </c>
      <c r="Z427" s="54" t="str">
        <f>IF(NOTA[[#This Row],[JUMLAH]]="","",(NOTA[[#This Row],[JUMLAH]]-NOTA[[#This Row],[DISC 1-]])*NOTA[[#This Row],[DISC 2]])</f>
        <v/>
      </c>
      <c r="AA427" s="54" t="str">
        <f>IF(NOTA[[#This Row],[JUMLAH]]="","",NOTA[[#This Row],[DISC 1-]]+NOTA[[#This Row],[DISC 2-]])</f>
        <v/>
      </c>
      <c r="AB427" s="54" t="str">
        <f>IF(NOTA[[#This Row],[JUMLAH]]="","",NOTA[[#This Row],[JUMLAH]]-NOTA[[#This Row],[DISC]])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4" t="str">
        <f>IF(OR(NOTA[[#This Row],[QTY]]="",NOTA[[#This Row],[HARGA SATUAN]]="",),"",NOTA[[#This Row],[QTY]]*NOTA[[#This Row],[HARGA SATUAN]])</f>
        <v/>
      </c>
      <c r="AG427" s="51" t="str">
        <f ca="1">IF(NOTA[ID_H]="","",INDEX(NOTA[TANGGAL],MATCH(,INDIRECT(ADDRESS(ROW(NOTA[TANGGAL]),COLUMN(NOTA[TANGGAL]))&amp;":"&amp;ADDRESS(ROW(),COLUMN(NOTA[TANGGAL]))),-1)))</f>
        <v/>
      </c>
      <c r="AH427" s="49" t="str">
        <f ca="1">IF(NOTA[[#This Row],[NAMA BARANG]]="","",INDEX(NOTA[SUPPLIER],MATCH(,INDIRECT(ADDRESS(ROW(NOTA[ID]),COLUMN(NOTA[ID]))&amp;":"&amp;ADDRESS(ROW(),COLUMN(NOTA[ID]))),-1)))</f>
        <v/>
      </c>
      <c r="AI427" s="49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IF(NOTA[C]="",NOTA[[#This Row],[CONCAT1]]&amp;NOTA[[#This Row],[HARGA SATUAN]],NOTA[[#This Row],[CONCAT1]]&amp;NOTA[[#This Row],[HARGA/ CTN_H]]&amp;NOTA[[#This Row],[DISC 1]]&amp;NOTA[[#This Row],[DISC 2]])</f>
        <v/>
      </c>
      <c r="AN427" s="184" t="str">
        <f>IF(NOTA[[#This Row],[CONCAT1]]="","",MATCH(NOTA[[#This Row],[CONCAT1]],[1]!db[NB NOTA_C],0)+1)</f>
        <v/>
      </c>
    </row>
    <row r="428" spans="1:40" ht="20.100000000000001" customHeight="1" x14ac:dyDescent="0.25">
      <c r="A428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DBS_1401_323-2</v>
      </c>
      <c r="C428" s="50" t="str">
        <f>IF(NOTA[[#This Row],[CEK_EXP]]&lt;D427,"err","")</f>
        <v/>
      </c>
      <c r="D428" s="50">
        <f>IF(NOTA[[#This Row],[TANGGAL]]="",D427,NOTA[[#This Row],[TANGGAL]])</f>
        <v>44940</v>
      </c>
      <c r="E428" s="50">
        <f ca="1">IF(NOTA[[#This Row],[NAMA BARANG]]="","",INDEX(NOTA[ID],MATCH(,INDIRECT(ADDRESS(ROW(NOTA[ID]),COLUMN(NOTA[ID]))&amp;":"&amp;ADDRESS(ROW(),COLUMN(NOTA[ID]))),-1)))</f>
        <v>78</v>
      </c>
      <c r="F428" s="23"/>
      <c r="G428" s="26" t="s">
        <v>220</v>
      </c>
      <c r="H428" s="26" t="s">
        <v>87</v>
      </c>
      <c r="I428" s="31" t="s">
        <v>594</v>
      </c>
      <c r="J428" s="26"/>
      <c r="K428" s="51">
        <v>44931</v>
      </c>
      <c r="L428" s="26"/>
      <c r="M428" s="26" t="s">
        <v>222</v>
      </c>
      <c r="N428" s="39">
        <v>5</v>
      </c>
      <c r="O428" s="26">
        <v>480</v>
      </c>
      <c r="P428" s="26" t="s">
        <v>90</v>
      </c>
      <c r="Q428" s="49">
        <v>31500</v>
      </c>
      <c r="R428" s="52"/>
      <c r="S428" s="39" t="s">
        <v>223</v>
      </c>
      <c r="T428" s="53"/>
      <c r="U428" s="53"/>
      <c r="V428" s="54"/>
      <c r="W428" s="37"/>
      <c r="X428" s="54">
        <f>IF(NOTA[[#This Row],[HARGA/ CTN]]="",NOTA[[#This Row],[JUMLAH_H]],NOTA[[#This Row],[HARGA/ CTN]]*IF(NOTA[[#This Row],[C]]="",0,NOTA[[#This Row],[C]]))</f>
        <v>15120000</v>
      </c>
      <c r="Y428" s="54">
        <f>IF(NOTA[[#This Row],[JUMLAH]]="","",NOTA[[#This Row],[JUMLAH]]*NOTA[[#This Row],[DISC 1]])</f>
        <v>0</v>
      </c>
      <c r="Z428" s="54">
        <f>IF(NOTA[[#This Row],[JUMLAH]]="","",(NOTA[[#This Row],[JUMLAH]]-NOTA[[#This Row],[DISC 1-]])*NOTA[[#This Row],[DISC 2]])</f>
        <v>0</v>
      </c>
      <c r="AA428" s="54">
        <f>IF(NOTA[[#This Row],[JUMLAH]]="","",NOTA[[#This Row],[DISC 1-]]+NOTA[[#This Row],[DISC 2-]])</f>
        <v>0</v>
      </c>
      <c r="AB428" s="54">
        <f>IF(NOTA[[#This Row],[JUMLAH]]="","",NOTA[[#This Row],[JUMLAH]]-NOTA[[#This Row],[DISC]])</f>
        <v>15120000</v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28" s="54">
        <f>IF(OR(NOTA[[#This Row],[QTY]]="",NOTA[[#This Row],[HARGA SATUAN]]="",),"",NOTA[[#This Row],[QTY]]*NOTA[[#This Row],[HARGA SATUAN]])</f>
        <v>15120000</v>
      </c>
      <c r="AG428" s="51">
        <f ca="1">IF(NOTA[ID_H]="","",INDEX(NOTA[TANGGAL],MATCH(,INDIRECT(ADDRESS(ROW(NOTA[TANGGAL]),COLUMN(NOTA[TANGGAL]))&amp;":"&amp;ADDRESS(ROW(),COLUMN(NOTA[TANGGAL]))),-1)))</f>
        <v>44940</v>
      </c>
      <c r="AH428" s="49" t="str">
        <f ca="1">IF(NOTA[[#This Row],[NAMA BARANG]]="","",INDEX(NOTA[SUPPLIER],MATCH(,INDIRECT(ADDRESS(ROW(NOTA[ID]),COLUMN(NOTA[ID]))&amp;":"&amp;ADDRESS(ROW(),COLUMN(NOTA[ID]))),-1)))</f>
        <v>DB STATIONERY</v>
      </c>
      <c r="AI428" s="49" t="str">
        <f ca="1">IF(NOTA[[#This Row],[ID_H]]="","",IF(NOTA[[#This Row],[FAKTUR]]="",INDIRECT(ADDRESS(ROW()-1,COLUMN())),NOTA[[#This Row],[FAKTUR]]))</f>
        <v>UNTANA</v>
      </c>
      <c r="AJ428" s="38">
        <f ca="1">IF(NOTA[[#This Row],[ID]]="","",COUNTIF(NOTA[ID_H],NOTA[[#This Row],[ID_H]]))</f>
        <v>2</v>
      </c>
      <c r="AK428" s="38">
        <f>IF(NOTA[[#This Row],[TGL.NOTA]]="",IF(NOTA[[#This Row],[SUPPLIER_H]]="","",AK427),MONTH(NOTA[[#This Row],[TGL.NOTA]]))</f>
        <v>1</v>
      </c>
      <c r="AL428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428" s="38" t="str">
        <f>IF(NOTA[C]="",NOTA[[#This Row],[CONCAT1]]&amp;NOTA[[#This Row],[HARGA SATUAN]],NOTA[[#This Row],[CONCAT1]]&amp;NOTA[[#This Row],[HARGA/ CTN_H]]&amp;NOTA[[#This Row],[DISC 1]]&amp;NOTA[[#This Row],[DISC 2]])</f>
        <v>gelpentizo10tg3403024000</v>
      </c>
      <c r="AN428" s="184">
        <f>IF(NOTA[[#This Row],[CONCAT1]]="","",MATCH(NOTA[[#This Row],[CONCAT1]],[1]!db[NB NOTA_C],0)+1)</f>
        <v>758</v>
      </c>
    </row>
    <row r="429" spans="1:40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Row],[CEK_EXP]]&lt;D428,"err","")</f>
        <v/>
      </c>
      <c r="D429" s="50">
        <f>IF(NOTA[[#This Row],[TANGGAL]]="",D428,NOTA[[#This Row],[TANGGAL]])</f>
        <v>44940</v>
      </c>
      <c r="E429" s="50">
        <f ca="1">IF(NOTA[[#This Row],[NAMA BARANG]]="","",INDEX(NOTA[ID],MATCH(,INDIRECT(ADDRESS(ROW(NOTA[ID]),COLUMN(NOTA[ID]))&amp;":"&amp;ADDRESS(ROW(),COLUMN(NOTA[ID]))),-1)))</f>
        <v>78</v>
      </c>
      <c r="F429" s="23"/>
      <c r="G429" s="26"/>
      <c r="H429" s="26"/>
      <c r="I429" s="31"/>
      <c r="J429" s="26"/>
      <c r="K429" s="51"/>
      <c r="L429" s="26"/>
      <c r="M429" s="26" t="s">
        <v>251</v>
      </c>
      <c r="N429" s="39">
        <v>2</v>
      </c>
      <c r="O429" s="26">
        <v>192</v>
      </c>
      <c r="P429" s="26" t="s">
        <v>90</v>
      </c>
      <c r="Q429" s="49">
        <v>31500</v>
      </c>
      <c r="R429" s="52"/>
      <c r="S429" s="39" t="s">
        <v>223</v>
      </c>
      <c r="T429" s="53"/>
      <c r="U429" s="53"/>
      <c r="V429" s="54"/>
      <c r="W429" s="37"/>
      <c r="X429" s="54">
        <f>IF(NOTA[[#This Row],[HARGA/ CTN]]="",NOTA[[#This Row],[JUMLAH_H]],NOTA[[#This Row],[HARGA/ CTN]]*IF(NOTA[[#This Row],[C]]="",0,NOTA[[#This Row],[C]]))</f>
        <v>6048000</v>
      </c>
      <c r="Y429" s="54">
        <f>IF(NOTA[[#This Row],[JUMLAH]]="","",NOTA[[#This Row],[JUMLAH]]*NOTA[[#This Row],[DISC 1]])</f>
        <v>0</v>
      </c>
      <c r="Z429" s="54">
        <f>IF(NOTA[[#This Row],[JUMLAH]]="","",(NOTA[[#This Row],[JUMLAH]]-NOTA[[#This Row],[DISC 1-]])*NOTA[[#This Row],[DISC 2]])</f>
        <v>0</v>
      </c>
      <c r="AA429" s="54">
        <f>IF(NOTA[[#This Row],[JUMLAH]]="","",NOTA[[#This Row],[DISC 1-]]+NOTA[[#This Row],[DISC 2-]])</f>
        <v>0</v>
      </c>
      <c r="AB429" s="54">
        <f>IF(NOTA[[#This Row],[JUMLAH]]="","",NOTA[[#This Row],[JUMLAH]]-NOTA[[#This Row],[DISC]])</f>
        <v>6048000</v>
      </c>
      <c r="AC4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21168000</v>
      </c>
      <c r="AE429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29" s="54">
        <f>IF(OR(NOTA[[#This Row],[QTY]]="",NOTA[[#This Row],[HARGA SATUAN]]="",),"",NOTA[[#This Row],[QTY]]*NOTA[[#This Row],[HARGA SATUAN]])</f>
        <v>6048000</v>
      </c>
      <c r="AG429" s="51">
        <f ca="1">IF(NOTA[ID_H]="","",INDEX(NOTA[TANGGAL],MATCH(,INDIRECT(ADDRESS(ROW(NOTA[TANGGAL]),COLUMN(NOTA[TANGGAL]))&amp;":"&amp;ADDRESS(ROW(),COLUMN(NOTA[TANGGAL]))),-1)))</f>
        <v>44940</v>
      </c>
      <c r="AH429" s="49" t="str">
        <f ca="1">IF(NOTA[[#This Row],[NAMA BARANG]]="","",INDEX(NOTA[SUPPLIER],MATCH(,INDIRECT(ADDRESS(ROW(NOTA[ID]),COLUMN(NOTA[ID]))&amp;":"&amp;ADDRESS(ROW(),COLUMN(NOTA[ID]))),-1)))</f>
        <v>DB STATIONERY</v>
      </c>
      <c r="AI429" s="49" t="str">
        <f ca="1">IF(NOTA[[#This Row],[ID_H]]="","",IF(NOTA[[#This Row],[FAKTUR]]="",INDIRECT(ADDRESS(ROW()-1,COLUMN())),NOTA[[#This Row],[FAKTUR]]))</f>
        <v>UNTANA</v>
      </c>
      <c r="AJ429" s="38" t="str">
        <f ca="1">IF(NOTA[[#This Row],[ID]]="","",COUNTIF(NOTA[ID_H],NOTA[[#This Row],[ID_H]]))</f>
        <v/>
      </c>
      <c r="AK429" s="38">
        <f ca="1">IF(NOTA[[#This Row],[TGL.NOTA]]="",IF(NOTA[[#This Row],[SUPPLIER_H]]="","",AK428),MONTH(NOTA[[#This Row],[TGL.NOTA]]))</f>
        <v>1</v>
      </c>
      <c r="AL429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M429" s="38" t="str">
        <f>IF(NOTA[C]="",NOTA[[#This Row],[CONCAT1]]&amp;NOTA[[#This Row],[HARGA SATUAN]],NOTA[[#This Row],[CONCAT1]]&amp;NOTA[[#This Row],[HARGA/ CTN_H]]&amp;NOTA[[#This Row],[DISC 1]]&amp;NOTA[[#This Row],[DISC 2]])</f>
        <v>gel10tg340bibiru3024000</v>
      </c>
      <c r="AN429" s="184">
        <f>IF(NOTA[[#This Row],[CONCAT1]]="","",MATCH(NOTA[[#This Row],[CONCAT1]],[1]!db[NB NOTA_C],0)+1)</f>
        <v>712</v>
      </c>
    </row>
    <row r="430" spans="1:40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Row],[CEK_EXP]]&lt;D429,"err","")</f>
        <v/>
      </c>
      <c r="D430" s="50">
        <f>IF(NOTA[[#This Row],[TANGGAL]]="",D429,NOTA[[#This Row],[TANGGAL]])</f>
        <v>44940</v>
      </c>
      <c r="E430" s="50" t="str">
        <f ca="1">IF(NOTA[[#This Row],[NAMA BARANG]]="","",INDEX(NOTA[ID],MATCH(,INDIRECT(ADDRESS(ROW(NOTA[ID]),COLUMN(NOTA[ID]))&amp;":"&amp;ADDRESS(ROW(),COLUMN(NOTA[ID]))),-1)))</f>
        <v/>
      </c>
      <c r="F430" s="23"/>
      <c r="G430" s="26"/>
      <c r="H430" s="26"/>
      <c r="I430" s="31"/>
      <c r="J430" s="26"/>
      <c r="K430" s="51"/>
      <c r="L430" s="26"/>
      <c r="M430" s="26"/>
      <c r="N430" s="39"/>
      <c r="O430" s="26"/>
      <c r="P430" s="26"/>
      <c r="Q430" s="49"/>
      <c r="R430" s="52"/>
      <c r="S430" s="39"/>
      <c r="T430" s="53"/>
      <c r="U430" s="53"/>
      <c r="V430" s="54"/>
      <c r="W430" s="37"/>
      <c r="X430" s="54" t="str">
        <f>IF(NOTA[[#This Row],[HARGA/ CTN]]="",NOTA[[#This Row],[JUMLAH_H]],NOTA[[#This Row],[HARGA/ CTN]]*IF(NOTA[[#This Row],[C]]="",0,NOTA[[#This Row],[C]]))</f>
        <v/>
      </c>
      <c r="Y430" s="54" t="str">
        <f>IF(NOTA[[#This Row],[JUMLAH]]="","",NOTA[[#This Row],[JUMLAH]]*NOTA[[#This Row],[DISC 1]])</f>
        <v/>
      </c>
      <c r="Z430" s="54" t="str">
        <f>IF(NOTA[[#This Row],[JUMLAH]]="","",(NOTA[[#This Row],[JUMLAH]]-NOTA[[#This Row],[DISC 1-]])*NOTA[[#This Row],[DISC 2]])</f>
        <v/>
      </c>
      <c r="AA430" s="54" t="str">
        <f>IF(NOTA[[#This Row],[JUMLAH]]="","",NOTA[[#This Row],[DISC 1-]]+NOTA[[#This Row],[DISC 2-]])</f>
        <v/>
      </c>
      <c r="AB430" s="54" t="str">
        <f>IF(NOTA[[#This Row],[JUMLAH]]="","",NOTA[[#This Row],[JUMLAH]]-NOTA[[#This Row],[DISC]])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54" t="str">
        <f>IF(OR(NOTA[[#This Row],[QTY]]="",NOTA[[#This Row],[HARGA SATUAN]]="",),"",NOTA[[#This Row],[QTY]]*NOTA[[#This Row],[HARGA SATUAN]])</f>
        <v/>
      </c>
      <c r="AG430" s="51" t="str">
        <f ca="1">IF(NOTA[ID_H]="","",INDEX(NOTA[TANGGAL],MATCH(,INDIRECT(ADDRESS(ROW(NOTA[TANGGAL]),COLUMN(NOTA[TANGGAL]))&amp;":"&amp;ADDRESS(ROW(),COLUMN(NOTA[TANGGAL]))),-1)))</f>
        <v/>
      </c>
      <c r="AH430" s="49" t="str">
        <f ca="1">IF(NOTA[[#This Row],[NAMA BARANG]]="","",INDEX(NOTA[SUPPLIER],MATCH(,INDIRECT(ADDRESS(ROW(NOTA[ID]),COLUMN(NOTA[ID]))&amp;":"&amp;ADDRESS(ROW(),COLUMN(NOTA[ID]))),-1)))</f>
        <v/>
      </c>
      <c r="AI430" s="49" t="str">
        <f ca="1">IF(NOTA[[#This Row],[ID_H]]="","",IF(NOTA[[#This Row],[FAKTUR]]="",INDIRECT(ADDRESS(ROW()-1,COLUMN())),NOTA[[#This Row],[FAKTUR]]))</f>
        <v/>
      </c>
      <c r="AJ430" s="38" t="str">
        <f ca="1">IF(NOTA[[#This Row],[ID]]="","",COUNTIF(NOTA[ID_H],NOTA[[#This Row],[ID_H]]))</f>
        <v/>
      </c>
      <c r="AK430" s="38" t="str">
        <f ca="1">IF(NOTA[[#This Row],[TGL.NOTA]]="",IF(NOTA[[#This Row],[SUPPLIER_H]]="","",AK429),MONTH(NOTA[[#This Row],[TGL.NOTA]]))</f>
        <v/>
      </c>
      <c r="AL430" s="38" t="str">
        <f>LOWER(SUBSTITUTE(SUBSTITUTE(SUBSTITUTE(SUBSTITUTE(SUBSTITUTE(SUBSTITUTE(SUBSTITUTE(SUBSTITUTE(SUBSTITUTE(NOTA[NAMA BARANG]," ",),".",""),"-",""),"(",""),")",""),",",""),"/",""),"""",""),"+",""))</f>
        <v/>
      </c>
      <c r="AM430" s="38" t="str">
        <f>IF(NOTA[C]="",NOTA[[#This Row],[CONCAT1]]&amp;NOTA[[#This Row],[HARGA SATUAN]],NOTA[[#This Row],[CONCAT1]]&amp;NOTA[[#This Row],[HARGA/ CTN_H]]&amp;NOTA[[#This Row],[DISC 1]]&amp;NOTA[[#This Row],[DISC 2]])</f>
        <v/>
      </c>
      <c r="AN430" s="184" t="str">
        <f>IF(NOTA[[#This Row],[CONCAT1]]="","",MATCH(NOTA[[#This Row],[CONCAT1]],[1]!db[NB NOTA_C],0)+1)</f>
        <v/>
      </c>
    </row>
    <row r="431" spans="1:40" ht="20.100000000000001" customHeight="1" x14ac:dyDescent="0.25">
      <c r="A43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GRA_1401_LAN-2</v>
      </c>
      <c r="C431" s="50" t="str">
        <f>IF(NOTA[[#This Row],[CEK_EXP]]&lt;D430,"err","")</f>
        <v/>
      </c>
      <c r="D431" s="50">
        <f>IF(NOTA[[#This Row],[TANGGAL]]="",D430,NOTA[[#This Row],[TANGGAL]])</f>
        <v>44940</v>
      </c>
      <c r="E431" s="50">
        <f ca="1">IF(NOTA[[#This Row],[NAMA BARANG]]="","",INDEX(NOTA[ID],MATCH(,INDIRECT(ADDRESS(ROW(NOTA[ID]),COLUMN(NOTA[ID]))&amp;":"&amp;ADDRESS(ROW(),COLUMN(NOTA[ID]))),-1)))</f>
        <v>79</v>
      </c>
      <c r="F431" s="23"/>
      <c r="G431" s="26" t="s">
        <v>86</v>
      </c>
      <c r="H431" s="26" t="s">
        <v>87</v>
      </c>
      <c r="I431" s="31" t="s">
        <v>88</v>
      </c>
      <c r="J431" s="26"/>
      <c r="K431" s="51">
        <v>44938</v>
      </c>
      <c r="L431" s="26"/>
      <c r="M431" s="26" t="s">
        <v>979</v>
      </c>
      <c r="N431" s="39">
        <v>30</v>
      </c>
      <c r="O431" s="26"/>
      <c r="P431" s="26"/>
      <c r="Q431" s="49"/>
      <c r="R431" s="52"/>
      <c r="S431" s="39" t="s">
        <v>91</v>
      </c>
      <c r="T431" s="53"/>
      <c r="U431" s="53"/>
      <c r="V431" s="54"/>
      <c r="W431" s="37" t="s">
        <v>88</v>
      </c>
      <c r="X431" s="54" t="str">
        <f>IF(NOTA[[#This Row],[HARGA/ CTN]]="",NOTA[[#This Row],[JUMLAH_H]],NOTA[[#This Row],[HARGA/ CTN]]*IF(NOTA[[#This Row],[C]]="",0,NOTA[[#This Row],[C]]))</f>
        <v/>
      </c>
      <c r="Y431" s="54" t="str">
        <f>IF(NOTA[[#This Row],[JUMLAH]]="","",NOTA[[#This Row],[JUMLAH]]*NOTA[[#This Row],[DISC 1]])</f>
        <v/>
      </c>
      <c r="Z431" s="54" t="str">
        <f>IF(NOTA[[#This Row],[JUMLAH]]="","",(NOTA[[#This Row],[JUMLAH]]-NOTA[[#This Row],[DISC 1-]])*NOTA[[#This Row],[DISC 2]])</f>
        <v/>
      </c>
      <c r="AA431" s="54" t="str">
        <f>IF(NOTA[[#This Row],[JUMLAH]]="","",NOTA[[#This Row],[DISC 1-]]+NOTA[[#This Row],[DISC 2-]])</f>
        <v/>
      </c>
      <c r="AB431" s="54" t="str">
        <f>IF(NOTA[[#This Row],[JUMLAH]]="","",NOTA[[#This Row],[JUMLAH]]-NOTA[[#This Row],[DISC]])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31" s="54" t="str">
        <f>IF(OR(NOTA[[#This Row],[QTY]]="",NOTA[[#This Row],[HARGA SATUAN]]="",),"",NOTA[[#This Row],[QTY]]*NOTA[[#This Row],[HARGA SATUAN]])</f>
        <v/>
      </c>
      <c r="AG431" s="51">
        <f ca="1">IF(NOTA[ID_H]="","",INDEX(NOTA[TANGGAL],MATCH(,INDIRECT(ADDRESS(ROW(NOTA[TANGGAL]),COLUMN(NOTA[TANGGAL]))&amp;":"&amp;ADDRESS(ROW(),COLUMN(NOTA[TANGGAL]))),-1)))</f>
        <v>44940</v>
      </c>
      <c r="AH431" s="49" t="str">
        <f ca="1">IF(NOTA[[#This Row],[NAMA BARANG]]="","",INDEX(NOTA[SUPPLIER],MATCH(,INDIRECT(ADDRESS(ROW(NOTA[ID]),COLUMN(NOTA[ID]))&amp;":"&amp;ADDRESS(ROW(),COLUMN(NOTA[ID]))),-1)))</f>
        <v>GRAFINDO</v>
      </c>
      <c r="AI431" s="49" t="str">
        <f ca="1">IF(NOTA[[#This Row],[ID_H]]="","",IF(NOTA[[#This Row],[FAKTUR]]="",INDIRECT(ADDRESS(ROW()-1,COLUMN())),NOTA[[#This Row],[FAKTUR]]))</f>
        <v>UNTANA</v>
      </c>
      <c r="AJ431" s="38">
        <f ca="1">IF(NOTA[[#This Row],[ID]]="","",COUNTIF(NOTA[ID_H],NOTA[[#This Row],[ID_H]]))</f>
        <v>2</v>
      </c>
      <c r="AK431" s="38">
        <f>IF(NOTA[[#This Row],[TGL.NOTA]]="",IF(NOTA[[#This Row],[SUPPLIER_H]]="","",AK430),MONTH(NOTA[[#This Row],[TGL.NOTA]]))</f>
        <v>1</v>
      </c>
      <c r="AL431" s="38" t="str">
        <f>LOWER(SUBSTITUTE(SUBSTITUTE(SUBSTITUTE(SUBSTITUTE(SUBSTITUTE(SUBSTITUTE(SUBSTITUTE(SUBSTITUTE(SUBSTITUTE(NOTA[NAMA BARANG]," ",),".",""),"-",""),"(",""),")",""),",",""),"/",""),"""",""),"+",""))</f>
        <v>clearholderac105putih</v>
      </c>
      <c r="AM431" s="38" t="str">
        <f>IF(NOTA[C]="",NOTA[[#This Row],[CONCAT1]]&amp;NOTA[[#This Row],[HARGA SATUAN]],NOTA[[#This Row],[CONCAT1]]&amp;NOTA[[#This Row],[HARGA/ CTN_H]]&amp;NOTA[[#This Row],[DISC 1]]&amp;NOTA[[#This Row],[DISC 2]])</f>
        <v>clearholderac105putih0</v>
      </c>
      <c r="AN431" s="184">
        <f>IF(NOTA[[#This Row],[CONCAT1]]="","",MATCH(NOTA[[#This Row],[CONCAT1]],[1]!db[NB NOTA_C],0)+1)</f>
        <v>458</v>
      </c>
    </row>
    <row r="432" spans="1:40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Row],[CEK_EXP]]&lt;D431,"err","")</f>
        <v/>
      </c>
      <c r="D432" s="50">
        <f>IF(NOTA[[#This Row],[TANGGAL]]="",D431,NOTA[[#This Row],[TANGGAL]])</f>
        <v>44940</v>
      </c>
      <c r="E432" s="50">
        <f ca="1">IF(NOTA[[#This Row],[NAMA BARANG]]="","",INDEX(NOTA[ID],MATCH(,INDIRECT(ADDRESS(ROW(NOTA[ID]),COLUMN(NOTA[ID]))&amp;":"&amp;ADDRESS(ROW(),COLUMN(NOTA[ID]))),-1)))</f>
        <v>79</v>
      </c>
      <c r="F432" s="23"/>
      <c r="G432" s="26"/>
      <c r="H432" s="26"/>
      <c r="I432" s="31"/>
      <c r="J432" s="26"/>
      <c r="K432" s="51"/>
      <c r="L432" s="26"/>
      <c r="M432" s="26" t="s">
        <v>979</v>
      </c>
      <c r="N432" s="39">
        <v>3</v>
      </c>
      <c r="O432" s="26"/>
      <c r="P432" s="26"/>
      <c r="Q432" s="49"/>
      <c r="R432" s="52"/>
      <c r="S432" s="39" t="s">
        <v>91</v>
      </c>
      <c r="T432" s="53"/>
      <c r="U432" s="53"/>
      <c r="V432" s="54"/>
      <c r="W432" s="37" t="s">
        <v>88</v>
      </c>
      <c r="X432" s="54" t="str">
        <f>IF(NOTA[[#This Row],[HARGA/ CTN]]="",NOTA[[#This Row],[JUMLAH_H]],NOTA[[#This Row],[HARGA/ CTN]]*IF(NOTA[[#This Row],[C]]="",0,NOTA[[#This Row],[C]]))</f>
        <v/>
      </c>
      <c r="Y432" s="54" t="str">
        <f>IF(NOTA[[#This Row],[JUMLAH]]="","",NOTA[[#This Row],[JUMLAH]]*NOTA[[#This Row],[DISC 1]])</f>
        <v/>
      </c>
      <c r="Z432" s="54" t="str">
        <f>IF(NOTA[[#This Row],[JUMLAH]]="","",(NOTA[[#This Row],[JUMLAH]]-NOTA[[#This Row],[DISC 1-]])*NOTA[[#This Row],[DISC 2]])</f>
        <v/>
      </c>
      <c r="AA432" s="54" t="str">
        <f>IF(NOTA[[#This Row],[JUMLAH]]="","",NOTA[[#This Row],[DISC 1-]]+NOTA[[#This Row],[DISC 2-]])</f>
        <v/>
      </c>
      <c r="AB432" s="54" t="str">
        <f>IF(NOTA[[#This Row],[JUMLAH]]="","",NOTA[[#This Row],[JUMLAH]]-NOTA[[#This Row],[DISC]])</f>
        <v/>
      </c>
      <c r="AC4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4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32" s="54" t="str">
        <f>IF(OR(NOTA[[#This Row],[QTY]]="",NOTA[[#This Row],[HARGA SATUAN]]="",),"",NOTA[[#This Row],[QTY]]*NOTA[[#This Row],[HARGA SATUAN]])</f>
        <v/>
      </c>
      <c r="AG432" s="51">
        <f ca="1">IF(NOTA[ID_H]="","",INDEX(NOTA[TANGGAL],MATCH(,INDIRECT(ADDRESS(ROW(NOTA[TANGGAL]),COLUMN(NOTA[TANGGAL]))&amp;":"&amp;ADDRESS(ROW(),COLUMN(NOTA[TANGGAL]))),-1)))</f>
        <v>44940</v>
      </c>
      <c r="AH432" s="49" t="str">
        <f ca="1">IF(NOTA[[#This Row],[NAMA BARANG]]="","",INDEX(NOTA[SUPPLIER],MATCH(,INDIRECT(ADDRESS(ROW(NOTA[ID]),COLUMN(NOTA[ID]))&amp;":"&amp;ADDRESS(ROW(),COLUMN(NOTA[ID]))),-1)))</f>
        <v>GRAFINDO</v>
      </c>
      <c r="AI432" s="49" t="str">
        <f ca="1">IF(NOTA[[#This Row],[ID_H]]="","",IF(NOTA[[#This Row],[FAKTUR]]="",INDIRECT(ADDRESS(ROW()-1,COLUMN())),NOTA[[#This Row],[FAKTUR]]))</f>
        <v>UNTANA</v>
      </c>
      <c r="AJ432" s="38" t="str">
        <f ca="1">IF(NOTA[[#This Row],[ID]]="","",COUNTIF(NOTA[ID_H],NOTA[[#This Row],[ID_H]]))</f>
        <v/>
      </c>
      <c r="AK432" s="38">
        <f ca="1">IF(NOTA[[#This Row],[TGL.NOTA]]="",IF(NOTA[[#This Row],[SUPPLIER_H]]="","",AK431),MONTH(NOTA[[#This Row],[TGL.NOTA]]))</f>
        <v>1</v>
      </c>
      <c r="AL432" s="38" t="str">
        <f>LOWER(SUBSTITUTE(SUBSTITUTE(SUBSTITUTE(SUBSTITUTE(SUBSTITUTE(SUBSTITUTE(SUBSTITUTE(SUBSTITUTE(SUBSTITUTE(NOTA[NAMA BARANG]," ",),".",""),"-",""),"(",""),")",""),",",""),"/",""),"""",""),"+",""))</f>
        <v>clearholderac105putih</v>
      </c>
      <c r="AM432" s="38" t="str">
        <f>IF(NOTA[C]="",NOTA[[#This Row],[CONCAT1]]&amp;NOTA[[#This Row],[HARGA SATUAN]],NOTA[[#This Row],[CONCAT1]]&amp;NOTA[[#This Row],[HARGA/ CTN_H]]&amp;NOTA[[#This Row],[DISC 1]]&amp;NOTA[[#This Row],[DISC 2]])</f>
        <v>clearholderac105putih0</v>
      </c>
      <c r="AN432" s="184">
        <f>IF(NOTA[[#This Row],[CONCAT1]]="","",MATCH(NOTA[[#This Row],[CONCAT1]],[1]!db[NB NOTA_C],0)+1)</f>
        <v>458</v>
      </c>
    </row>
    <row r="433" spans="1:40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Row],[CEK_EXP]]&lt;D432,"err","")</f>
        <v/>
      </c>
      <c r="D433" s="50">
        <f>IF(NOTA[[#This Row],[TANGGAL]]="",D432,NOTA[[#This Row],[TANGGAL]])</f>
        <v>44940</v>
      </c>
      <c r="E433" s="50" t="str">
        <f ca="1">IF(NOTA[[#This Row],[NAMA BARANG]]="","",INDEX(NOTA[ID],MATCH(,INDIRECT(ADDRESS(ROW(NOTA[ID]),COLUMN(NOTA[ID]))&amp;":"&amp;ADDRESS(ROW(),COLUMN(NOTA[ID]))),-1)))</f>
        <v/>
      </c>
      <c r="F433" s="23"/>
      <c r="G433" s="26"/>
      <c r="H433" s="26"/>
      <c r="I433" s="31"/>
      <c r="J433" s="26"/>
      <c r="K433" s="51"/>
      <c r="L433" s="26"/>
      <c r="M433" s="26"/>
      <c r="N433" s="39"/>
      <c r="O433" s="26"/>
      <c r="P433" s="26"/>
      <c r="Q433" s="49"/>
      <c r="R433" s="52"/>
      <c r="S433" s="39"/>
      <c r="T433" s="53"/>
      <c r="U433" s="53"/>
      <c r="V433" s="54"/>
      <c r="W433" s="37"/>
      <c r="X433" s="54" t="str">
        <f>IF(NOTA[[#This Row],[HARGA/ CTN]]="",NOTA[[#This Row],[JUMLAH_H]],NOTA[[#This Row],[HARGA/ CTN]]*IF(NOTA[[#This Row],[C]]="",0,NOTA[[#This Row],[C]]))</f>
        <v/>
      </c>
      <c r="Y433" s="54" t="str">
        <f>IF(NOTA[[#This Row],[JUMLAH]]="","",NOTA[[#This Row],[JUMLAH]]*NOTA[[#This Row],[DISC 1]])</f>
        <v/>
      </c>
      <c r="Z433" s="54" t="str">
        <f>IF(NOTA[[#This Row],[JUMLAH]]="","",(NOTA[[#This Row],[JUMLAH]]-NOTA[[#This Row],[DISC 1-]])*NOTA[[#This Row],[DISC 2]])</f>
        <v/>
      </c>
      <c r="AA433" s="54" t="str">
        <f>IF(NOTA[[#This Row],[JUMLAH]]="","",NOTA[[#This Row],[DISC 1-]]+NOTA[[#This Row],[DISC 2-]])</f>
        <v/>
      </c>
      <c r="AB433" s="54" t="str">
        <f>IF(NOTA[[#This Row],[JUMLAH]]="","",NOTA[[#This Row],[JUMLAH]]-NOTA[[#This Row],[DISC]])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4" t="str">
        <f>IF(OR(NOTA[[#This Row],[QTY]]="",NOTA[[#This Row],[HARGA SATUAN]]="",),"",NOTA[[#This Row],[QTY]]*NOTA[[#This Row],[HARGA SATUAN]])</f>
        <v/>
      </c>
      <c r="AG433" s="51" t="str">
        <f ca="1">IF(NOTA[ID_H]="","",INDEX(NOTA[TANGGAL],MATCH(,INDIRECT(ADDRESS(ROW(NOTA[TANGGAL]),COLUMN(NOTA[TANGGAL]))&amp;":"&amp;ADDRESS(ROW(),COLUMN(NOTA[TANGGAL]))),-1)))</f>
        <v/>
      </c>
      <c r="AH433" s="49" t="str">
        <f ca="1">IF(NOTA[[#This Row],[NAMA BARANG]]="","",INDEX(NOTA[SUPPLIER],MATCH(,INDIRECT(ADDRESS(ROW(NOTA[ID]),COLUMN(NOTA[ID]))&amp;":"&amp;ADDRESS(ROW(),COLUMN(NOTA[ID]))),-1)))</f>
        <v/>
      </c>
      <c r="AI433" s="49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IF(NOTA[C]="",NOTA[[#This Row],[CONCAT1]]&amp;NOTA[[#This Row],[HARGA SATUAN]],NOTA[[#This Row],[CONCAT1]]&amp;NOTA[[#This Row],[HARGA/ CTN_H]]&amp;NOTA[[#This Row],[DISC 1]]&amp;NOTA[[#This Row],[DISC 2]])</f>
        <v/>
      </c>
      <c r="AN433" s="184" t="str">
        <f>IF(NOTA[[#This Row],[CONCAT1]]="","",MATCH(NOTA[[#This Row],[CONCAT1]],[1]!db[NB NOTA_C],0)+1)</f>
        <v/>
      </c>
    </row>
    <row r="434" spans="1:40" ht="20.100000000000001" customHeight="1" x14ac:dyDescent="0.25">
      <c r="A434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GUN_1401_086-1</v>
      </c>
      <c r="C434" s="50" t="str">
        <f>IF(NOTA[[#This Row],[CEK_EXP]]&lt;D433,"err","")</f>
        <v/>
      </c>
      <c r="D434" s="50">
        <f>IF(NOTA[[#This Row],[TANGGAL]]="",D433,NOTA[[#This Row],[TANGGAL]])</f>
        <v>44940</v>
      </c>
      <c r="E434" s="50">
        <f ca="1">IF(NOTA[[#This Row],[NAMA BARANG]]="","",INDEX(NOTA[ID],MATCH(,INDIRECT(ADDRESS(ROW(NOTA[ID]),COLUMN(NOTA[ID]))&amp;":"&amp;ADDRESS(ROW(),COLUMN(NOTA[ID]))),-1)))</f>
        <v>80</v>
      </c>
      <c r="F434" s="23"/>
      <c r="G434" s="26" t="s">
        <v>595</v>
      </c>
      <c r="H434" s="26" t="s">
        <v>87</v>
      </c>
      <c r="I434" s="31" t="s">
        <v>596</v>
      </c>
      <c r="J434" s="26"/>
      <c r="K434" s="51">
        <v>44937</v>
      </c>
      <c r="L434" s="26"/>
      <c r="M434" s="26" t="s">
        <v>597</v>
      </c>
      <c r="N434" s="39">
        <v>3</v>
      </c>
      <c r="O434" s="26">
        <v>90</v>
      </c>
      <c r="P434" s="26" t="s">
        <v>90</v>
      </c>
      <c r="Q434" s="49">
        <v>61000</v>
      </c>
      <c r="R434" s="52"/>
      <c r="S434" s="39" t="s">
        <v>302</v>
      </c>
      <c r="T434" s="53">
        <v>0.05</v>
      </c>
      <c r="U434" s="53">
        <v>0.1</v>
      </c>
      <c r="V434" s="54"/>
      <c r="W434" s="37"/>
      <c r="X434" s="54">
        <f>IF(NOTA[[#This Row],[HARGA/ CTN]]="",NOTA[[#This Row],[JUMLAH_H]],NOTA[[#This Row],[HARGA/ CTN]]*IF(NOTA[[#This Row],[C]]="",0,NOTA[[#This Row],[C]]))</f>
        <v>5490000</v>
      </c>
      <c r="Y434" s="54">
        <f>IF(NOTA[[#This Row],[JUMLAH]]="","",NOTA[[#This Row],[JUMLAH]]*NOTA[[#This Row],[DISC 1]])</f>
        <v>274500</v>
      </c>
      <c r="Z434" s="54">
        <f>IF(NOTA[[#This Row],[JUMLAH]]="","",(NOTA[[#This Row],[JUMLAH]]-NOTA[[#This Row],[DISC 1-]])*NOTA[[#This Row],[DISC 2]])</f>
        <v>521550</v>
      </c>
      <c r="AA434" s="54">
        <f>IF(NOTA[[#This Row],[JUMLAH]]="","",NOTA[[#This Row],[DISC 1-]]+NOTA[[#This Row],[DISC 2-]])</f>
        <v>796050</v>
      </c>
      <c r="AB434" s="54">
        <f>IF(NOTA[[#This Row],[JUMLAH]]="","",NOTA[[#This Row],[JUMLAH]]-NOTA[[#This Row],[DISC]])</f>
        <v>4693950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D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E434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34" s="54">
        <f>IF(OR(NOTA[[#This Row],[QTY]]="",NOTA[[#This Row],[HARGA SATUAN]]="",),"",NOTA[[#This Row],[QTY]]*NOTA[[#This Row],[HARGA SATUAN]])</f>
        <v>5490000</v>
      </c>
      <c r="AG434" s="51">
        <f ca="1">IF(NOTA[ID_H]="","",INDEX(NOTA[TANGGAL],MATCH(,INDIRECT(ADDRESS(ROW(NOTA[TANGGAL]),COLUMN(NOTA[TANGGAL]))&amp;":"&amp;ADDRESS(ROW(),COLUMN(NOTA[TANGGAL]))),-1)))</f>
        <v>44940</v>
      </c>
      <c r="AH434" s="49" t="str">
        <f ca="1">IF(NOTA[[#This Row],[NAMA BARANG]]="","",INDEX(NOTA[SUPPLIER],MATCH(,INDIRECT(ADDRESS(ROW(NOTA[ID]),COLUMN(NOTA[ID]))&amp;":"&amp;ADDRESS(ROW(),COLUMN(NOTA[ID]))),-1)))</f>
        <v>GUNINDO</v>
      </c>
      <c r="AI434" s="49" t="str">
        <f ca="1">IF(NOTA[[#This Row],[ID_H]]="","",IF(NOTA[[#This Row],[FAKTUR]]="",INDIRECT(ADDRESS(ROW()-1,COLUMN())),NOTA[[#This Row],[FAKTUR]]))</f>
        <v>UNTANA</v>
      </c>
      <c r="AJ434" s="38">
        <f ca="1">IF(NOTA[[#This Row],[ID]]="","",COUNTIF(NOTA[ID_H],NOTA[[#This Row],[ID_H]]))</f>
        <v>1</v>
      </c>
      <c r="AK434" s="38">
        <f>IF(NOTA[[#This Row],[TGL.NOTA]]="",IF(NOTA[[#This Row],[SUPPLIER_H]]="","",AK433),MONTH(NOTA[[#This Row],[TGL.NOTA]]))</f>
        <v>1</v>
      </c>
      <c r="AL434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34" s="38" t="str">
        <f>IF(NOTA[C]="",NOTA[[#This Row],[CONCAT1]]&amp;NOTA[[#This Row],[HARGA SATUAN]],NOTA[[#This Row],[CONCAT1]]&amp;NOTA[[#This Row],[HARGA/ CTN_H]]&amp;NOTA[[#This Row],[DISC 1]]&amp;NOTA[[#This Row],[DISC 2]])</f>
        <v>wberaser80318300000.050.1</v>
      </c>
      <c r="AN434" s="184">
        <f>IF(NOTA[[#This Row],[CONCAT1]]="","",MATCH(NOTA[[#This Row],[CONCAT1]],[1]!db[NB NOTA_C],0)+1)</f>
        <v>2108</v>
      </c>
    </row>
    <row r="435" spans="1:40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Row],[CEK_EXP]]&lt;D434,"err","")</f>
        <v/>
      </c>
      <c r="D435" s="50">
        <f>IF(NOTA[[#This Row],[TANGGAL]]="",D434,NOTA[[#This Row],[TANGGAL]])</f>
        <v>44940</v>
      </c>
      <c r="E435" s="50" t="str">
        <f ca="1">IF(NOTA[[#This Row],[NAMA BARANG]]="","",INDEX(NOTA[ID],MATCH(,INDIRECT(ADDRESS(ROW(NOTA[ID]),COLUMN(NOTA[ID]))&amp;":"&amp;ADDRESS(ROW(),COLUMN(NOTA[ID]))),-1)))</f>
        <v/>
      </c>
      <c r="F435" s="23"/>
      <c r="G435" s="26"/>
      <c r="H435" s="26"/>
      <c r="I435" s="31"/>
      <c r="J435" s="26"/>
      <c r="K435" s="51"/>
      <c r="L435" s="26"/>
      <c r="M435" s="26"/>
      <c r="N435" s="39"/>
      <c r="O435" s="26"/>
      <c r="P435" s="26"/>
      <c r="Q435" s="49"/>
      <c r="R435" s="52"/>
      <c r="S435" s="39"/>
      <c r="T435" s="53"/>
      <c r="U435" s="53"/>
      <c r="V435" s="54"/>
      <c r="W435" s="37"/>
      <c r="X435" s="54" t="str">
        <f>IF(NOTA[[#This Row],[HARGA/ CTN]]="",NOTA[[#This Row],[JUMLAH_H]],NOTA[[#This Row],[HARGA/ CTN]]*IF(NOTA[[#This Row],[C]]="",0,NOTA[[#This Row],[C]]))</f>
        <v/>
      </c>
      <c r="Y435" s="54" t="str">
        <f>IF(NOTA[[#This Row],[JUMLAH]]="","",NOTA[[#This Row],[JUMLAH]]*NOTA[[#This Row],[DISC 1]])</f>
        <v/>
      </c>
      <c r="Z435" s="54" t="str">
        <f>IF(NOTA[[#This Row],[JUMLAH]]="","",(NOTA[[#This Row],[JUMLAH]]-NOTA[[#This Row],[DISC 1-]])*NOTA[[#This Row],[DISC 2]])</f>
        <v/>
      </c>
      <c r="AA435" s="54" t="str">
        <f>IF(NOTA[[#This Row],[JUMLAH]]="","",NOTA[[#This Row],[DISC 1-]]+NOTA[[#This Row],[DISC 2-]])</f>
        <v/>
      </c>
      <c r="AB435" s="54" t="str">
        <f>IF(NOTA[[#This Row],[JUMLAH]]="","",NOTA[[#This Row],[JUMLAH]]-NOTA[[#This Row],[DISC]])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4" t="str">
        <f>IF(OR(NOTA[[#This Row],[QTY]]="",NOTA[[#This Row],[HARGA SATUAN]]="",),"",NOTA[[#This Row],[QTY]]*NOTA[[#This Row],[HARGA SATUAN]])</f>
        <v/>
      </c>
      <c r="AG435" s="51" t="str">
        <f ca="1">IF(NOTA[ID_H]="","",INDEX(NOTA[TANGGAL],MATCH(,INDIRECT(ADDRESS(ROW(NOTA[TANGGAL]),COLUMN(NOTA[TANGGAL]))&amp;":"&amp;ADDRESS(ROW(),COLUMN(NOTA[TANGGAL]))),-1)))</f>
        <v/>
      </c>
      <c r="AH435" s="65" t="str">
        <f ca="1">IF(NOTA[[#This Row],[NAMA BARANG]]="","",INDEX(NOTA[SUPPLIER],MATCH(,INDIRECT(ADDRESS(ROW(NOTA[ID]),COLUMN(NOTA[ID]))&amp;":"&amp;ADDRESS(ROW(),COLUMN(NOTA[ID]))),-1)))</f>
        <v/>
      </c>
      <c r="AI435" s="65" t="str">
        <f ca="1">IF(NOTA[[#This Row],[ID_H]]="","",IF(NOTA[[#This Row],[FAKTUR]]="",INDIRECT(ADDRESS(ROW()-1,COLUMN())),NOTA[[#This Row],[FAKTUR]]))</f>
        <v/>
      </c>
      <c r="AJ435" s="38" t="str">
        <f ca="1">IF(NOTA[[#This Row],[ID]]="","",COUNTIF(NOTA[ID_H],NOTA[[#This Row],[ID_H]]))</f>
        <v/>
      </c>
      <c r="AK435" s="38" t="str">
        <f ca="1">IF(NOTA[[#This Row],[TGL.NOTA]]="",IF(NOTA[[#This Row],[SUPPLIER_H]]="","",AK434),MONTH(NOTA[[#This Row],[TGL.NOTA]]))</f>
        <v/>
      </c>
      <c r="AL435" s="38" t="str">
        <f>LOWER(SUBSTITUTE(SUBSTITUTE(SUBSTITUTE(SUBSTITUTE(SUBSTITUTE(SUBSTITUTE(SUBSTITUTE(SUBSTITUTE(SUBSTITUTE(NOTA[NAMA BARANG]," ",),".",""),"-",""),"(",""),")",""),",",""),"/",""),"""",""),"+",""))</f>
        <v/>
      </c>
      <c r="AM435" s="38" t="str">
        <f>IF(NOTA[C]="",NOTA[[#This Row],[CONCAT1]]&amp;NOTA[[#This Row],[HARGA SATUAN]],NOTA[[#This Row],[CONCAT1]]&amp;NOTA[[#This Row],[HARGA/ CTN_H]]&amp;NOTA[[#This Row],[DISC 1]]&amp;NOTA[[#This Row],[DISC 2]])</f>
        <v/>
      </c>
      <c r="AN435" s="184" t="str">
        <f>IF(NOTA[[#This Row],[CONCAT1]]="","",MATCH(NOTA[[#This Row],[CONCAT1]],[1]!db[NB NOTA_C],0)+1)</f>
        <v/>
      </c>
    </row>
    <row r="436" spans="1:40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KEN_1601_870-4</v>
      </c>
      <c r="C436" s="50" t="str">
        <f>IF(NOTA[[#This Row],[CEK_EXP]]&lt;D435,"err","")</f>
        <v/>
      </c>
      <c r="D436" s="50">
        <f>IF(NOTA[[#This Row],[TANGGAL]]="",D435,NOTA[[#This Row],[TANGGAL]])</f>
        <v>44942</v>
      </c>
      <c r="E436" s="50">
        <f ca="1">IF(NOTA[[#This Row],[NAMA BARANG]]="","",INDEX(NOTA[ID],MATCH(,INDIRECT(ADDRESS(ROW(NOTA[ID]),COLUMN(NOTA[ID]))&amp;":"&amp;ADDRESS(ROW(),COLUMN(NOTA[ID]))),-1)))</f>
        <v>81</v>
      </c>
      <c r="F436" s="23">
        <v>44942</v>
      </c>
      <c r="G436" s="26" t="s">
        <v>23</v>
      </c>
      <c r="H436" s="26" t="s">
        <v>24</v>
      </c>
      <c r="I436" s="31" t="s">
        <v>602</v>
      </c>
      <c r="J436" s="26" t="s">
        <v>607</v>
      </c>
      <c r="K436" s="51">
        <v>44939</v>
      </c>
      <c r="L436" s="26"/>
      <c r="M436" s="26" t="s">
        <v>603</v>
      </c>
      <c r="N436" s="39">
        <v>1</v>
      </c>
      <c r="O436" s="26"/>
      <c r="P436" s="26"/>
      <c r="Q436" s="49"/>
      <c r="R436" s="52">
        <v>1497600</v>
      </c>
      <c r="S436" s="39" t="s">
        <v>124</v>
      </c>
      <c r="T436" s="53">
        <v>0.17</v>
      </c>
      <c r="U436" s="53"/>
      <c r="V436" s="54"/>
      <c r="W436" s="37"/>
      <c r="X436" s="54">
        <f>IF(NOTA[[#This Row],[HARGA/ CTN]]="",NOTA[[#This Row],[JUMLAH_H]],NOTA[[#This Row],[HARGA/ CTN]]*IF(NOTA[[#This Row],[C]]="",0,NOTA[[#This Row],[C]]))</f>
        <v>1497600</v>
      </c>
      <c r="Y436" s="54">
        <f>IF(NOTA[[#This Row],[JUMLAH]]="","",NOTA[[#This Row],[JUMLAH]]*NOTA[[#This Row],[DISC 1]])</f>
        <v>254592.00000000003</v>
      </c>
      <c r="Z436" s="54">
        <f>IF(NOTA[[#This Row],[JUMLAH]]="","",(NOTA[[#This Row],[JUMLAH]]-NOTA[[#This Row],[DISC 1-]])*NOTA[[#This Row],[DISC 2]])</f>
        <v>0</v>
      </c>
      <c r="AA436" s="54">
        <f>IF(NOTA[[#This Row],[JUMLAH]]="","",NOTA[[#This Row],[DISC 1-]]+NOTA[[#This Row],[DISC 2-]])</f>
        <v>254592.00000000003</v>
      </c>
      <c r="AB436" s="54">
        <f>IF(NOTA[[#This Row],[JUMLAH]]="","",NOTA[[#This Row],[JUMLAH]]-NOTA[[#This Row],[DISC]])</f>
        <v>1243008</v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436" s="54" t="str">
        <f>IF(OR(NOTA[[#This Row],[QTY]]="",NOTA[[#This Row],[HARGA SATUAN]]="",),"",NOTA[[#This Row],[QTY]]*NOTA[[#This Row],[HARGA SATUAN]])</f>
        <v/>
      </c>
      <c r="AG436" s="51">
        <f ca="1">IF(NOTA[ID_H]="","",INDEX(NOTA[TANGGAL],MATCH(,INDIRECT(ADDRESS(ROW(NOTA[TANGGAL]),COLUMN(NOTA[TANGGAL]))&amp;":"&amp;ADDRESS(ROW(),COLUMN(NOTA[TANGGAL]))),-1)))</f>
        <v>44942</v>
      </c>
      <c r="AH436" s="65" t="str">
        <f ca="1">IF(NOTA[[#This Row],[NAMA BARANG]]="","",INDEX(NOTA[SUPPLIER],MATCH(,INDIRECT(ADDRESS(ROW(NOTA[ID]),COLUMN(NOTA[ID]))&amp;":"&amp;ADDRESS(ROW(),COLUMN(NOTA[ID]))),-1)))</f>
        <v>KENKO SINAR INDONESIA</v>
      </c>
      <c r="AI436" s="65" t="str">
        <f ca="1">IF(NOTA[[#This Row],[ID_H]]="","",IF(NOTA[[#This Row],[FAKTUR]]="",INDIRECT(ADDRESS(ROW()-1,COLUMN())),NOTA[[#This Row],[FAKTUR]]))</f>
        <v>ARTO MORO</v>
      </c>
      <c r="AJ436" s="38">
        <f ca="1">IF(NOTA[[#This Row],[ID]]="","",COUNTIF(NOTA[ID_H],NOTA[[#This Row],[ID_H]]))</f>
        <v>4</v>
      </c>
      <c r="AK436" s="38">
        <f>IF(NOTA[[#This Row],[TGL.NOTA]]="",IF(NOTA[[#This Row],[SUPPLIER_H]]="","",AK252),MONTH(NOTA[[#This Row],[TGL.NOTA]]))</f>
        <v>1</v>
      </c>
      <c r="AL436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M436" s="38" t="str">
        <f>IF(NOTA[C]="",NOTA[[#This Row],[CONCAT1]]&amp;NOTA[[#This Row],[HARGA SATUAN]],NOTA[[#This Row],[CONCAT1]]&amp;NOTA[[#This Row],[HARGA/ CTN_H]]&amp;NOTA[[#This Row],[DISC 1]]&amp;NOTA[[#This Row],[DISC 2]])</f>
        <v>kenkopencilcasepc0719tk14976000.17</v>
      </c>
      <c r="AN436" s="184">
        <f>IF(NOTA[[#This Row],[CONCAT1]]="","",MATCH(NOTA[[#This Row],[CONCAT1]],[1]!db[NB NOTA_C],0)+1)</f>
        <v>1246</v>
      </c>
    </row>
    <row r="437" spans="1:40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Row],[CEK_EXP]]&lt;D436,"err","")</f>
        <v/>
      </c>
      <c r="D437" s="50">
        <f>IF(NOTA[[#This Row],[TANGGAL]]="",D436,NOTA[[#This Row],[TANGGAL]])</f>
        <v>44942</v>
      </c>
      <c r="E437" s="50">
        <f ca="1">IF(NOTA[[#This Row],[NAMA BARANG]]="","",INDEX(NOTA[ID],MATCH(,INDIRECT(ADDRESS(ROW(NOTA[ID]),COLUMN(NOTA[ID]))&amp;":"&amp;ADDRESS(ROW(),COLUMN(NOTA[ID]))),-1)))</f>
        <v>81</v>
      </c>
      <c r="F437" s="23"/>
      <c r="G437" s="26"/>
      <c r="H437" s="26"/>
      <c r="I437" s="31"/>
      <c r="J437" s="26"/>
      <c r="K437" s="51"/>
      <c r="L437" s="26"/>
      <c r="M437" s="26" t="s">
        <v>604</v>
      </c>
      <c r="N437" s="39">
        <v>5</v>
      </c>
      <c r="O437" s="26"/>
      <c r="P437" s="26"/>
      <c r="Q437" s="49"/>
      <c r="R437" s="52">
        <v>3888000</v>
      </c>
      <c r="S437" s="39" t="s">
        <v>606</v>
      </c>
      <c r="T437" s="53">
        <v>0.17</v>
      </c>
      <c r="U437" s="53"/>
      <c r="V437" s="54"/>
      <c r="W437" s="37"/>
      <c r="X437" s="54">
        <f>IF(NOTA[[#This Row],[HARGA/ CTN]]="",NOTA[[#This Row],[JUMLAH_H]],NOTA[[#This Row],[HARGA/ CTN]]*IF(NOTA[[#This Row],[C]]="",0,NOTA[[#This Row],[C]]))</f>
        <v>19440000</v>
      </c>
      <c r="Y437" s="54">
        <f>IF(NOTA[[#This Row],[JUMLAH]]="","",NOTA[[#This Row],[JUMLAH]]*NOTA[[#This Row],[DISC 1]])</f>
        <v>3304800.0000000005</v>
      </c>
      <c r="Z437" s="54">
        <f>IF(NOTA[[#This Row],[JUMLAH]]="","",(NOTA[[#This Row],[JUMLAH]]-NOTA[[#This Row],[DISC 1-]])*NOTA[[#This Row],[DISC 2]])</f>
        <v>0</v>
      </c>
      <c r="AA437" s="54">
        <f>IF(NOTA[[#This Row],[JUMLAH]]="","",NOTA[[#This Row],[DISC 1-]]+NOTA[[#This Row],[DISC 2-]])</f>
        <v>3304800.0000000005</v>
      </c>
      <c r="AB437" s="54">
        <f>IF(NOTA[[#This Row],[JUMLAH]]="","",NOTA[[#This Row],[JUMLAH]]-NOTA[[#This Row],[DISC]])</f>
        <v>16135200</v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37" s="54" t="str">
        <f>IF(OR(NOTA[[#This Row],[QTY]]="",NOTA[[#This Row],[HARGA SATUAN]]="",),"",NOTA[[#This Row],[QTY]]*NOTA[[#This Row],[HARGA SATUAN]])</f>
        <v/>
      </c>
      <c r="AG437" s="51">
        <f ca="1">IF(NOTA[ID_H]="","",INDEX(NOTA[TANGGAL],MATCH(,INDIRECT(ADDRESS(ROW(NOTA[TANGGAL]),COLUMN(NOTA[TANGGAL]))&amp;":"&amp;ADDRESS(ROW(),COLUMN(NOTA[TANGGAL]))),-1)))</f>
        <v>44942</v>
      </c>
      <c r="AH437" s="65" t="str">
        <f ca="1">IF(NOTA[[#This Row],[NAMA BARANG]]="","",INDEX(NOTA[SUPPLIER],MATCH(,INDIRECT(ADDRESS(ROW(NOTA[ID]),COLUMN(NOTA[ID]))&amp;":"&amp;ADDRESS(ROW(),COLUMN(NOTA[ID]))),-1)))</f>
        <v>KENKO SINAR INDONESIA</v>
      </c>
      <c r="AI437" s="65" t="str">
        <f ca="1">IF(NOTA[[#This Row],[ID_H]]="","",IF(NOTA[[#This Row],[FAKTUR]]="",INDIRECT(ADDRESS(ROW()-1,COLUMN())),NOTA[[#This Row],[FAKTUR]]))</f>
        <v>ARTO MORO</v>
      </c>
      <c r="AJ437" s="38" t="str">
        <f ca="1">IF(NOTA[[#This Row],[ID]]="","",COUNTIF(NOTA[ID_H],NOTA[[#This Row],[ID_H]]))</f>
        <v/>
      </c>
      <c r="AK437" s="38">
        <f ca="1">IF(NOTA[[#This Row],[TGL.NOTA]]="",IF(NOTA[[#This Row],[SUPPLIER_H]]="","",AK436),MONTH(NOTA[[#This Row],[TGL.NOTA]]))</f>
        <v>1</v>
      </c>
      <c r="AL437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437" s="38" t="str">
        <f>IF(NOTA[C]="",NOTA[[#This Row],[CONCAT1]]&amp;NOTA[[#This Row],[HARGA SATUAN]],NOTA[[#This Row],[CONCAT1]]&amp;NOTA[[#This Row],[HARGA/ CTN_H]]&amp;NOTA[[#This Row],[DISC 1]]&amp;NOTA[[#This Row],[DISC 2]])</f>
        <v>kenkocutterbladea1009mm38880000.17</v>
      </c>
      <c r="AN437" s="184">
        <f>IF(NOTA[[#This Row],[CONCAT1]]="","",MATCH(NOTA[[#This Row],[CONCAT1]],[1]!db[NB NOTA_C],0)+1)</f>
        <v>1132</v>
      </c>
    </row>
    <row r="438" spans="1:40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Row],[CEK_EXP]]&lt;D437,"err","")</f>
        <v/>
      </c>
      <c r="D438" s="50">
        <f>IF(NOTA[[#This Row],[TANGGAL]]="",D437,NOTA[[#This Row],[TANGGAL]])</f>
        <v>44942</v>
      </c>
      <c r="E438" s="50">
        <f ca="1">IF(NOTA[[#This Row],[NAMA BARANG]]="","",INDEX(NOTA[ID],MATCH(,INDIRECT(ADDRESS(ROW(NOTA[ID]),COLUMN(NOTA[ID]))&amp;":"&amp;ADDRESS(ROW(),COLUMN(NOTA[ID]))),-1)))</f>
        <v>81</v>
      </c>
      <c r="F438" s="23"/>
      <c r="G438" s="26"/>
      <c r="H438" s="26"/>
      <c r="I438" s="31"/>
      <c r="J438" s="26"/>
      <c r="K438" s="51"/>
      <c r="L438" s="26"/>
      <c r="M438" s="26" t="s">
        <v>605</v>
      </c>
      <c r="N438" s="39">
        <v>5</v>
      </c>
      <c r="O438" s="26"/>
      <c r="P438" s="26"/>
      <c r="Q438" s="49"/>
      <c r="R438" s="52">
        <v>5616000</v>
      </c>
      <c r="S438" s="39" t="s">
        <v>117</v>
      </c>
      <c r="T438" s="53">
        <v>0.17</v>
      </c>
      <c r="U438" s="53"/>
      <c r="V438" s="54"/>
      <c r="W438" s="37"/>
      <c r="X438" s="54">
        <f>IF(NOTA[[#This Row],[HARGA/ CTN]]="",NOTA[[#This Row],[JUMLAH_H]],NOTA[[#This Row],[HARGA/ CTN]]*IF(NOTA[[#This Row],[C]]="",0,NOTA[[#This Row],[C]]))</f>
        <v>28080000</v>
      </c>
      <c r="Y438" s="54">
        <f>IF(NOTA[[#This Row],[JUMLAH]]="","",NOTA[[#This Row],[JUMLAH]]*NOTA[[#This Row],[DISC 1]])</f>
        <v>4773600</v>
      </c>
      <c r="Z438" s="54">
        <f>IF(NOTA[[#This Row],[JUMLAH]]="","",(NOTA[[#This Row],[JUMLAH]]-NOTA[[#This Row],[DISC 1-]])*NOTA[[#This Row],[DISC 2]])</f>
        <v>0</v>
      </c>
      <c r="AA438" s="54">
        <f>IF(NOTA[[#This Row],[JUMLAH]]="","",NOTA[[#This Row],[DISC 1-]]+NOTA[[#This Row],[DISC 2-]])</f>
        <v>4773600</v>
      </c>
      <c r="AB438" s="54">
        <f>IF(NOTA[[#This Row],[JUMLAH]]="","",NOTA[[#This Row],[JUMLAH]]-NOTA[[#This Row],[DISC]])</f>
        <v>23306400</v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38" s="54" t="str">
        <f>IF(OR(NOTA[[#This Row],[QTY]]="",NOTA[[#This Row],[HARGA SATUAN]]="",),"",NOTA[[#This Row],[QTY]]*NOTA[[#This Row],[HARGA SATUAN]])</f>
        <v/>
      </c>
      <c r="AG438" s="51">
        <f ca="1">IF(NOTA[ID_H]="","",INDEX(NOTA[TANGGAL],MATCH(,INDIRECT(ADDRESS(ROW(NOTA[TANGGAL]),COLUMN(NOTA[TANGGAL]))&amp;":"&amp;ADDRESS(ROW(),COLUMN(NOTA[TANGGAL]))),-1)))</f>
        <v>44942</v>
      </c>
      <c r="AH438" s="65" t="str">
        <f ca="1">IF(NOTA[[#This Row],[NAMA BARANG]]="","",INDEX(NOTA[SUPPLIER],MATCH(,INDIRECT(ADDRESS(ROW(NOTA[ID]),COLUMN(NOTA[ID]))&amp;":"&amp;ADDRESS(ROW(),COLUMN(NOTA[ID]))),-1)))</f>
        <v>KENKO SINAR INDONESIA</v>
      </c>
      <c r="AI438" s="65" t="str">
        <f ca="1">IF(NOTA[[#This Row],[ID_H]]="","",IF(NOTA[[#This Row],[FAKTUR]]="",INDIRECT(ADDRESS(ROW()-1,COLUMN())),NOTA[[#This Row],[FAKTUR]]))</f>
        <v>ARTO MORO</v>
      </c>
      <c r="AJ438" s="38" t="str">
        <f ca="1">IF(NOTA[[#This Row],[ID]]="","",COUNTIF(NOTA[ID_H],NOTA[[#This Row],[ID_H]]))</f>
        <v/>
      </c>
      <c r="AK438" s="38">
        <f ca="1">IF(NOTA[[#This Row],[TGL.NOTA]]="",IF(NOTA[[#This Row],[SUPPLIER_H]]="","",AK437),MONTH(NOTA[[#This Row],[TGL.NOTA]]))</f>
        <v>1</v>
      </c>
      <c r="AL438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438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</v>
      </c>
      <c r="AN438" s="184">
        <f>IF(NOTA[[#This Row],[CONCAT1]]="","",MATCH(NOTA[[#This Row],[CONCAT1]],[1]!db[NB NOTA_C],0)+1)</f>
        <v>1153</v>
      </c>
    </row>
    <row r="439" spans="1:40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Row],[CEK_EXP]]&lt;D438,"err","")</f>
        <v/>
      </c>
      <c r="D439" s="50">
        <f>IF(NOTA[[#This Row],[TANGGAL]]="",D438,NOTA[[#This Row],[TANGGAL]])</f>
        <v>44942</v>
      </c>
      <c r="E439" s="50">
        <f ca="1">IF(NOTA[[#This Row],[NAMA BARANG]]="","",INDEX(NOTA[ID],MATCH(,INDIRECT(ADDRESS(ROW(NOTA[ID]),COLUMN(NOTA[ID]))&amp;":"&amp;ADDRESS(ROW(),COLUMN(NOTA[ID]))),-1)))</f>
        <v>81</v>
      </c>
      <c r="F439" s="23"/>
      <c r="G439" s="26"/>
      <c r="H439" s="26"/>
      <c r="I439" s="31"/>
      <c r="J439" s="26" t="s">
        <v>608</v>
      </c>
      <c r="K439" s="51"/>
      <c r="L439" s="26"/>
      <c r="M439" s="26" t="s">
        <v>547</v>
      </c>
      <c r="N439" s="39">
        <v>5</v>
      </c>
      <c r="O439" s="26"/>
      <c r="P439" s="26"/>
      <c r="Q439" s="49"/>
      <c r="R439" s="52">
        <v>3758400</v>
      </c>
      <c r="S439" s="39" t="s">
        <v>117</v>
      </c>
      <c r="T439" s="53">
        <v>0.17</v>
      </c>
      <c r="U439" s="53"/>
      <c r="V439" s="54"/>
      <c r="W439" s="37"/>
      <c r="X439" s="54">
        <f>IF(NOTA[[#This Row],[HARGA/ CTN]]="",NOTA[[#This Row],[JUMLAH_H]],NOTA[[#This Row],[HARGA/ CTN]]*IF(NOTA[[#This Row],[C]]="",0,NOTA[[#This Row],[C]]))</f>
        <v>18792000</v>
      </c>
      <c r="Y439" s="54">
        <f>IF(NOTA[[#This Row],[JUMLAH]]="","",NOTA[[#This Row],[JUMLAH]]*NOTA[[#This Row],[DISC 1]])</f>
        <v>3194640</v>
      </c>
      <c r="Z439" s="54">
        <f>IF(NOTA[[#This Row],[JUMLAH]]="","",(NOTA[[#This Row],[JUMLAH]]-NOTA[[#This Row],[DISC 1-]])*NOTA[[#This Row],[DISC 2]])</f>
        <v>0</v>
      </c>
      <c r="AA439" s="54">
        <f>IF(NOTA[[#This Row],[JUMLAH]]="","",NOTA[[#This Row],[DISC 1-]]+NOTA[[#This Row],[DISC 2-]])</f>
        <v>3194640</v>
      </c>
      <c r="AB439" s="54">
        <f>IF(NOTA[[#This Row],[JUMLAH]]="","",NOTA[[#This Row],[JUMLAH]]-NOTA[[#This Row],[DISC]])</f>
        <v>15597360</v>
      </c>
      <c r="AC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11527632</v>
      </c>
      <c r="AD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56281968</v>
      </c>
      <c r="AE43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439" s="54" t="str">
        <f>IF(OR(NOTA[[#This Row],[QTY]]="",NOTA[[#This Row],[HARGA SATUAN]]="",),"",NOTA[[#This Row],[QTY]]*NOTA[[#This Row],[HARGA SATUAN]])</f>
        <v/>
      </c>
      <c r="AG439" s="51">
        <f ca="1">IF(NOTA[ID_H]="","",INDEX(NOTA[TANGGAL],MATCH(,INDIRECT(ADDRESS(ROW(NOTA[TANGGAL]),COLUMN(NOTA[TANGGAL]))&amp;":"&amp;ADDRESS(ROW(),COLUMN(NOTA[TANGGAL]))),-1)))</f>
        <v>44942</v>
      </c>
      <c r="AH439" s="65" t="str">
        <f ca="1">IF(NOTA[[#This Row],[NAMA BARANG]]="","",INDEX(NOTA[SUPPLIER],MATCH(,INDIRECT(ADDRESS(ROW(NOTA[ID]),COLUMN(NOTA[ID]))&amp;":"&amp;ADDRESS(ROW(),COLUMN(NOTA[ID]))),-1)))</f>
        <v>KENKO SINAR INDONESIA</v>
      </c>
      <c r="AI439" s="65" t="str">
        <f ca="1">IF(NOTA[[#This Row],[ID_H]]="","",IF(NOTA[[#This Row],[FAKTUR]]="",INDIRECT(ADDRESS(ROW()-1,COLUMN())),NOTA[[#This Row],[FAKTUR]]))</f>
        <v>ARTO MORO</v>
      </c>
      <c r="AJ439" s="38" t="str">
        <f ca="1">IF(NOTA[[#This Row],[ID]]="","",COUNTIF(NOTA[ID_H],NOTA[[#This Row],[ID_H]]))</f>
        <v/>
      </c>
      <c r="AK439" s="38">
        <f ca="1">IF(NOTA[[#This Row],[TGL.NOTA]]="",IF(NOTA[[#This Row],[SUPPLIER_H]]="","",AK438),MONTH(NOTA[[#This Row],[TGL.NOTA]]))</f>
        <v>1</v>
      </c>
      <c r="AL439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439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N439" s="184">
        <f>IF(NOTA[[#This Row],[CONCAT1]]="","",MATCH(NOTA[[#This Row],[CONCAT1]],[1]!db[NB NOTA_C],0)+1)</f>
        <v>1148</v>
      </c>
    </row>
    <row r="440" spans="1:40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Row],[CEK_EXP]]&lt;D439,"err","")</f>
        <v/>
      </c>
      <c r="D440" s="50">
        <f>IF(NOTA[[#This Row],[TANGGAL]]="",D439,NOTA[[#This Row],[TANGGAL]])</f>
        <v>44942</v>
      </c>
      <c r="E440" s="50" t="str">
        <f ca="1">IF(NOTA[[#This Row],[NAMA BARANG]]="","",INDEX(NOTA[ID],MATCH(,INDIRECT(ADDRESS(ROW(NOTA[ID]),COLUMN(NOTA[ID]))&amp;":"&amp;ADDRESS(ROW(),COLUMN(NOTA[ID]))),-1)))</f>
        <v/>
      </c>
      <c r="F440" s="23"/>
      <c r="G440" s="26"/>
      <c r="H440" s="26"/>
      <c r="I440" s="31"/>
      <c r="J440" s="26"/>
      <c r="K440" s="51"/>
      <c r="L440" s="26"/>
      <c r="M440" s="26"/>
      <c r="N440" s="39"/>
      <c r="O440" s="26"/>
      <c r="P440" s="26"/>
      <c r="Q440" s="49"/>
      <c r="R440" s="52"/>
      <c r="S440" s="39"/>
      <c r="T440" s="53"/>
      <c r="U440" s="53"/>
      <c r="V440" s="54"/>
      <c r="W440" s="37"/>
      <c r="X440" s="54" t="str">
        <f>IF(NOTA[[#This Row],[HARGA/ CTN]]="",NOTA[[#This Row],[JUMLAH_H]],NOTA[[#This Row],[HARGA/ CTN]]*IF(NOTA[[#This Row],[C]]="",0,NOTA[[#This Row],[C]]))</f>
        <v/>
      </c>
      <c r="Y440" s="54" t="str">
        <f>IF(NOTA[[#This Row],[JUMLAH]]="","",NOTA[[#This Row],[JUMLAH]]*NOTA[[#This Row],[DISC 1]])</f>
        <v/>
      </c>
      <c r="Z440" s="54" t="str">
        <f>IF(NOTA[[#This Row],[JUMLAH]]="","",(NOTA[[#This Row],[JUMLAH]]-NOTA[[#This Row],[DISC 1-]])*NOTA[[#This Row],[DISC 2]])</f>
        <v/>
      </c>
      <c r="AA440" s="54" t="str">
        <f>IF(NOTA[[#This Row],[JUMLAH]]="","",NOTA[[#This Row],[DISC 1-]]+NOTA[[#This Row],[DISC 2-]])</f>
        <v/>
      </c>
      <c r="AB440" s="54" t="str">
        <f>IF(NOTA[[#This Row],[JUMLAH]]="","",NOTA[[#This Row],[JUMLAH]]-NOTA[[#This Row],[DISC]])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54" t="str">
        <f>IF(OR(NOTA[[#This Row],[QTY]]="",NOTA[[#This Row],[HARGA SATUAN]]="",),"",NOTA[[#This Row],[QTY]]*NOTA[[#This Row],[HARGA SATUAN]])</f>
        <v/>
      </c>
      <c r="AG440" s="51" t="str">
        <f ca="1">IF(NOTA[ID_H]="","",INDEX(NOTA[TANGGAL],MATCH(,INDIRECT(ADDRESS(ROW(NOTA[TANGGAL]),COLUMN(NOTA[TANGGAL]))&amp;":"&amp;ADDRESS(ROW(),COLUMN(NOTA[TANGGAL]))),-1)))</f>
        <v/>
      </c>
      <c r="AH440" s="65" t="str">
        <f ca="1">IF(NOTA[[#This Row],[NAMA BARANG]]="","",INDEX(NOTA[SUPPLIER],MATCH(,INDIRECT(ADDRESS(ROW(NOTA[ID]),COLUMN(NOTA[ID]))&amp;":"&amp;ADDRESS(ROW(),COLUMN(NOTA[ID]))),-1)))</f>
        <v/>
      </c>
      <c r="AI440" s="65" t="str">
        <f ca="1">IF(NOTA[[#This Row],[ID_H]]="","",IF(NOTA[[#This Row],[FAKTUR]]="",INDIRECT(ADDRESS(ROW()-1,COLUMN())),NOTA[[#This Row],[FAKTUR]]))</f>
        <v/>
      </c>
      <c r="AJ440" s="38" t="str">
        <f ca="1">IF(NOTA[[#This Row],[ID]]="","",COUNTIF(NOTA[ID_H],NOTA[[#This Row],[ID_H]]))</f>
        <v/>
      </c>
      <c r="AK440" s="38" t="str">
        <f ca="1">IF(NOTA[[#This Row],[TGL.NOTA]]="",IF(NOTA[[#This Row],[SUPPLIER_H]]="","",AK439),MONTH(NOTA[[#This Row],[TGL.NOTA]]))</f>
        <v/>
      </c>
      <c r="AL440" s="38" t="str">
        <f>LOWER(SUBSTITUTE(SUBSTITUTE(SUBSTITUTE(SUBSTITUTE(SUBSTITUTE(SUBSTITUTE(SUBSTITUTE(SUBSTITUTE(SUBSTITUTE(NOTA[NAMA BARANG]," ",),".",""),"-",""),"(",""),")",""),",",""),"/",""),"""",""),"+",""))</f>
        <v/>
      </c>
      <c r="AM440" s="38" t="str">
        <f>IF(NOTA[C]="",NOTA[[#This Row],[CONCAT1]]&amp;NOTA[[#This Row],[HARGA SATUAN]],NOTA[[#This Row],[CONCAT1]]&amp;NOTA[[#This Row],[HARGA/ CTN_H]]&amp;NOTA[[#This Row],[DISC 1]]&amp;NOTA[[#This Row],[DISC 2]])</f>
        <v/>
      </c>
      <c r="AN440" s="184" t="str">
        <f>IF(NOTA[[#This Row],[CONCAT1]]="","",MATCH(NOTA[[#This Row],[CONCAT1]],[1]!db[NB NOTA_C],0)+1)</f>
        <v/>
      </c>
    </row>
    <row r="441" spans="1:40" ht="20.100000000000001" customHeight="1" x14ac:dyDescent="0.25">
      <c r="A441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KEN_1601_988-4</v>
      </c>
      <c r="C441" s="50" t="str">
        <f>IF(NOTA[[#This Row],[CEK_EXP]]&lt;D440,"err","")</f>
        <v/>
      </c>
      <c r="D441" s="50">
        <f>IF(NOTA[[#This Row],[TANGGAL]]="",D440,NOTA[[#This Row],[TANGGAL]])</f>
        <v>44942</v>
      </c>
      <c r="E441" s="50">
        <f ca="1">IF(NOTA[[#This Row],[NAMA BARANG]]="","",INDEX(NOTA[ID],MATCH(,INDIRECT(ADDRESS(ROW(NOTA[ID]),COLUMN(NOTA[ID]))&amp;":"&amp;ADDRESS(ROW(),COLUMN(NOTA[ID]))),-1)))</f>
        <v>82</v>
      </c>
      <c r="F441" s="23"/>
      <c r="G441" s="26" t="s">
        <v>23</v>
      </c>
      <c r="H441" s="26" t="s">
        <v>24</v>
      </c>
      <c r="I441" s="31" t="s">
        <v>609</v>
      </c>
      <c r="J441" s="26" t="s">
        <v>613</v>
      </c>
      <c r="K441" s="51">
        <v>44940</v>
      </c>
      <c r="L441" s="26"/>
      <c r="M441" s="26" t="s">
        <v>610</v>
      </c>
      <c r="N441" s="39">
        <v>5</v>
      </c>
      <c r="O441" s="26"/>
      <c r="P441" s="26"/>
      <c r="Q441" s="49"/>
      <c r="R441" s="52">
        <v>2880000</v>
      </c>
      <c r="S441" s="39" t="s">
        <v>121</v>
      </c>
      <c r="T441" s="53">
        <v>0.17</v>
      </c>
      <c r="U441" s="53"/>
      <c r="V441" s="54"/>
      <c r="W441" s="37"/>
      <c r="X441" s="54">
        <f>IF(NOTA[[#This Row],[HARGA/ CTN]]="",NOTA[[#This Row],[JUMLAH_H]],NOTA[[#This Row],[HARGA/ CTN]]*IF(NOTA[[#This Row],[C]]="",0,NOTA[[#This Row],[C]]))</f>
        <v>14400000</v>
      </c>
      <c r="Y441" s="54">
        <f>IF(NOTA[[#This Row],[JUMLAH]]="","",NOTA[[#This Row],[JUMLAH]]*NOTA[[#This Row],[DISC 1]])</f>
        <v>2448000</v>
      </c>
      <c r="Z441" s="54">
        <f>IF(NOTA[[#This Row],[JUMLAH]]="","",(NOTA[[#This Row],[JUMLAH]]-NOTA[[#This Row],[DISC 1-]])*NOTA[[#This Row],[DISC 2]])</f>
        <v>0</v>
      </c>
      <c r="AA441" s="54">
        <f>IF(NOTA[[#This Row],[JUMLAH]]="","",NOTA[[#This Row],[DISC 1-]]+NOTA[[#This Row],[DISC 2-]])</f>
        <v>2448000</v>
      </c>
      <c r="AB441" s="54">
        <f>IF(NOTA[[#This Row],[JUMLAH]]="","",NOTA[[#This Row],[JUMLAH]]-NOTA[[#This Row],[DISC]])</f>
        <v>11952000</v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41" s="54" t="str">
        <f>IF(OR(NOTA[[#This Row],[QTY]]="",NOTA[[#This Row],[HARGA SATUAN]]="",),"",NOTA[[#This Row],[QTY]]*NOTA[[#This Row],[HARGA SATUAN]])</f>
        <v/>
      </c>
      <c r="AG441" s="51">
        <f ca="1">IF(NOTA[ID_H]="","",INDEX(NOTA[TANGGAL],MATCH(,INDIRECT(ADDRESS(ROW(NOTA[TANGGAL]),COLUMN(NOTA[TANGGAL]))&amp;":"&amp;ADDRESS(ROW(),COLUMN(NOTA[TANGGAL]))),-1)))</f>
        <v>44942</v>
      </c>
      <c r="AH441" s="65" t="str">
        <f ca="1">IF(NOTA[[#This Row],[NAMA BARANG]]="","",INDEX(NOTA[SUPPLIER],MATCH(,INDIRECT(ADDRESS(ROW(NOTA[ID]),COLUMN(NOTA[ID]))&amp;":"&amp;ADDRESS(ROW(),COLUMN(NOTA[ID]))),-1)))</f>
        <v>KENKO SINAR INDONESIA</v>
      </c>
      <c r="AI441" s="65" t="str">
        <f ca="1">IF(NOTA[[#This Row],[ID_H]]="","",IF(NOTA[[#This Row],[FAKTUR]]="",INDIRECT(ADDRESS(ROW()-1,COLUMN())),NOTA[[#This Row],[FAKTUR]]))</f>
        <v>ARTO MORO</v>
      </c>
      <c r="AJ441" s="38">
        <f ca="1">IF(NOTA[[#This Row],[ID]]="","",COUNTIF(NOTA[ID_H],NOTA[[#This Row],[ID_H]]))</f>
        <v>4</v>
      </c>
      <c r="AK441" s="38">
        <f>IF(NOTA[[#This Row],[TGL.NOTA]]="",IF(NOTA[[#This Row],[SUPPLIER_H]]="","",AK440),MONTH(NOTA[[#This Row],[TGL.NOTA]]))</f>
        <v>1</v>
      </c>
      <c r="AL441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441" s="38" t="str">
        <f>IF(NOTA[C]="",NOTA[[#This Row],[CONCAT1]]&amp;NOTA[[#This Row],[HARGA SATUAN]],NOTA[[#This Row],[CONCAT1]]&amp;NOTA[[#This Row],[HARGA/ CTN_H]]&amp;NOTA[[#This Row],[DISC 1]]&amp;NOTA[[#This Row],[DISC 2]])</f>
        <v>kenkocorrectiontapect90912mx5mm28800000.17</v>
      </c>
      <c r="AN441" s="184">
        <f>IF(NOTA[[#This Row],[CONCAT1]]="","",MATCH(NOTA[[#This Row],[CONCAT1]],[1]!db[NB NOTA_C],0)+1)</f>
        <v>1130</v>
      </c>
    </row>
    <row r="442" spans="1:40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Row],[CEK_EXP]]&lt;D441,"err","")</f>
        <v/>
      </c>
      <c r="D442" s="50">
        <f>IF(NOTA[[#This Row],[TANGGAL]]="",D441,NOTA[[#This Row],[TANGGAL]])</f>
        <v>44942</v>
      </c>
      <c r="E442" s="50">
        <f ca="1">IF(NOTA[[#This Row],[NAMA BARANG]]="","",INDEX(NOTA[ID],MATCH(,INDIRECT(ADDRESS(ROW(NOTA[ID]),COLUMN(NOTA[ID]))&amp;":"&amp;ADDRESS(ROW(),COLUMN(NOTA[ID]))),-1)))</f>
        <v>82</v>
      </c>
      <c r="F442" s="23"/>
      <c r="G442" s="26"/>
      <c r="H442" s="26"/>
      <c r="I442" s="31"/>
      <c r="J442" s="26"/>
      <c r="K442" s="51"/>
      <c r="L442" s="26"/>
      <c r="M442" s="26" t="s">
        <v>611</v>
      </c>
      <c r="N442" s="39">
        <v>3</v>
      </c>
      <c r="O442" s="26"/>
      <c r="P442" s="26"/>
      <c r="Q442" s="49"/>
      <c r="R442" s="52">
        <v>3340800</v>
      </c>
      <c r="S442" s="39" t="s">
        <v>121</v>
      </c>
      <c r="T442" s="53">
        <v>0.17</v>
      </c>
      <c r="U442" s="53"/>
      <c r="V442" s="54"/>
      <c r="W442" s="37"/>
      <c r="X442" s="54">
        <f>IF(NOTA[[#This Row],[HARGA/ CTN]]="",NOTA[[#This Row],[JUMLAH_H]],NOTA[[#This Row],[HARGA/ CTN]]*IF(NOTA[[#This Row],[C]]="",0,NOTA[[#This Row],[C]]))</f>
        <v>10022400</v>
      </c>
      <c r="Y442" s="54">
        <f>IF(NOTA[[#This Row],[JUMLAH]]="","",NOTA[[#This Row],[JUMLAH]]*NOTA[[#This Row],[DISC 1]])</f>
        <v>1703808.0000000002</v>
      </c>
      <c r="Z442" s="54">
        <f>IF(NOTA[[#This Row],[JUMLAH]]="","",(NOTA[[#This Row],[JUMLAH]]-NOTA[[#This Row],[DISC 1-]])*NOTA[[#This Row],[DISC 2]])</f>
        <v>0</v>
      </c>
      <c r="AA442" s="54">
        <f>IF(NOTA[[#This Row],[JUMLAH]]="","",NOTA[[#This Row],[DISC 1-]]+NOTA[[#This Row],[DISC 2-]])</f>
        <v>1703808.0000000002</v>
      </c>
      <c r="AB442" s="54">
        <f>IF(NOTA[[#This Row],[JUMLAH]]="","",NOTA[[#This Row],[JUMLAH]]-NOTA[[#This Row],[DISC]])</f>
        <v>8318592</v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9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442" s="54" t="str">
        <f>IF(OR(NOTA[[#This Row],[QTY]]="",NOTA[[#This Row],[HARGA SATUAN]]="",),"",NOTA[[#This Row],[QTY]]*NOTA[[#This Row],[HARGA SATUAN]])</f>
        <v/>
      </c>
      <c r="AG442" s="51">
        <f ca="1">IF(NOTA[ID_H]="","",INDEX(NOTA[TANGGAL],MATCH(,INDIRECT(ADDRESS(ROW(NOTA[TANGGAL]),COLUMN(NOTA[TANGGAL]))&amp;":"&amp;ADDRESS(ROW(),COLUMN(NOTA[TANGGAL]))),-1)))</f>
        <v>44942</v>
      </c>
      <c r="AH442" s="65" t="str">
        <f ca="1">IF(NOTA[[#This Row],[NAMA BARANG]]="","",INDEX(NOTA[SUPPLIER],MATCH(,INDIRECT(ADDRESS(ROW(NOTA[ID]),COLUMN(NOTA[ID]))&amp;":"&amp;ADDRESS(ROW(),COLUMN(NOTA[ID]))),-1)))</f>
        <v>KENKO SINAR INDONESIA</v>
      </c>
      <c r="AI442" s="65" t="str">
        <f ca="1">IF(NOTA[[#This Row],[ID_H]]="","",IF(NOTA[[#This Row],[FAKTUR]]="",INDIRECT(ADDRESS(ROW()-1,COLUMN())),NOTA[[#This Row],[FAKTUR]]))</f>
        <v>ARTO MORO</v>
      </c>
      <c r="AJ442" s="38" t="str">
        <f ca="1">IF(NOTA[[#This Row],[ID]]="","",COUNTIF(NOTA[ID_H],NOTA[[#This Row],[ID_H]]))</f>
        <v/>
      </c>
      <c r="AK442" s="38">
        <f ca="1">IF(NOTA[[#This Row],[TGL.NOTA]]="",IF(NOTA[[#This Row],[SUPPLIER_H]]="","",AK441),MONTH(NOTA[[#This Row],[TGL.NOTA]]))</f>
        <v>1</v>
      </c>
      <c r="AL442" s="38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M442" s="38" t="str">
        <f>IF(NOTA[C]="",NOTA[[#This Row],[CONCAT1]]&amp;NOTA[[#This Row],[HARGA SATUAN]],NOTA[[#This Row],[CONCAT1]]&amp;NOTA[[#This Row],[HARGA/ CTN_H]]&amp;NOTA[[#This Row],[DISC 1]]&amp;NOTA[[#This Row],[DISC 2]])</f>
        <v>kenkocorrectiontapect1505fc15mx5mm33408000.17</v>
      </c>
      <c r="AN442" s="184">
        <f>IF(NOTA[[#This Row],[CONCAT1]]="","",MATCH(NOTA[[#This Row],[CONCAT1]],[1]!db[NB NOTA_C],0)+1)</f>
        <v>1110</v>
      </c>
    </row>
    <row r="443" spans="1:40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Row],[CEK_EXP]]&lt;D442,"err","")</f>
        <v/>
      </c>
      <c r="D443" s="50">
        <f>IF(NOTA[[#This Row],[TANGGAL]]="",D442,NOTA[[#This Row],[TANGGAL]])</f>
        <v>44942</v>
      </c>
      <c r="E443" s="50">
        <f ca="1">IF(NOTA[[#This Row],[NAMA BARANG]]="","",INDEX(NOTA[ID],MATCH(,INDIRECT(ADDRESS(ROW(NOTA[ID]),COLUMN(NOTA[ID]))&amp;":"&amp;ADDRESS(ROW(),COLUMN(NOTA[ID]))),-1)))</f>
        <v>82</v>
      </c>
      <c r="F443" s="23"/>
      <c r="G443" s="26"/>
      <c r="H443" s="26"/>
      <c r="I443" s="31"/>
      <c r="J443" s="26"/>
      <c r="K443" s="51"/>
      <c r="L443" s="26"/>
      <c r="M443" s="26" t="s">
        <v>612</v>
      </c>
      <c r="N443" s="39">
        <v>2</v>
      </c>
      <c r="O443" s="26"/>
      <c r="P443" s="26"/>
      <c r="Q443" s="49"/>
      <c r="R443" s="52">
        <v>5616000</v>
      </c>
      <c r="S443" s="39" t="s">
        <v>117</v>
      </c>
      <c r="T443" s="53">
        <v>0.17</v>
      </c>
      <c r="U443" s="53"/>
      <c r="V443" s="54"/>
      <c r="W443" s="37"/>
      <c r="X443" s="54">
        <f>IF(NOTA[[#This Row],[HARGA/ CTN]]="",NOTA[[#This Row],[JUMLAH_H]],NOTA[[#This Row],[HARGA/ CTN]]*IF(NOTA[[#This Row],[C]]="",0,NOTA[[#This Row],[C]]))</f>
        <v>11232000</v>
      </c>
      <c r="Y443" s="54">
        <f>IF(NOTA[[#This Row],[JUMLAH]]="","",NOTA[[#This Row],[JUMLAH]]*NOTA[[#This Row],[DISC 1]])</f>
        <v>1909440.0000000002</v>
      </c>
      <c r="Z443" s="54">
        <f>IF(NOTA[[#This Row],[JUMLAH]]="","",(NOTA[[#This Row],[JUMLAH]]-NOTA[[#This Row],[DISC 1-]])*NOTA[[#This Row],[DISC 2]])</f>
        <v>0</v>
      </c>
      <c r="AA443" s="54">
        <f>IF(NOTA[[#This Row],[JUMLAH]]="","",NOTA[[#This Row],[DISC 1-]]+NOTA[[#This Row],[DISC 2-]])</f>
        <v>1909440.0000000002</v>
      </c>
      <c r="AB443" s="54">
        <f>IF(NOTA[[#This Row],[JUMLAH]]="","",NOTA[[#This Row],[JUMLAH]]-NOTA[[#This Row],[DISC]])</f>
        <v>9322560</v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43" s="54" t="str">
        <f>IF(OR(NOTA[[#This Row],[QTY]]="",NOTA[[#This Row],[HARGA SATUAN]]="",),"",NOTA[[#This Row],[QTY]]*NOTA[[#This Row],[HARGA SATUAN]])</f>
        <v/>
      </c>
      <c r="AG443" s="51">
        <f ca="1">IF(NOTA[ID_H]="","",INDEX(NOTA[TANGGAL],MATCH(,INDIRECT(ADDRESS(ROW(NOTA[TANGGAL]),COLUMN(NOTA[TANGGAL]))&amp;":"&amp;ADDRESS(ROW(),COLUMN(NOTA[TANGGAL]))),-1)))</f>
        <v>44942</v>
      </c>
      <c r="AH443" s="65" t="str">
        <f ca="1">IF(NOTA[[#This Row],[NAMA BARANG]]="","",INDEX(NOTA[SUPPLIER],MATCH(,INDIRECT(ADDRESS(ROW(NOTA[ID]),COLUMN(NOTA[ID]))&amp;":"&amp;ADDRESS(ROW(),COLUMN(NOTA[ID]))),-1)))</f>
        <v>KENKO SINAR INDONESIA</v>
      </c>
      <c r="AI443" s="65" t="str">
        <f ca="1">IF(NOTA[[#This Row],[ID_H]]="","",IF(NOTA[[#This Row],[FAKTUR]]="",INDIRECT(ADDRESS(ROW()-1,COLUMN())),NOTA[[#This Row],[FAKTUR]]))</f>
        <v>ARTO MORO</v>
      </c>
      <c r="AJ443" s="38" t="str">
        <f ca="1">IF(NOTA[[#This Row],[ID]]="","",COUNTIF(NOTA[ID_H],NOTA[[#This Row],[ID_H]]))</f>
        <v/>
      </c>
      <c r="AK443" s="38">
        <f ca="1">IF(NOTA[[#This Row],[TGL.NOTA]]="",IF(NOTA[[#This Row],[SUPPLIER_H]]="","",AK442),MONTH(NOTA[[#This Row],[TGL.NOTA]]))</f>
        <v>1</v>
      </c>
      <c r="AL443" s="38" t="str">
        <f>LOWER(SUBSTITUTE(SUBSTITUTE(SUBSTITUTE(SUBSTITUTE(SUBSTITUTE(SUBSTITUTE(SUBSTITUTE(SUBSTITUTE(SUBSTITUTE(NOTA[NAMA BARANG]," ",),".",""),"-",""),"(",""),")",""),",",""),"/",""),"""",""),"+",""))</f>
        <v>kenkogelpensaharasnackblack</v>
      </c>
      <c r="AM443" s="38" t="str">
        <f>IF(NOTA[C]="",NOTA[[#This Row],[CONCAT1]]&amp;NOTA[[#This Row],[HARGA SATUAN]],NOTA[[#This Row],[CONCAT1]]&amp;NOTA[[#This Row],[HARGA/ CTN_H]]&amp;NOTA[[#This Row],[DISC 1]]&amp;NOTA[[#This Row],[DISC 2]])</f>
        <v>kenkogelpensaharasnackblack56160000.17</v>
      </c>
      <c r="AN443" s="184">
        <f>IF(NOTA[[#This Row],[CONCAT1]]="","",MATCH(NOTA[[#This Row],[CONCAT1]],[1]!db[NB NOTA_C],0)+1)</f>
        <v>1182</v>
      </c>
    </row>
    <row r="444" spans="1:40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Row],[CEK_EXP]]&lt;D443,"err","")</f>
        <v/>
      </c>
      <c r="D444" s="50">
        <f>IF(NOTA[[#This Row],[TANGGAL]]="",D443,NOTA[[#This Row],[TANGGAL]])</f>
        <v>44942</v>
      </c>
      <c r="E444" s="50">
        <f ca="1">IF(NOTA[[#This Row],[NAMA BARANG]]="","",INDEX(NOTA[ID],MATCH(,INDIRECT(ADDRESS(ROW(NOTA[ID]),COLUMN(NOTA[ID]))&amp;":"&amp;ADDRESS(ROW(),COLUMN(NOTA[ID]))),-1)))</f>
        <v>82</v>
      </c>
      <c r="F444" s="23"/>
      <c r="G444" s="26"/>
      <c r="H444" s="26"/>
      <c r="I444" s="31"/>
      <c r="J444" s="26"/>
      <c r="K444" s="51"/>
      <c r="L444" s="26"/>
      <c r="M444" s="26" t="s">
        <v>355</v>
      </c>
      <c r="N444" s="39">
        <v>1</v>
      </c>
      <c r="O444" s="26"/>
      <c r="P444" s="26"/>
      <c r="Q444" s="49"/>
      <c r="R444" s="52">
        <v>1995000</v>
      </c>
      <c r="S444" s="39" t="s">
        <v>365</v>
      </c>
      <c r="T444" s="53">
        <v>0.17</v>
      </c>
      <c r="U444" s="53"/>
      <c r="V444" s="54"/>
      <c r="W444" s="37"/>
      <c r="X444" s="54">
        <f>IF(NOTA[[#This Row],[HARGA/ CTN]]="",NOTA[[#This Row],[JUMLAH_H]],NOTA[[#This Row],[HARGA/ CTN]]*IF(NOTA[[#This Row],[C]]="",0,NOTA[[#This Row],[C]]))</f>
        <v>1995000</v>
      </c>
      <c r="Y444" s="54">
        <f>IF(NOTA[[#This Row],[JUMLAH]]="","",NOTA[[#This Row],[JUMLAH]]*NOTA[[#This Row],[DISC 1]])</f>
        <v>339150</v>
      </c>
      <c r="Z444" s="54">
        <f>IF(NOTA[[#This Row],[JUMLAH]]="","",(NOTA[[#This Row],[JUMLAH]]-NOTA[[#This Row],[DISC 1-]])*NOTA[[#This Row],[DISC 2]])</f>
        <v>0</v>
      </c>
      <c r="AA444" s="54">
        <f>IF(NOTA[[#This Row],[JUMLAH]]="","",NOTA[[#This Row],[DISC 1-]]+NOTA[[#This Row],[DISC 2-]])</f>
        <v>339150</v>
      </c>
      <c r="AB444" s="54">
        <f>IF(NOTA[[#This Row],[JUMLAH]]="","",NOTA[[#This Row],[JUMLAH]]-NOTA[[#This Row],[DISC]])</f>
        <v>1655850</v>
      </c>
      <c r="AC4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6400398</v>
      </c>
      <c r="AD4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31249002</v>
      </c>
      <c r="AE444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44" s="54" t="str">
        <f>IF(OR(NOTA[[#This Row],[QTY]]="",NOTA[[#This Row],[HARGA SATUAN]]="",),"",NOTA[[#This Row],[QTY]]*NOTA[[#This Row],[HARGA SATUAN]])</f>
        <v/>
      </c>
      <c r="AG444" s="51">
        <f ca="1">IF(NOTA[ID_H]="","",INDEX(NOTA[TANGGAL],MATCH(,INDIRECT(ADDRESS(ROW(NOTA[TANGGAL]),COLUMN(NOTA[TANGGAL]))&amp;":"&amp;ADDRESS(ROW(),COLUMN(NOTA[TANGGAL]))),-1)))</f>
        <v>44942</v>
      </c>
      <c r="AH444" s="65" t="str">
        <f ca="1">IF(NOTA[[#This Row],[NAMA BARANG]]="","",INDEX(NOTA[SUPPLIER],MATCH(,INDIRECT(ADDRESS(ROW(NOTA[ID]),COLUMN(NOTA[ID]))&amp;":"&amp;ADDRESS(ROW(),COLUMN(NOTA[ID]))),-1)))</f>
        <v>KENKO SINAR INDONESIA</v>
      </c>
      <c r="AI444" s="65" t="str">
        <f ca="1">IF(NOTA[[#This Row],[ID_H]]="","",IF(NOTA[[#This Row],[FAKTUR]]="",INDIRECT(ADDRESS(ROW()-1,COLUMN())),NOTA[[#This Row],[FAKTUR]]))</f>
        <v>ARTO MORO</v>
      </c>
      <c r="AJ444" s="38" t="str">
        <f ca="1">IF(NOTA[[#This Row],[ID]]="","",COUNTIF(NOTA[ID_H],NOTA[[#This Row],[ID_H]]))</f>
        <v/>
      </c>
      <c r="AK444" s="38">
        <f ca="1">IF(NOTA[[#This Row],[TGL.NOTA]]="",IF(NOTA[[#This Row],[SUPPLIER_H]]="","",AK443),MONTH(NOTA[[#This Row],[TGL.NOTA]]))</f>
        <v>1</v>
      </c>
      <c r="AL44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44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N444" s="184">
        <f>IF(NOTA[[#This Row],[CONCAT1]]="","",MATCH(NOTA[[#This Row],[CONCAT1]],[1]!db[NB NOTA_C],0)+1)</f>
        <v>1269</v>
      </c>
    </row>
    <row r="445" spans="1:40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Row],[CEK_EXP]]&lt;D444,"err","")</f>
        <v/>
      </c>
      <c r="D445" s="50">
        <f>IF(NOTA[[#This Row],[TANGGAL]]="",D444,NOTA[[#This Row],[TANGGAL]])</f>
        <v>44942</v>
      </c>
      <c r="E445" s="50" t="str">
        <f ca="1">IF(NOTA[[#This Row],[NAMA BARANG]]="","",INDEX(NOTA[ID],MATCH(,INDIRECT(ADDRESS(ROW(NOTA[ID]),COLUMN(NOTA[ID]))&amp;":"&amp;ADDRESS(ROW(),COLUMN(NOTA[ID]))),-1)))</f>
        <v/>
      </c>
      <c r="F445" s="23"/>
      <c r="G445" s="26"/>
      <c r="H445" s="26"/>
      <c r="I445" s="31"/>
      <c r="J445" s="26"/>
      <c r="K445" s="51"/>
      <c r="L445" s="26"/>
      <c r="M445" s="26"/>
      <c r="N445" s="39"/>
      <c r="O445" s="26"/>
      <c r="P445" s="26"/>
      <c r="Q445" s="49"/>
      <c r="R445" s="52"/>
      <c r="S445" s="39"/>
      <c r="T445" s="53"/>
      <c r="U445" s="53"/>
      <c r="V445" s="54"/>
      <c r="W445" s="37"/>
      <c r="X445" s="54" t="str">
        <f>IF(NOTA[[#This Row],[HARGA/ CTN]]="",NOTA[[#This Row],[JUMLAH_H]],NOTA[[#This Row],[HARGA/ CTN]]*IF(NOTA[[#This Row],[C]]="",0,NOTA[[#This Row],[C]]))</f>
        <v/>
      </c>
      <c r="Y445" s="54" t="str">
        <f>IF(NOTA[[#This Row],[JUMLAH]]="","",NOTA[[#This Row],[JUMLAH]]*NOTA[[#This Row],[DISC 1]])</f>
        <v/>
      </c>
      <c r="Z445" s="54" t="str">
        <f>IF(NOTA[[#This Row],[JUMLAH]]="","",(NOTA[[#This Row],[JUMLAH]]-NOTA[[#This Row],[DISC 1-]])*NOTA[[#This Row],[DISC 2]])</f>
        <v/>
      </c>
      <c r="AA445" s="54" t="str">
        <f>IF(NOTA[[#This Row],[JUMLAH]]="","",NOTA[[#This Row],[DISC 1-]]+NOTA[[#This Row],[DISC 2-]])</f>
        <v/>
      </c>
      <c r="AB445" s="54" t="str">
        <f>IF(NOTA[[#This Row],[JUMLAH]]="","",NOTA[[#This Row],[JUMLAH]]-NOTA[[#This Row],[DISC]])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54" t="str">
        <f>IF(OR(NOTA[[#This Row],[QTY]]="",NOTA[[#This Row],[HARGA SATUAN]]="",),"",NOTA[[#This Row],[QTY]]*NOTA[[#This Row],[HARGA SATUAN]])</f>
        <v/>
      </c>
      <c r="AG445" s="51" t="str">
        <f ca="1">IF(NOTA[ID_H]="","",INDEX(NOTA[TANGGAL],MATCH(,INDIRECT(ADDRESS(ROW(NOTA[TANGGAL]),COLUMN(NOTA[TANGGAL]))&amp;":"&amp;ADDRESS(ROW(),COLUMN(NOTA[TANGGAL]))),-1)))</f>
        <v/>
      </c>
      <c r="AH445" s="65" t="str">
        <f ca="1">IF(NOTA[[#This Row],[NAMA BARANG]]="","",INDEX(NOTA[SUPPLIER],MATCH(,INDIRECT(ADDRESS(ROW(NOTA[ID]),COLUMN(NOTA[ID]))&amp;":"&amp;ADDRESS(ROW(),COLUMN(NOTA[ID]))),-1)))</f>
        <v/>
      </c>
      <c r="AI445" s="65" t="str">
        <f ca="1">IF(NOTA[[#This Row],[ID_H]]="","",IF(NOTA[[#This Row],[FAKTUR]]="",INDIRECT(ADDRESS(ROW()-1,COLUMN())),NOTA[[#This Row],[FAKTUR]]))</f>
        <v/>
      </c>
      <c r="AJ445" s="38" t="str">
        <f ca="1">IF(NOTA[[#This Row],[ID]]="","",COUNTIF(NOTA[ID_H],NOTA[[#This Row],[ID_H]]))</f>
        <v/>
      </c>
      <c r="AK445" s="38" t="str">
        <f ca="1">IF(NOTA[[#This Row],[TGL.NOTA]]="",IF(NOTA[[#This Row],[SUPPLIER_H]]="","",AK444),MONTH(NOTA[[#This Row],[TGL.NOTA]]))</f>
        <v/>
      </c>
      <c r="AL445" s="38" t="str">
        <f>LOWER(SUBSTITUTE(SUBSTITUTE(SUBSTITUTE(SUBSTITUTE(SUBSTITUTE(SUBSTITUTE(SUBSTITUTE(SUBSTITUTE(SUBSTITUTE(NOTA[NAMA BARANG]," ",),".",""),"-",""),"(",""),")",""),",",""),"/",""),"""",""),"+",""))</f>
        <v/>
      </c>
      <c r="AM445" s="38" t="str">
        <f>IF(NOTA[C]="",NOTA[[#This Row],[CONCAT1]]&amp;NOTA[[#This Row],[HARGA SATUAN]],NOTA[[#This Row],[CONCAT1]]&amp;NOTA[[#This Row],[HARGA/ CTN_H]]&amp;NOTA[[#This Row],[DISC 1]]&amp;NOTA[[#This Row],[DISC 2]])</f>
        <v/>
      </c>
      <c r="AN445" s="184" t="str">
        <f>IF(NOTA[[#This Row],[CONCAT1]]="","",MATCH(NOTA[[#This Row],[CONCAT1]],[1]!db[NB NOTA_C],0)+1)</f>
        <v/>
      </c>
    </row>
    <row r="446" spans="1:40" ht="20.100000000000001" customHeight="1" x14ac:dyDescent="0.25">
      <c r="A446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ATA_1601_770-2</v>
      </c>
      <c r="C446" s="50" t="str">
        <f>IF(NOTA[[#This Row],[CEK_EXP]]&lt;D445,"err","")</f>
        <v/>
      </c>
      <c r="D446" s="50">
        <f>IF(NOTA[[#This Row],[TANGGAL]]="",D445,NOTA[[#This Row],[TANGGAL]])</f>
        <v>44942</v>
      </c>
      <c r="E446" s="50">
        <f ca="1">IF(NOTA[[#This Row],[NAMA BARANG]]="","",INDEX(NOTA[ID],MATCH(,INDIRECT(ADDRESS(ROW(NOTA[ID]),COLUMN(NOTA[ID]))&amp;":"&amp;ADDRESS(ROW(),COLUMN(NOTA[ID]))),-1)))</f>
        <v>83</v>
      </c>
      <c r="F446" s="23"/>
      <c r="G446" s="26" t="s">
        <v>25</v>
      </c>
      <c r="H446" s="26" t="s">
        <v>24</v>
      </c>
      <c r="I446" s="31" t="s">
        <v>614</v>
      </c>
      <c r="J446" s="26"/>
      <c r="K446" s="51">
        <v>44938</v>
      </c>
      <c r="L446" s="26"/>
      <c r="M446" s="26" t="s">
        <v>615</v>
      </c>
      <c r="N446" s="39">
        <v>1</v>
      </c>
      <c r="O446" s="26">
        <v>216</v>
      </c>
      <c r="P446" s="26" t="s">
        <v>104</v>
      </c>
      <c r="Q446" s="49">
        <v>5800</v>
      </c>
      <c r="R446" s="52"/>
      <c r="S446" s="39" t="s">
        <v>616</v>
      </c>
      <c r="T446" s="53">
        <v>0.125</v>
      </c>
      <c r="U446" s="53">
        <v>0.05</v>
      </c>
      <c r="V446" s="54"/>
      <c r="W446" s="37"/>
      <c r="X446" s="54">
        <f>IF(NOTA[[#This Row],[HARGA/ CTN]]="",NOTA[[#This Row],[JUMLAH_H]],NOTA[[#This Row],[HARGA/ CTN]]*IF(NOTA[[#This Row],[C]]="",0,NOTA[[#This Row],[C]]))</f>
        <v>1252800</v>
      </c>
      <c r="Y446" s="54">
        <f>IF(NOTA[[#This Row],[JUMLAH]]="","",NOTA[[#This Row],[JUMLAH]]*NOTA[[#This Row],[DISC 1]])</f>
        <v>156600</v>
      </c>
      <c r="Z446" s="54">
        <f>IF(NOTA[[#This Row],[JUMLAH]]="","",(NOTA[[#This Row],[JUMLAH]]-NOTA[[#This Row],[DISC 1-]])*NOTA[[#This Row],[DISC 2]])</f>
        <v>54810</v>
      </c>
      <c r="AA446" s="54">
        <f>IF(NOTA[[#This Row],[JUMLAH]]="","",NOTA[[#This Row],[DISC 1-]]+NOTA[[#This Row],[DISC 2-]])</f>
        <v>211410</v>
      </c>
      <c r="AB446" s="54">
        <f>IF(NOTA[[#This Row],[JUMLAH]]="","",NOTA[[#This Row],[JUMLAH]]-NOTA[[#This Row],[DISC]])</f>
        <v>1041390</v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F446" s="54">
        <f>IF(OR(NOTA[[#This Row],[QTY]]="",NOTA[[#This Row],[HARGA SATUAN]]="",),"",NOTA[[#This Row],[QTY]]*NOTA[[#This Row],[HARGA SATUAN]])</f>
        <v>1252800</v>
      </c>
      <c r="AG446" s="51">
        <f ca="1">IF(NOTA[ID_H]="","",INDEX(NOTA[TANGGAL],MATCH(,INDIRECT(ADDRESS(ROW(NOTA[TANGGAL]),COLUMN(NOTA[TANGGAL]))&amp;":"&amp;ADDRESS(ROW(),COLUMN(NOTA[TANGGAL]))),-1)))</f>
        <v>44942</v>
      </c>
      <c r="AH446" s="65" t="str">
        <f ca="1">IF(NOTA[[#This Row],[NAMA BARANG]]="","",INDEX(NOTA[SUPPLIER],MATCH(,INDIRECT(ADDRESS(ROW(NOTA[ID]),COLUMN(NOTA[ID]))&amp;":"&amp;ADDRESS(ROW(),COLUMN(NOTA[ID]))),-1)))</f>
        <v>ATALI MAKMUR</v>
      </c>
      <c r="AI446" s="65" t="str">
        <f ca="1">IF(NOTA[[#This Row],[ID_H]]="","",IF(NOTA[[#This Row],[FAKTUR]]="",INDIRECT(ADDRESS(ROW()-1,COLUMN())),NOTA[[#This Row],[FAKTUR]]))</f>
        <v>ARTO MORO</v>
      </c>
      <c r="AJ446" s="38">
        <f ca="1">IF(NOTA[[#This Row],[ID]]="","",COUNTIF(NOTA[ID_H],NOTA[[#This Row],[ID_H]]))</f>
        <v>2</v>
      </c>
      <c r="AK446" s="38">
        <f>IF(NOTA[[#This Row],[TGL.NOTA]]="",IF(NOTA[[#This Row],[SUPPLIER_H]]="","",AK445),MONTH(NOTA[[#This Row],[TGL.NOTA]]))</f>
        <v>1</v>
      </c>
      <c r="AL446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M446" s="38" t="str">
        <f>IF(NOTA[C]="",NOTA[[#This Row],[CONCAT1]]&amp;NOTA[[#This Row],[HARGA SATUAN]],NOTA[[#This Row],[CONCAT1]]&amp;NOTA[[#This Row],[HARGA/ CTN_H]]&amp;NOTA[[#This Row],[DISC 1]]&amp;NOTA[[#This Row],[DISC 2]])</f>
        <v>stamppadno1jk12528000.1250.05</v>
      </c>
      <c r="AN446" s="184">
        <f>IF(NOTA[[#This Row],[CONCAT1]]="","",MATCH(NOTA[[#This Row],[CONCAT1]],[1]!db[NB NOTA_C],0)+1)</f>
        <v>1980</v>
      </c>
    </row>
    <row r="447" spans="1:40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Row],[CEK_EXP]]&lt;D446,"err","")</f>
        <v/>
      </c>
      <c r="D447" s="50">
        <f>IF(NOTA[[#This Row],[TANGGAL]]="",D446,NOTA[[#This Row],[TANGGAL]])</f>
        <v>44942</v>
      </c>
      <c r="E447" s="50">
        <f ca="1">IF(NOTA[[#This Row],[NAMA BARANG]]="","",INDEX(NOTA[ID],MATCH(,INDIRECT(ADDRESS(ROW(NOTA[ID]),COLUMN(NOTA[ID]))&amp;":"&amp;ADDRESS(ROW(),COLUMN(NOTA[ID]))),-1)))</f>
        <v>83</v>
      </c>
      <c r="F447" s="23"/>
      <c r="G447" s="26"/>
      <c r="H447" s="26"/>
      <c r="I447" s="31"/>
      <c r="J447" s="26"/>
      <c r="K447" s="51"/>
      <c r="L447" s="26"/>
      <c r="M447" s="26" t="s">
        <v>617</v>
      </c>
      <c r="N447" s="39">
        <v>1</v>
      </c>
      <c r="O447" s="26">
        <v>50</v>
      </c>
      <c r="P447" s="26" t="s">
        <v>131</v>
      </c>
      <c r="Q447" s="49">
        <v>32000</v>
      </c>
      <c r="R447" s="52"/>
      <c r="S447" s="39" t="s">
        <v>618</v>
      </c>
      <c r="T447" s="53">
        <v>0.125</v>
      </c>
      <c r="U447" s="53">
        <v>0.05</v>
      </c>
      <c r="V447" s="54"/>
      <c r="W447" s="37"/>
      <c r="X447" s="54">
        <f>IF(NOTA[[#This Row],[HARGA/ CTN]]="",NOTA[[#This Row],[JUMLAH_H]],NOTA[[#This Row],[HARGA/ CTN]]*IF(NOTA[[#This Row],[C]]="",0,NOTA[[#This Row],[C]]))</f>
        <v>1600000</v>
      </c>
      <c r="Y447" s="54">
        <f>IF(NOTA[[#This Row],[JUMLAH]]="","",NOTA[[#This Row],[JUMLAH]]*NOTA[[#This Row],[DISC 1]])</f>
        <v>200000</v>
      </c>
      <c r="Z447" s="54">
        <f>IF(NOTA[[#This Row],[JUMLAH]]="","",(NOTA[[#This Row],[JUMLAH]]-NOTA[[#This Row],[DISC 1-]])*NOTA[[#This Row],[DISC 2]])</f>
        <v>70000</v>
      </c>
      <c r="AA447" s="54">
        <f>IF(NOTA[[#This Row],[JUMLAH]]="","",NOTA[[#This Row],[DISC 1-]]+NOTA[[#This Row],[DISC 2-]])</f>
        <v>270000</v>
      </c>
      <c r="AB447" s="54">
        <f>IF(NOTA[[#This Row],[JUMLAH]]="","",NOTA[[#This Row],[JUMLAH]]-NOTA[[#This Row],[DISC]])</f>
        <v>1330000</v>
      </c>
      <c r="AC4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481410</v>
      </c>
      <c r="AD4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2371390</v>
      </c>
      <c r="AE447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447" s="54">
        <f>IF(OR(NOTA[[#This Row],[QTY]]="",NOTA[[#This Row],[HARGA SATUAN]]="",),"",NOTA[[#This Row],[QTY]]*NOTA[[#This Row],[HARGA SATUAN]])</f>
        <v>1600000</v>
      </c>
      <c r="AG447" s="51">
        <f ca="1">IF(NOTA[ID_H]="","",INDEX(NOTA[TANGGAL],MATCH(,INDIRECT(ADDRESS(ROW(NOTA[TANGGAL]),COLUMN(NOTA[TANGGAL]))&amp;":"&amp;ADDRESS(ROW(),COLUMN(NOTA[TANGGAL]))),-1)))</f>
        <v>44942</v>
      </c>
      <c r="AH447" s="65" t="str">
        <f ca="1">IF(NOTA[[#This Row],[NAMA BARANG]]="","",INDEX(NOTA[SUPPLIER],MATCH(,INDIRECT(ADDRESS(ROW(NOTA[ID]),COLUMN(NOTA[ID]))&amp;":"&amp;ADDRESS(ROW(),COLUMN(NOTA[ID]))),-1)))</f>
        <v>ATALI MAKMUR</v>
      </c>
      <c r="AI447" s="65" t="str">
        <f ca="1">IF(NOTA[[#This Row],[ID_H]]="","",IF(NOTA[[#This Row],[FAKTUR]]="",INDIRECT(ADDRESS(ROW()-1,COLUMN())),NOTA[[#This Row],[FAKTUR]]))</f>
        <v>ARTO MORO</v>
      </c>
      <c r="AJ447" s="38" t="str">
        <f ca="1">IF(NOTA[[#This Row],[ID]]="","",COUNTIF(NOTA[ID_H],NOTA[[#This Row],[ID_H]]))</f>
        <v/>
      </c>
      <c r="AK447" s="38">
        <f ca="1">IF(NOTA[[#This Row],[TGL.NOTA]]="",IF(NOTA[[#This Row],[SUPPLIER_H]]="","",AK446),MONTH(NOTA[[#This Row],[TGL.NOTA]]))</f>
        <v>1</v>
      </c>
      <c r="AL44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M447" s="38" t="str">
        <f>IF(NOTA[C]="",NOTA[[#This Row],[CONCAT1]]&amp;NOTA[[#This Row],[HARGA SATUAN]],NOTA[[#This Row],[CONCAT1]]&amp;NOTA[[#This Row],[HARGA/ CTN_H]]&amp;NOTA[[#This Row],[DISC 1]]&amp;NOTA[[#This Row],[DISC 2]])</f>
        <v>eraserer30wjk16000000.1250.05</v>
      </c>
      <c r="AN447" s="184">
        <f>IF(NOTA[[#This Row],[CONCAT1]]="","",MATCH(NOTA[[#This Row],[CONCAT1]],[1]!db[NB NOTA_C],0)+1)</f>
        <v>686</v>
      </c>
    </row>
    <row r="448" spans="1:40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Row],[CEK_EXP]]&lt;D447,"err","")</f>
        <v/>
      </c>
      <c r="D448" s="50">
        <f>IF(NOTA[[#This Row],[TANGGAL]]="",D447,NOTA[[#This Row],[TANGGAL]])</f>
        <v>44942</v>
      </c>
      <c r="E448" s="50" t="str">
        <f ca="1">IF(NOTA[[#This Row],[NAMA BARANG]]="","",INDEX(NOTA[ID],MATCH(,INDIRECT(ADDRESS(ROW(NOTA[ID]),COLUMN(NOTA[ID]))&amp;":"&amp;ADDRESS(ROW(),COLUMN(NOTA[ID]))),-1)))</f>
        <v/>
      </c>
      <c r="F448" s="23"/>
      <c r="G448" s="26"/>
      <c r="H448" s="26"/>
      <c r="I448" s="31"/>
      <c r="J448" s="26"/>
      <c r="K448" s="51"/>
      <c r="L448" s="26"/>
      <c r="M448" s="26"/>
      <c r="N448" s="39"/>
      <c r="O448" s="26"/>
      <c r="P448" s="26"/>
      <c r="Q448" s="49"/>
      <c r="R448" s="52"/>
      <c r="S448" s="39"/>
      <c r="T448" s="53"/>
      <c r="U448" s="53"/>
      <c r="V448" s="54"/>
      <c r="W448" s="37"/>
      <c r="X448" s="54" t="str">
        <f>IF(NOTA[[#This Row],[HARGA/ CTN]]="",NOTA[[#This Row],[JUMLAH_H]],NOTA[[#This Row],[HARGA/ CTN]]*IF(NOTA[[#This Row],[C]]="",0,NOTA[[#This Row],[C]]))</f>
        <v/>
      </c>
      <c r="Y448" s="54" t="str">
        <f>IF(NOTA[[#This Row],[JUMLAH]]="","",NOTA[[#This Row],[JUMLAH]]*NOTA[[#This Row],[DISC 1]])</f>
        <v/>
      </c>
      <c r="Z448" s="54" t="str">
        <f>IF(NOTA[[#This Row],[JUMLAH]]="","",(NOTA[[#This Row],[JUMLAH]]-NOTA[[#This Row],[DISC 1-]])*NOTA[[#This Row],[DISC 2]])</f>
        <v/>
      </c>
      <c r="AA448" s="54" t="str">
        <f>IF(NOTA[[#This Row],[JUMLAH]]="","",NOTA[[#This Row],[DISC 1-]]+NOTA[[#This Row],[DISC 2-]])</f>
        <v/>
      </c>
      <c r="AB448" s="54" t="str">
        <f>IF(NOTA[[#This Row],[JUMLAH]]="","",NOTA[[#This Row],[JUMLAH]]-NOTA[[#This Row],[DISC]])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54" t="str">
        <f>IF(OR(NOTA[[#This Row],[QTY]]="",NOTA[[#This Row],[HARGA SATUAN]]="",),"",NOTA[[#This Row],[QTY]]*NOTA[[#This Row],[HARGA SATUAN]])</f>
        <v/>
      </c>
      <c r="AG448" s="51" t="str">
        <f ca="1">IF(NOTA[ID_H]="","",INDEX(NOTA[TANGGAL],MATCH(,INDIRECT(ADDRESS(ROW(NOTA[TANGGAL]),COLUMN(NOTA[TANGGAL]))&amp;":"&amp;ADDRESS(ROW(),COLUMN(NOTA[TANGGAL]))),-1)))</f>
        <v/>
      </c>
      <c r="AH448" s="65" t="str">
        <f ca="1">IF(NOTA[[#This Row],[NAMA BARANG]]="","",INDEX(NOTA[SUPPLIER],MATCH(,INDIRECT(ADDRESS(ROW(NOTA[ID]),COLUMN(NOTA[ID]))&amp;":"&amp;ADDRESS(ROW(),COLUMN(NOTA[ID]))),-1)))</f>
        <v/>
      </c>
      <c r="AI448" s="65" t="str">
        <f ca="1">IF(NOTA[[#This Row],[ID_H]]="","",IF(NOTA[[#This Row],[FAKTUR]]="",INDIRECT(ADDRESS(ROW()-1,COLUMN())),NOTA[[#This Row],[FAKTUR]]))</f>
        <v/>
      </c>
      <c r="AJ448" s="38" t="str">
        <f ca="1">IF(NOTA[[#This Row],[ID]]="","",COUNTIF(NOTA[ID_H],NOTA[[#This Row],[ID_H]]))</f>
        <v/>
      </c>
      <c r="AK448" s="38" t="str">
        <f ca="1">IF(NOTA[[#This Row],[TGL.NOTA]]="",IF(NOTA[[#This Row],[SUPPLIER_H]]="","",AK447),MONTH(NOTA[[#This Row],[TGL.NOTA]]))</f>
        <v/>
      </c>
      <c r="AL448" s="38" t="str">
        <f>LOWER(SUBSTITUTE(SUBSTITUTE(SUBSTITUTE(SUBSTITUTE(SUBSTITUTE(SUBSTITUTE(SUBSTITUTE(SUBSTITUTE(SUBSTITUTE(NOTA[NAMA BARANG]," ",),".",""),"-",""),"(",""),")",""),",",""),"/",""),"""",""),"+",""))</f>
        <v/>
      </c>
      <c r="AM448" s="38" t="str">
        <f>IF(NOTA[C]="",NOTA[[#This Row],[CONCAT1]]&amp;NOTA[[#This Row],[HARGA SATUAN]],NOTA[[#This Row],[CONCAT1]]&amp;NOTA[[#This Row],[HARGA/ CTN_H]]&amp;NOTA[[#This Row],[DISC 1]]&amp;NOTA[[#This Row],[DISC 2]])</f>
        <v/>
      </c>
      <c r="AN448" s="184" t="str">
        <f>IF(NOTA[[#This Row],[CONCAT1]]="","",MATCH(NOTA[[#This Row],[CONCAT1]],[1]!db[NB NOTA_C],0)+1)</f>
        <v/>
      </c>
    </row>
    <row r="449" spans="1:40" ht="20.100000000000001" customHeight="1" x14ac:dyDescent="0.25">
      <c r="A449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ATA_1601_693-10</v>
      </c>
      <c r="C449" s="50" t="str">
        <f>IF(NOTA[[#This Row],[CEK_EXP]]&lt;D448,"err","")</f>
        <v/>
      </c>
      <c r="D449" s="50">
        <f>IF(NOTA[[#This Row],[TANGGAL]]="",D448,NOTA[[#This Row],[TANGGAL]])</f>
        <v>44942</v>
      </c>
      <c r="E449" s="50">
        <f ca="1">IF(NOTA[[#This Row],[NAMA BARANG]]="","",INDEX(NOTA[ID],MATCH(,INDIRECT(ADDRESS(ROW(NOTA[ID]),COLUMN(NOTA[ID]))&amp;":"&amp;ADDRESS(ROW(),COLUMN(NOTA[ID]))),-1)))</f>
        <v>84</v>
      </c>
      <c r="F449" s="23"/>
      <c r="G449" s="26" t="s">
        <v>25</v>
      </c>
      <c r="H449" s="26" t="s">
        <v>24</v>
      </c>
      <c r="I449" s="31" t="s">
        <v>619</v>
      </c>
      <c r="J449" s="26"/>
      <c r="K449" s="51">
        <v>44938</v>
      </c>
      <c r="L449" s="26"/>
      <c r="M449" s="26" t="s">
        <v>620</v>
      </c>
      <c r="N449" s="39">
        <v>1</v>
      </c>
      <c r="O449" s="26">
        <v>500</v>
      </c>
      <c r="P449" s="26" t="s">
        <v>131</v>
      </c>
      <c r="Q449" s="49">
        <v>1625</v>
      </c>
      <c r="R449" s="52"/>
      <c r="S449" s="39" t="s">
        <v>479</v>
      </c>
      <c r="T449" s="53">
        <v>0.125</v>
      </c>
      <c r="U449" s="53">
        <v>0.05</v>
      </c>
      <c r="V449" s="54"/>
      <c r="W449" s="37"/>
      <c r="X449" s="54">
        <f>IF(NOTA[[#This Row],[HARGA/ CTN]]="",NOTA[[#This Row],[JUMLAH_H]],NOTA[[#This Row],[HARGA/ CTN]]*IF(NOTA[[#This Row],[C]]="",0,NOTA[[#This Row],[C]]))</f>
        <v>812500</v>
      </c>
      <c r="Y449" s="54">
        <f>IF(NOTA[[#This Row],[JUMLAH]]="","",NOTA[[#This Row],[JUMLAH]]*NOTA[[#This Row],[DISC 1]])</f>
        <v>101562.5</v>
      </c>
      <c r="Z449" s="54">
        <f>IF(NOTA[[#This Row],[JUMLAH]]="","",(NOTA[[#This Row],[JUMLAH]]-NOTA[[#This Row],[DISC 1-]])*NOTA[[#This Row],[DISC 2]])</f>
        <v>35546.875</v>
      </c>
      <c r="AA449" s="54">
        <f>IF(NOTA[[#This Row],[JUMLAH]]="","",NOTA[[#This Row],[DISC 1-]]+NOTA[[#This Row],[DISC 2-]])</f>
        <v>137109.375</v>
      </c>
      <c r="AB449" s="54">
        <f>IF(NOTA[[#This Row],[JUMLAH]]="","",NOTA[[#This Row],[JUMLAH]]-NOTA[[#This Row],[DISC]])</f>
        <v>675390.625</v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449" s="54">
        <f>IF(OR(NOTA[[#This Row],[QTY]]="",NOTA[[#This Row],[HARGA SATUAN]]="",),"",NOTA[[#This Row],[QTY]]*NOTA[[#This Row],[HARGA SATUAN]])</f>
        <v>812500</v>
      </c>
      <c r="AG449" s="51">
        <f ca="1">IF(NOTA[ID_H]="","",INDEX(NOTA[TANGGAL],MATCH(,INDIRECT(ADDRESS(ROW(NOTA[TANGGAL]),COLUMN(NOTA[TANGGAL]))&amp;":"&amp;ADDRESS(ROW(),COLUMN(NOTA[TANGGAL]))),-1)))</f>
        <v>44942</v>
      </c>
      <c r="AH449" s="65" t="str">
        <f ca="1">IF(NOTA[[#This Row],[NAMA BARANG]]="","",INDEX(NOTA[SUPPLIER],MATCH(,INDIRECT(ADDRESS(ROW(NOTA[ID]),COLUMN(NOTA[ID]))&amp;":"&amp;ADDRESS(ROW(),COLUMN(NOTA[ID]))),-1)))</f>
        <v>ATALI MAKMUR</v>
      </c>
      <c r="AI449" s="65" t="str">
        <f ca="1">IF(NOTA[[#This Row],[ID_H]]="","",IF(NOTA[[#This Row],[FAKTUR]]="",INDIRECT(ADDRESS(ROW()-1,COLUMN())),NOTA[[#This Row],[FAKTUR]]))</f>
        <v>ARTO MORO</v>
      </c>
      <c r="AJ449" s="38">
        <f ca="1">IF(NOTA[[#This Row],[ID]]="","",COUNTIF(NOTA[ID_H],NOTA[[#This Row],[ID_H]]))</f>
        <v>10</v>
      </c>
      <c r="AK449" s="38">
        <f>IF(NOTA[[#This Row],[TGL.NOTA]]="",IF(NOTA[[#This Row],[SUPPLIER_H]]="","",AK448),MONTH(NOTA[[#This Row],[TGL.NOTA]]))</f>
        <v>1</v>
      </c>
      <c r="AL44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44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N449" s="184">
        <f>IF(NOTA[[#This Row],[CONCAT1]]="","",MATCH(NOTA[[#This Row],[CONCAT1]],[1]!db[NB NOTA_C],0)+1)</f>
        <v>2090</v>
      </c>
    </row>
    <row r="450" spans="1:40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Row],[CEK_EXP]]&lt;D449,"err","")</f>
        <v/>
      </c>
      <c r="D450" s="50">
        <f>IF(NOTA[[#This Row],[TANGGAL]]="",D449,NOTA[[#This Row],[TANGGAL]])</f>
        <v>44942</v>
      </c>
      <c r="E450" s="50">
        <f ca="1">IF(NOTA[[#This Row],[NAMA BARANG]]="","",INDEX(NOTA[ID],MATCH(,INDIRECT(ADDRESS(ROW(NOTA[ID]),COLUMN(NOTA[ID]))&amp;":"&amp;ADDRESS(ROW(),COLUMN(NOTA[ID]))),-1)))</f>
        <v>84</v>
      </c>
      <c r="F450" s="23"/>
      <c r="G450" s="26"/>
      <c r="H450" s="26"/>
      <c r="I450" s="31"/>
      <c r="J450" s="26"/>
      <c r="K450" s="51"/>
      <c r="L450" s="26"/>
      <c r="M450" s="26" t="s">
        <v>269</v>
      </c>
      <c r="N450" s="39">
        <v>2</v>
      </c>
      <c r="O450" s="26">
        <v>48</v>
      </c>
      <c r="P450" s="26" t="s">
        <v>104</v>
      </c>
      <c r="Q450" s="49">
        <v>19000</v>
      </c>
      <c r="R450" s="52"/>
      <c r="S450" s="39" t="s">
        <v>130</v>
      </c>
      <c r="T450" s="53">
        <v>0.125</v>
      </c>
      <c r="U450" s="53">
        <v>0.05</v>
      </c>
      <c r="V450" s="54"/>
      <c r="W450" s="37"/>
      <c r="X450" s="54">
        <f>IF(NOTA[[#This Row],[HARGA/ CTN]]="",NOTA[[#This Row],[JUMLAH_H]],NOTA[[#This Row],[HARGA/ CTN]]*IF(NOTA[[#This Row],[C]]="",0,NOTA[[#This Row],[C]]))</f>
        <v>912000</v>
      </c>
      <c r="Y450" s="54">
        <f>IF(NOTA[[#This Row],[JUMLAH]]="","",NOTA[[#This Row],[JUMLAH]]*NOTA[[#This Row],[DISC 1]])</f>
        <v>114000</v>
      </c>
      <c r="Z450" s="54">
        <f>IF(NOTA[[#This Row],[JUMLAH]]="","",(NOTA[[#This Row],[JUMLAH]]-NOTA[[#This Row],[DISC 1-]])*NOTA[[#This Row],[DISC 2]])</f>
        <v>39900</v>
      </c>
      <c r="AA450" s="54">
        <f>IF(NOTA[[#This Row],[JUMLAH]]="","",NOTA[[#This Row],[DISC 1-]]+NOTA[[#This Row],[DISC 2-]])</f>
        <v>153900</v>
      </c>
      <c r="AB450" s="54">
        <f>IF(NOTA[[#This Row],[JUMLAH]]="","",NOTA[[#This Row],[JUMLAH]]-NOTA[[#This Row],[DISC]])</f>
        <v>758100</v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50" s="54">
        <f>IF(OR(NOTA[[#This Row],[QTY]]="",NOTA[[#This Row],[HARGA SATUAN]]="",),"",NOTA[[#This Row],[QTY]]*NOTA[[#This Row],[HARGA SATUAN]])</f>
        <v>912000</v>
      </c>
      <c r="AG450" s="51">
        <f ca="1">IF(NOTA[ID_H]="","",INDEX(NOTA[TANGGAL],MATCH(,INDIRECT(ADDRESS(ROW(NOTA[TANGGAL]),COLUMN(NOTA[TANGGAL]))&amp;":"&amp;ADDRESS(ROW(),COLUMN(NOTA[TANGGAL]))),-1)))</f>
        <v>44942</v>
      </c>
      <c r="AH450" s="65" t="str">
        <f ca="1">IF(NOTA[[#This Row],[NAMA BARANG]]="","",INDEX(NOTA[SUPPLIER],MATCH(,INDIRECT(ADDRESS(ROW(NOTA[ID]),COLUMN(NOTA[ID]))&amp;":"&amp;ADDRESS(ROW(),COLUMN(NOTA[ID]))),-1)))</f>
        <v>ATALI MAKMUR</v>
      </c>
      <c r="AI450" s="65" t="str">
        <f ca="1">IF(NOTA[[#This Row],[ID_H]]="","",IF(NOTA[[#This Row],[FAKTUR]]="",INDIRECT(ADDRESS(ROW()-1,COLUMN())),NOTA[[#This Row],[FAKTUR]]))</f>
        <v>ARTO MORO</v>
      </c>
      <c r="AJ450" s="38" t="str">
        <f ca="1">IF(NOTA[[#This Row],[ID]]="","",COUNTIF(NOTA[ID_H],NOTA[[#This Row],[ID_H]]))</f>
        <v/>
      </c>
      <c r="AK450" s="38">
        <f ca="1">IF(NOTA[[#This Row],[TGL.NOTA]]="",IF(NOTA[[#This Row],[SUPPLIER_H]]="","",AK449),MONTH(NOTA[[#This Row],[TGL.NOTA]]))</f>
        <v>1</v>
      </c>
      <c r="AL450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50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N450" s="184">
        <f>IF(NOTA[[#This Row],[CONCAT1]]="","",MATCH(NOTA[[#This Row],[CONCAT1]],[1]!db[NB NOTA_C],0)+1)</f>
        <v>2026</v>
      </c>
    </row>
    <row r="451" spans="1:40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Row],[CEK_EXP]]&lt;D450,"err","")</f>
        <v/>
      </c>
      <c r="D451" s="50">
        <f>IF(NOTA[[#This Row],[TANGGAL]]="",D450,NOTA[[#This Row],[TANGGAL]])</f>
        <v>44942</v>
      </c>
      <c r="E451" s="50">
        <f ca="1">IF(NOTA[[#This Row],[NAMA BARANG]]="","",INDEX(NOTA[ID],MATCH(,INDIRECT(ADDRESS(ROW(NOTA[ID]),COLUMN(NOTA[ID]))&amp;":"&amp;ADDRESS(ROW(),COLUMN(NOTA[ID]))),-1)))</f>
        <v>84</v>
      </c>
      <c r="F451" s="139"/>
      <c r="G451" s="26"/>
      <c r="H451" s="26"/>
      <c r="I451" s="23"/>
      <c r="J451" s="26"/>
      <c r="K451" s="51"/>
      <c r="L451" s="26"/>
      <c r="M451" s="26" t="s">
        <v>280</v>
      </c>
      <c r="N451" s="39">
        <v>3</v>
      </c>
      <c r="O451" s="26">
        <v>150</v>
      </c>
      <c r="P451" s="26" t="s">
        <v>131</v>
      </c>
      <c r="Q451" s="49">
        <v>34100</v>
      </c>
      <c r="R451" s="52"/>
      <c r="S451" s="39" t="s">
        <v>281</v>
      </c>
      <c r="T451" s="53">
        <v>0.125</v>
      </c>
      <c r="U451" s="53">
        <v>0.05</v>
      </c>
      <c r="V451" s="54"/>
      <c r="W451" s="37"/>
      <c r="X451" s="54">
        <f>IF(NOTA[[#This Row],[HARGA/ CTN]]="",NOTA[[#This Row],[JUMLAH_H]],NOTA[[#This Row],[HARGA/ CTN]]*IF(NOTA[[#This Row],[C]]="",0,NOTA[[#This Row],[C]]))</f>
        <v>5115000</v>
      </c>
      <c r="Y451" s="54">
        <f>IF(NOTA[[#This Row],[JUMLAH]]="","",NOTA[[#This Row],[JUMLAH]]*NOTA[[#This Row],[DISC 1]])</f>
        <v>639375</v>
      </c>
      <c r="Z451" s="54">
        <f>IF(NOTA[[#This Row],[JUMLAH]]="","",(NOTA[[#This Row],[JUMLAH]]-NOTA[[#This Row],[DISC 1-]])*NOTA[[#This Row],[DISC 2]])</f>
        <v>223781.25</v>
      </c>
      <c r="AA451" s="54">
        <f>IF(NOTA[[#This Row],[JUMLAH]]="","",NOTA[[#This Row],[DISC 1-]]+NOTA[[#This Row],[DISC 2-]])</f>
        <v>863156.25</v>
      </c>
      <c r="AB451" s="54">
        <f>IF(NOTA[[#This Row],[JUMLAH]]="","",NOTA[[#This Row],[JUMLAH]]-NOTA[[#This Row],[DISC]])</f>
        <v>4251843.75</v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51" s="54">
        <f>IF(OR(NOTA[[#This Row],[QTY]]="",NOTA[[#This Row],[HARGA SATUAN]]="",),"",NOTA[[#This Row],[QTY]]*NOTA[[#This Row],[HARGA SATUAN]])</f>
        <v>5115000</v>
      </c>
      <c r="AG451" s="51">
        <f ca="1">IF(NOTA[ID_H]="","",INDEX(NOTA[TANGGAL],MATCH(,INDIRECT(ADDRESS(ROW(NOTA[TANGGAL]),COLUMN(NOTA[TANGGAL]))&amp;":"&amp;ADDRESS(ROW(),COLUMN(NOTA[TANGGAL]))),-1)))</f>
        <v>44942</v>
      </c>
      <c r="AH451" s="65" t="str">
        <f ca="1">IF(NOTA[[#This Row],[NAMA BARANG]]="","",INDEX(NOTA[SUPPLIER],MATCH(,INDIRECT(ADDRESS(ROW(NOTA[ID]),COLUMN(NOTA[ID]))&amp;":"&amp;ADDRESS(ROW(),COLUMN(NOTA[ID]))),-1)))</f>
        <v>ATALI MAKMUR</v>
      </c>
      <c r="AI451" s="65" t="str">
        <f ca="1">IF(NOTA[[#This Row],[ID_H]]="","",IF(NOTA[[#This Row],[FAKTUR]]="",INDIRECT(ADDRESS(ROW()-1,COLUMN())),NOTA[[#This Row],[FAKTUR]]))</f>
        <v>ARTO MORO</v>
      </c>
      <c r="AJ451" s="38" t="str">
        <f ca="1">IF(NOTA[[#This Row],[ID]]="","",COUNTIF(NOTA[ID_H],NOTA[[#This Row],[ID_H]]))</f>
        <v/>
      </c>
      <c r="AK451" s="38">
        <f ca="1">IF(NOTA[[#This Row],[TGL.NOTA]]="",IF(NOTA[[#This Row],[SUPPLIER_H]]="","",AK450),MONTH(NOTA[[#This Row],[TGL.NOTA]]))</f>
        <v>1</v>
      </c>
      <c r="AL45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451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451" s="184">
        <f>IF(NOTA[[#This Row],[CONCAT1]]="","",MATCH(NOTA[[#This Row],[CONCAT1]],[1]!db[NB NOTA_C],0)+1)</f>
        <v>678</v>
      </c>
    </row>
    <row r="452" spans="1:40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Row],[CEK_EXP]]&lt;D451,"err","")</f>
        <v/>
      </c>
      <c r="D452" s="50">
        <f>IF(NOTA[[#This Row],[TANGGAL]]="",D451,NOTA[[#This Row],[TANGGAL]])</f>
        <v>44942</v>
      </c>
      <c r="E452" s="50">
        <f ca="1">IF(NOTA[[#This Row],[NAMA BARANG]]="","",INDEX(NOTA[ID],MATCH(,INDIRECT(ADDRESS(ROW(NOTA[ID]),COLUMN(NOTA[ID]))&amp;":"&amp;ADDRESS(ROW(),COLUMN(NOTA[ID]))),-1)))</f>
        <v>84</v>
      </c>
      <c r="F452" s="23"/>
      <c r="G452" s="26"/>
      <c r="H452" s="26"/>
      <c r="I452" s="31"/>
      <c r="J452" s="26"/>
      <c r="K452" s="51"/>
      <c r="L452" s="26"/>
      <c r="M452" s="26" t="s">
        <v>284</v>
      </c>
      <c r="N452" s="39">
        <v>2</v>
      </c>
      <c r="O452" s="26">
        <v>100</v>
      </c>
      <c r="P452" s="26" t="s">
        <v>131</v>
      </c>
      <c r="Q452" s="49">
        <v>34100</v>
      </c>
      <c r="R452" s="52"/>
      <c r="S452" s="39" t="s">
        <v>281</v>
      </c>
      <c r="T452" s="53">
        <v>0.125</v>
      </c>
      <c r="U452" s="53">
        <v>0.05</v>
      </c>
      <c r="V452" s="54"/>
      <c r="W452" s="37"/>
      <c r="X452" s="54">
        <f>IF(NOTA[[#This Row],[HARGA/ CTN]]="",NOTA[[#This Row],[JUMLAH_H]],NOTA[[#This Row],[HARGA/ CTN]]*IF(NOTA[[#This Row],[C]]="",0,NOTA[[#This Row],[C]]))</f>
        <v>3410000</v>
      </c>
      <c r="Y452" s="54">
        <f>IF(NOTA[[#This Row],[JUMLAH]]="","",NOTA[[#This Row],[JUMLAH]]*NOTA[[#This Row],[DISC 1]])</f>
        <v>426250</v>
      </c>
      <c r="Z452" s="54">
        <f>IF(NOTA[[#This Row],[JUMLAH]]="","",(NOTA[[#This Row],[JUMLAH]]-NOTA[[#This Row],[DISC 1-]])*NOTA[[#This Row],[DISC 2]])</f>
        <v>149187.5</v>
      </c>
      <c r="AA452" s="54">
        <f>IF(NOTA[[#This Row],[JUMLAH]]="","",NOTA[[#This Row],[DISC 1-]]+NOTA[[#This Row],[DISC 2-]])</f>
        <v>575437.5</v>
      </c>
      <c r="AB452" s="54">
        <f>IF(NOTA[[#This Row],[JUMLAH]]="","",NOTA[[#This Row],[JUMLAH]]-NOTA[[#This Row],[DISC]])</f>
        <v>2834562.5</v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52" s="54">
        <f>IF(OR(NOTA[[#This Row],[QTY]]="",NOTA[[#This Row],[HARGA SATUAN]]="",),"",NOTA[[#This Row],[QTY]]*NOTA[[#This Row],[HARGA SATUAN]])</f>
        <v>3410000</v>
      </c>
      <c r="AG452" s="51">
        <f ca="1">IF(NOTA[ID_H]="","",INDEX(NOTA[TANGGAL],MATCH(,INDIRECT(ADDRESS(ROW(NOTA[TANGGAL]),COLUMN(NOTA[TANGGAL]))&amp;":"&amp;ADDRESS(ROW(),COLUMN(NOTA[TANGGAL]))),-1)))</f>
        <v>44942</v>
      </c>
      <c r="AH452" s="65" t="str">
        <f ca="1">IF(NOTA[[#This Row],[NAMA BARANG]]="","",INDEX(NOTA[SUPPLIER],MATCH(,INDIRECT(ADDRESS(ROW(NOTA[ID]),COLUMN(NOTA[ID]))&amp;":"&amp;ADDRESS(ROW(),COLUMN(NOTA[ID]))),-1)))</f>
        <v>ATALI MAKMUR</v>
      </c>
      <c r="AI452" s="65" t="str">
        <f ca="1">IF(NOTA[[#This Row],[ID_H]]="","",IF(NOTA[[#This Row],[FAKTUR]]="",INDIRECT(ADDRESS(ROW()-1,COLUMN())),NOTA[[#This Row],[FAKTUR]]))</f>
        <v>ARTO MORO</v>
      </c>
      <c r="AJ452" s="38" t="str">
        <f ca="1">IF(NOTA[[#This Row],[ID]]="","",COUNTIF(NOTA[ID_H],NOTA[[#This Row],[ID_H]]))</f>
        <v/>
      </c>
      <c r="AK452" s="38">
        <f ca="1">IF(NOTA[[#This Row],[TGL.NOTA]]="",IF(NOTA[[#This Row],[SUPPLIER_H]]="","",AK451),MONTH(NOTA[[#This Row],[TGL.NOTA]]))</f>
        <v>1</v>
      </c>
      <c r="AL45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M452" s="38" t="str">
        <f>IF(NOTA[C]="",NOTA[[#This Row],[CONCAT1]]&amp;NOTA[[#This Row],[HARGA SATUAN]],NOTA[[#This Row],[CONCAT1]]&amp;NOTA[[#This Row],[HARGA/ CTN_H]]&amp;NOTA[[#This Row],[DISC 1]]&amp;NOTA[[#This Row],[DISC 2]])</f>
        <v>erasererb20bljk17050000.1250.05</v>
      </c>
      <c r="AN452" s="184">
        <f>IF(NOTA[[#This Row],[CONCAT1]]="","",MATCH(NOTA[[#This Row],[CONCAT1]],[1]!db[NB NOTA_C],0)+1)</f>
        <v>687</v>
      </c>
    </row>
    <row r="453" spans="1:40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Row],[CEK_EXP]]&lt;D452,"err","")</f>
        <v/>
      </c>
      <c r="D453" s="50">
        <f>IF(NOTA[[#This Row],[TANGGAL]]="",D452,NOTA[[#This Row],[TANGGAL]])</f>
        <v>44942</v>
      </c>
      <c r="E453" s="50">
        <f ca="1">IF(NOTA[[#This Row],[NAMA BARANG]]="","",INDEX(NOTA[ID],MATCH(,INDIRECT(ADDRESS(ROW(NOTA[ID]),COLUMN(NOTA[ID]))&amp;":"&amp;ADDRESS(ROW(),COLUMN(NOTA[ID]))),-1)))</f>
        <v>84</v>
      </c>
      <c r="F453" s="80"/>
      <c r="G453" s="26"/>
      <c r="H453" s="26"/>
      <c r="I453" s="31"/>
      <c r="J453" s="26"/>
      <c r="K453" s="81"/>
      <c r="L453" s="26"/>
      <c r="M453" s="26" t="s">
        <v>283</v>
      </c>
      <c r="N453" s="39">
        <v>2</v>
      </c>
      <c r="O453" s="26">
        <v>100</v>
      </c>
      <c r="P453" s="26" t="s">
        <v>131</v>
      </c>
      <c r="Q453" s="49">
        <v>28300</v>
      </c>
      <c r="R453" s="85"/>
      <c r="S453" s="39" t="s">
        <v>279</v>
      </c>
      <c r="T453" s="86">
        <v>0.125</v>
      </c>
      <c r="U453" s="86">
        <v>0.05</v>
      </c>
      <c r="V453" s="87"/>
      <c r="W453" s="37"/>
      <c r="X453" s="54">
        <f>IF(NOTA[[#This Row],[HARGA/ CTN]]="",NOTA[[#This Row],[JUMLAH_H]],NOTA[[#This Row],[HARGA/ CTN]]*IF(NOTA[[#This Row],[C]]="",0,NOTA[[#This Row],[C]]))</f>
        <v>2830000</v>
      </c>
      <c r="Y453" s="54">
        <f>IF(NOTA[[#This Row],[JUMLAH]]="","",NOTA[[#This Row],[JUMLAH]]*NOTA[[#This Row],[DISC 1]])</f>
        <v>353750</v>
      </c>
      <c r="Z453" s="54">
        <f>IF(NOTA[[#This Row],[JUMLAH]]="","",(NOTA[[#This Row],[JUMLAH]]-NOTA[[#This Row],[DISC 1-]])*NOTA[[#This Row],[DISC 2]])</f>
        <v>123812.5</v>
      </c>
      <c r="AA453" s="54">
        <f>IF(NOTA[[#This Row],[JUMLAH]]="","",NOTA[[#This Row],[DISC 1-]]+NOTA[[#This Row],[DISC 2-]])</f>
        <v>477562.5</v>
      </c>
      <c r="AB453" s="54">
        <f>IF(NOTA[[#This Row],[JUMLAH]]="","",NOTA[[#This Row],[JUMLAH]]-NOTA[[#This Row],[DISC]])</f>
        <v>2352437.5</v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53" s="54">
        <f>IF(OR(NOTA[[#This Row],[QTY]]="",NOTA[[#This Row],[HARGA SATUAN]]="",),"",NOTA[[#This Row],[QTY]]*NOTA[[#This Row],[HARGA SATUAN]])</f>
        <v>2830000</v>
      </c>
      <c r="AG453" s="51">
        <f ca="1">IF(NOTA[ID_H]="","",INDEX(NOTA[TANGGAL],MATCH(,INDIRECT(ADDRESS(ROW(NOTA[TANGGAL]),COLUMN(NOTA[TANGGAL]))&amp;":"&amp;ADDRESS(ROW(),COLUMN(NOTA[TANGGAL]))),-1)))</f>
        <v>44942</v>
      </c>
      <c r="AH453" s="65" t="str">
        <f ca="1">IF(NOTA[[#This Row],[NAMA BARANG]]="","",INDEX(NOTA[SUPPLIER],MATCH(,INDIRECT(ADDRESS(ROW(NOTA[ID]),COLUMN(NOTA[ID]))&amp;":"&amp;ADDRESS(ROW(),COLUMN(NOTA[ID]))),-1)))</f>
        <v>ATALI MAKMUR</v>
      </c>
      <c r="AI453" s="65" t="str">
        <f ca="1">IF(NOTA[[#This Row],[ID_H]]="","",IF(NOTA[[#This Row],[FAKTUR]]="",INDIRECT(ADDRESS(ROW()-1,COLUMN())),NOTA[[#This Row],[FAKTUR]]))</f>
        <v>ARTO MORO</v>
      </c>
      <c r="AJ453" s="38" t="str">
        <f ca="1">IF(NOTA[[#This Row],[ID]]="","",COUNTIF(NOTA[ID_H],NOTA[[#This Row],[ID_H]]))</f>
        <v/>
      </c>
      <c r="AK453" s="38">
        <f ca="1">IF(NOTA[[#This Row],[TGL.NOTA]]="",IF(NOTA[[#This Row],[SUPPLIER_H]]="","",AK452),MONTH(NOTA[[#This Row],[TGL.NOTA]]))</f>
        <v>1</v>
      </c>
      <c r="AL45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M453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N453" s="184">
        <f>IF(NOTA[[#This Row],[CONCAT1]]="","",MATCH(NOTA[[#This Row],[CONCAT1]],[1]!db[NB NOTA_C],0)+1)</f>
        <v>679</v>
      </c>
    </row>
    <row r="454" spans="1:40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Row],[CEK_EXP]]&lt;D453,"err","")</f>
        <v/>
      </c>
      <c r="D454" s="50">
        <f>IF(NOTA[[#This Row],[TANGGAL]]="",D453,NOTA[[#This Row],[TANGGAL]])</f>
        <v>44942</v>
      </c>
      <c r="E454" s="50">
        <f ca="1">IF(NOTA[[#This Row],[NAMA BARANG]]="","",INDEX(NOTA[ID],MATCH(,INDIRECT(ADDRESS(ROW(NOTA[ID]),COLUMN(NOTA[ID]))&amp;":"&amp;ADDRESS(ROW(),COLUMN(NOTA[ID]))),-1)))</f>
        <v>84</v>
      </c>
      <c r="F454" s="80"/>
      <c r="G454" s="26"/>
      <c r="H454" s="26"/>
      <c r="I454" s="31"/>
      <c r="J454" s="82"/>
      <c r="K454" s="81"/>
      <c r="L454" s="26"/>
      <c r="M454" s="26" t="s">
        <v>621</v>
      </c>
      <c r="N454" s="39">
        <v>1</v>
      </c>
      <c r="O454" s="26">
        <v>72</v>
      </c>
      <c r="P454" s="26" t="s">
        <v>128</v>
      </c>
      <c r="Q454" s="49">
        <v>21200</v>
      </c>
      <c r="R454" s="85"/>
      <c r="S454" s="39" t="s">
        <v>622</v>
      </c>
      <c r="T454" s="86">
        <v>0.125</v>
      </c>
      <c r="U454" s="86">
        <v>0.05</v>
      </c>
      <c r="V454" s="87"/>
      <c r="W454" s="37"/>
      <c r="X454" s="54">
        <f>IF(NOTA[[#This Row],[HARGA/ CTN]]="",NOTA[[#This Row],[JUMLAH_H]],NOTA[[#This Row],[HARGA/ CTN]]*IF(NOTA[[#This Row],[C]]="",0,NOTA[[#This Row],[C]]))</f>
        <v>1526400</v>
      </c>
      <c r="Y454" s="54">
        <f>IF(NOTA[[#This Row],[JUMLAH]]="","",NOTA[[#This Row],[JUMLAH]]*NOTA[[#This Row],[DISC 1]])</f>
        <v>190800</v>
      </c>
      <c r="Z454" s="54">
        <f>IF(NOTA[[#This Row],[JUMLAH]]="","",(NOTA[[#This Row],[JUMLAH]]-NOTA[[#This Row],[DISC 1-]])*NOTA[[#This Row],[DISC 2]])</f>
        <v>66780</v>
      </c>
      <c r="AA454" s="54">
        <f>IF(NOTA[[#This Row],[JUMLAH]]="","",NOTA[[#This Row],[DISC 1-]]+NOTA[[#This Row],[DISC 2-]])</f>
        <v>257580</v>
      </c>
      <c r="AB454" s="54">
        <f>IF(NOTA[[#This Row],[JUMLAH]]="","",NOTA[[#This Row],[JUMLAH]]-NOTA[[#This Row],[DISC]])</f>
        <v>1268820</v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4" s="54">
        <f>IF(OR(NOTA[[#This Row],[QTY]]="",NOTA[[#This Row],[HARGA SATUAN]]="",),"",NOTA[[#This Row],[QTY]]*NOTA[[#This Row],[HARGA SATUAN]])</f>
        <v>1526400</v>
      </c>
      <c r="AG454" s="51">
        <f ca="1">IF(NOTA[ID_H]="","",INDEX(NOTA[TANGGAL],MATCH(,INDIRECT(ADDRESS(ROW(NOTA[TANGGAL]),COLUMN(NOTA[TANGGAL]))&amp;":"&amp;ADDRESS(ROW(),COLUMN(NOTA[TANGGAL]))),-1)))</f>
        <v>44942</v>
      </c>
      <c r="AH454" s="65" t="str">
        <f ca="1">IF(NOTA[[#This Row],[NAMA BARANG]]="","",INDEX(NOTA[SUPPLIER],MATCH(,INDIRECT(ADDRESS(ROW(NOTA[ID]),COLUMN(NOTA[ID]))&amp;":"&amp;ADDRESS(ROW(),COLUMN(NOTA[ID]))),-1)))</f>
        <v>ATALI MAKMUR</v>
      </c>
      <c r="AI454" s="65" t="str">
        <f ca="1">IF(NOTA[[#This Row],[ID_H]]="","",IF(NOTA[[#This Row],[FAKTUR]]="",INDIRECT(ADDRESS(ROW()-1,COLUMN())),NOTA[[#This Row],[FAKTUR]]))</f>
        <v>ARTO MORO</v>
      </c>
      <c r="AJ454" s="38" t="str">
        <f ca="1">IF(NOTA[[#This Row],[ID]]="","",COUNTIF(NOTA[ID_H],NOTA[[#This Row],[ID_H]]))</f>
        <v/>
      </c>
      <c r="AK454" s="38">
        <f ca="1">IF(NOTA[[#This Row],[TGL.NOTA]]="",IF(NOTA[[#This Row],[SUPPLIER_H]]="","",AK453),MONTH(NOTA[[#This Row],[TGL.NOTA]]))</f>
        <v>1</v>
      </c>
      <c r="AL454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4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N454" s="184">
        <f>IF(NOTA[[#This Row],[CONCAT1]]="","",MATCH(NOTA[[#This Row],[CONCAT1]],[1]!db[NB NOTA_C],0)+1)</f>
        <v>490</v>
      </c>
    </row>
    <row r="455" spans="1:40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Row],[CEK_EXP]]&lt;D454,"err","")</f>
        <v/>
      </c>
      <c r="D455" s="50">
        <f>IF(NOTA[[#This Row],[TANGGAL]]="",D454,NOTA[[#This Row],[TANGGAL]])</f>
        <v>44942</v>
      </c>
      <c r="E455" s="50">
        <f ca="1">IF(NOTA[[#This Row],[NAMA BARANG]]="","",INDEX(NOTA[ID],MATCH(,INDIRECT(ADDRESS(ROW(NOTA[ID]),COLUMN(NOTA[ID]))&amp;":"&amp;ADDRESS(ROW(),COLUMN(NOTA[ID]))),-1)))</f>
        <v>84</v>
      </c>
      <c r="F455" s="80"/>
      <c r="G455" s="26"/>
      <c r="H455" s="26"/>
      <c r="I455" s="31"/>
      <c r="J455" s="82"/>
      <c r="K455" s="81"/>
      <c r="L455" s="26"/>
      <c r="M455" s="26" t="s">
        <v>623</v>
      </c>
      <c r="N455" s="39">
        <v>1</v>
      </c>
      <c r="O455" s="26">
        <v>144</v>
      </c>
      <c r="P455" s="26" t="s">
        <v>128</v>
      </c>
      <c r="Q455" s="49">
        <v>13800</v>
      </c>
      <c r="R455" s="85"/>
      <c r="S455" s="39" t="s">
        <v>264</v>
      </c>
      <c r="T455" s="86">
        <v>0.125</v>
      </c>
      <c r="U455" s="86">
        <v>0.05</v>
      </c>
      <c r="V455" s="87"/>
      <c r="W455" s="37"/>
      <c r="X455" s="54">
        <f>IF(NOTA[[#This Row],[HARGA/ CTN]]="",NOTA[[#This Row],[JUMLAH_H]],NOTA[[#This Row],[HARGA/ CTN]]*IF(NOTA[[#This Row],[C]]="",0,NOTA[[#This Row],[C]]))</f>
        <v>1987200</v>
      </c>
      <c r="Y455" s="54">
        <f>IF(NOTA[[#This Row],[JUMLAH]]="","",NOTA[[#This Row],[JUMLAH]]*NOTA[[#This Row],[DISC 1]])</f>
        <v>248400</v>
      </c>
      <c r="Z455" s="54">
        <f>IF(NOTA[[#This Row],[JUMLAH]]="","",(NOTA[[#This Row],[JUMLAH]]-NOTA[[#This Row],[DISC 1-]])*NOTA[[#This Row],[DISC 2]])</f>
        <v>86940</v>
      </c>
      <c r="AA455" s="54">
        <f>IF(NOTA[[#This Row],[JUMLAH]]="","",NOTA[[#This Row],[DISC 1-]]+NOTA[[#This Row],[DISC 2-]])</f>
        <v>335340</v>
      </c>
      <c r="AB455" s="54">
        <f>IF(NOTA[[#This Row],[JUMLAH]]="","",NOTA[[#This Row],[JUMLAH]]-NOTA[[#This Row],[DISC]])</f>
        <v>1651860</v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455" s="54">
        <f>IF(OR(NOTA[[#This Row],[QTY]]="",NOTA[[#This Row],[HARGA SATUAN]]="",),"",NOTA[[#This Row],[QTY]]*NOTA[[#This Row],[HARGA SATUAN]])</f>
        <v>1987200</v>
      </c>
      <c r="AG455" s="51">
        <f ca="1">IF(NOTA[ID_H]="","",INDEX(NOTA[TANGGAL],MATCH(,INDIRECT(ADDRESS(ROW(NOTA[TANGGAL]),COLUMN(NOTA[TANGGAL]))&amp;":"&amp;ADDRESS(ROW(),COLUMN(NOTA[TANGGAL]))),-1)))</f>
        <v>44942</v>
      </c>
      <c r="AH455" s="65" t="str">
        <f ca="1">IF(NOTA[[#This Row],[NAMA BARANG]]="","",INDEX(NOTA[SUPPLIER],MATCH(,INDIRECT(ADDRESS(ROW(NOTA[ID]),COLUMN(NOTA[ID]))&amp;":"&amp;ADDRESS(ROW(),COLUMN(NOTA[ID]))),-1)))</f>
        <v>ATALI MAKMUR</v>
      </c>
      <c r="AI455" s="65" t="str">
        <f ca="1">IF(NOTA[[#This Row],[ID_H]]="","",IF(NOTA[[#This Row],[FAKTUR]]="",INDIRECT(ADDRESS(ROW()-1,COLUMN())),NOTA[[#This Row],[FAKTUR]]))</f>
        <v>ARTO MORO</v>
      </c>
      <c r="AJ455" s="38" t="str">
        <f ca="1">IF(NOTA[[#This Row],[ID]]="","",COUNTIF(NOTA[ID_H],NOTA[[#This Row],[ID_H]]))</f>
        <v/>
      </c>
      <c r="AK455" s="38">
        <f ca="1">IF(NOTA[[#This Row],[TGL.NOTA]]="",IF(NOTA[[#This Row],[SUPPLIER_H]]="","",AK454),MONTH(NOTA[[#This Row],[TGL.NOTA]]))</f>
        <v>1</v>
      </c>
      <c r="AL455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455" s="38" t="str">
        <f>IF(NOTA[C]="",NOTA[[#This Row],[CONCAT1]]&amp;NOTA[[#This Row],[HARGA SATUAN]],NOTA[[#This Row],[CONCAT1]]&amp;NOTA[[#This Row],[HARGA/ CTN_H]]&amp;NOTA[[#This Row],[DISC 1]]&amp;NOTA[[#This Row],[DISC 2]])</f>
        <v>colorpencilcps24jk19872000.1250.05</v>
      </c>
      <c r="AN455" s="184">
        <f>IF(NOTA[[#This Row],[CONCAT1]]="","",MATCH(NOTA[[#This Row],[CONCAT1]],[1]!db[NB NOTA_C],0)+1)</f>
        <v>494</v>
      </c>
    </row>
    <row r="456" spans="1:40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Row],[CEK_EXP]]&lt;D455,"err","")</f>
        <v/>
      </c>
      <c r="D456" s="50">
        <f>IF(NOTA[[#This Row],[TANGGAL]]="",D455,NOTA[[#This Row],[TANGGAL]])</f>
        <v>44942</v>
      </c>
      <c r="E456" s="50">
        <f ca="1">IF(NOTA[[#This Row],[NAMA BARANG]]="","",INDEX(NOTA[ID],MATCH(,INDIRECT(ADDRESS(ROW(NOTA[ID]),COLUMN(NOTA[ID]))&amp;":"&amp;ADDRESS(ROW(),COLUMN(NOTA[ID]))),-1)))</f>
        <v>84</v>
      </c>
      <c r="F456" s="80"/>
      <c r="G456" s="26"/>
      <c r="H456" s="26"/>
      <c r="I456" s="31"/>
      <c r="J456" s="26"/>
      <c r="K456" s="81"/>
      <c r="L456" s="26"/>
      <c r="M456" s="26" t="s">
        <v>624</v>
      </c>
      <c r="N456" s="39">
        <v>1</v>
      </c>
      <c r="O456" s="26">
        <v>120</v>
      </c>
      <c r="P456" s="26" t="s">
        <v>104</v>
      </c>
      <c r="Q456" s="49">
        <v>12950</v>
      </c>
      <c r="R456" s="85"/>
      <c r="S456" s="39" t="s">
        <v>625</v>
      </c>
      <c r="T456" s="86">
        <v>0.125</v>
      </c>
      <c r="U456" s="86">
        <v>0.05</v>
      </c>
      <c r="V456" s="87"/>
      <c r="W456" s="37"/>
      <c r="X456" s="54">
        <f>IF(NOTA[[#This Row],[HARGA/ CTN]]="",NOTA[[#This Row],[JUMLAH_H]],NOTA[[#This Row],[HARGA/ CTN]]*IF(NOTA[[#This Row],[C]]="",0,NOTA[[#This Row],[C]]))</f>
        <v>1554000</v>
      </c>
      <c r="Y456" s="54">
        <f>IF(NOTA[[#This Row],[JUMLAH]]="","",NOTA[[#This Row],[JUMLAH]]*NOTA[[#This Row],[DISC 1]])</f>
        <v>194250</v>
      </c>
      <c r="Z456" s="54">
        <f>IF(NOTA[[#This Row],[JUMLAH]]="","",(NOTA[[#This Row],[JUMLAH]]-NOTA[[#This Row],[DISC 1-]])*NOTA[[#This Row],[DISC 2]])</f>
        <v>67987.5</v>
      </c>
      <c r="AA456" s="54">
        <f>IF(NOTA[[#This Row],[JUMLAH]]="","",NOTA[[#This Row],[DISC 1-]]+NOTA[[#This Row],[DISC 2-]])</f>
        <v>262237.5</v>
      </c>
      <c r="AB456" s="54">
        <f>IF(NOTA[[#This Row],[JUMLAH]]="","",NOTA[[#This Row],[JUMLAH]]-NOTA[[#This Row],[DISC]])</f>
        <v>1291762.5</v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9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456" s="54">
        <f>IF(OR(NOTA[[#This Row],[QTY]]="",NOTA[[#This Row],[HARGA SATUAN]]="",),"",NOTA[[#This Row],[QTY]]*NOTA[[#This Row],[HARGA SATUAN]])</f>
        <v>1554000</v>
      </c>
      <c r="AG456" s="51">
        <f ca="1">IF(NOTA[ID_H]="","",INDEX(NOTA[TANGGAL],MATCH(,INDIRECT(ADDRESS(ROW(NOTA[TANGGAL]),COLUMN(NOTA[TANGGAL]))&amp;":"&amp;ADDRESS(ROW(),COLUMN(NOTA[TANGGAL]))),-1)))</f>
        <v>44942</v>
      </c>
      <c r="AH456" s="65" t="str">
        <f ca="1">IF(NOTA[[#This Row],[NAMA BARANG]]="","",INDEX(NOTA[SUPPLIER],MATCH(,INDIRECT(ADDRESS(ROW(NOTA[ID]),COLUMN(NOTA[ID]))&amp;":"&amp;ADDRESS(ROW(),COLUMN(NOTA[ID]))),-1)))</f>
        <v>ATALI MAKMUR</v>
      </c>
      <c r="AI456" s="65" t="str">
        <f ca="1">IF(NOTA[[#This Row],[ID_H]]="","",IF(NOTA[[#This Row],[FAKTUR]]="",INDIRECT(ADDRESS(ROW()-1,COLUMN())),NOTA[[#This Row],[FAKTUR]]))</f>
        <v>ARTO MORO</v>
      </c>
      <c r="AJ456" s="38" t="str">
        <f ca="1">IF(NOTA[[#This Row],[ID]]="","",COUNTIF(NOTA[ID_H],NOTA[[#This Row],[ID_H]]))</f>
        <v/>
      </c>
      <c r="AK456" s="38">
        <f ca="1">IF(NOTA[[#This Row],[TGL.NOTA]]="",IF(NOTA[[#This Row],[SUPPLIER_H]]="","",AK455),MONTH(NOTA[[#This Row],[TGL.NOTA]]))</f>
        <v>1</v>
      </c>
      <c r="AL456" s="38" t="str">
        <f>LOWER(SUBSTITUTE(SUBSTITUTE(SUBSTITUTE(SUBSTITUTE(SUBSTITUTE(SUBSTITUTE(SUBSTITUTE(SUBSTITUTE(SUBSTITUTE(NOTA[NAMA BARANG]," ",),".",""),"-",""),"(",""),")",""),",",""),"/",""),"""",""),"+",""))</f>
        <v>punch30xljk</v>
      </c>
      <c r="AM456" s="38" t="str">
        <f>IF(NOTA[C]="",NOTA[[#This Row],[CONCAT1]]&amp;NOTA[[#This Row],[HARGA SATUAN]],NOTA[[#This Row],[CONCAT1]]&amp;NOTA[[#This Row],[HARGA/ CTN_H]]&amp;NOTA[[#This Row],[DISC 1]]&amp;NOTA[[#This Row],[DISC 2]])</f>
        <v>punch30xljk15540000.1250.05</v>
      </c>
      <c r="AN456" s="184">
        <f>IF(NOTA[[#This Row],[CONCAT1]]="","",MATCH(NOTA[[#This Row],[CONCAT1]],[1]!db[NB NOTA_C],0)+1)</f>
        <v>1883</v>
      </c>
    </row>
    <row r="457" spans="1:40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Row],[CEK_EXP]]&lt;D456,"err","")</f>
        <v/>
      </c>
      <c r="D457" s="50">
        <f>IF(NOTA[[#This Row],[TANGGAL]]="",D456,NOTA[[#This Row],[TANGGAL]])</f>
        <v>44942</v>
      </c>
      <c r="E457" s="50">
        <f ca="1">IF(NOTA[[#This Row],[NAMA BARANG]]="","",INDEX(NOTA[ID],MATCH(,INDIRECT(ADDRESS(ROW(NOTA[ID]),COLUMN(NOTA[ID]))&amp;":"&amp;ADDRESS(ROW(),COLUMN(NOTA[ID]))),-1)))</f>
        <v>84</v>
      </c>
      <c r="F457" s="80"/>
      <c r="G457" s="26"/>
      <c r="H457" s="26"/>
      <c r="I457" s="31"/>
      <c r="J457" s="26"/>
      <c r="K457" s="81"/>
      <c r="L457" s="26"/>
      <c r="M457" s="26" t="s">
        <v>626</v>
      </c>
      <c r="N457" s="39">
        <v>1</v>
      </c>
      <c r="O457" s="26">
        <v>144</v>
      </c>
      <c r="P457" s="26" t="s">
        <v>116</v>
      </c>
      <c r="Q457" s="49">
        <v>28200</v>
      </c>
      <c r="R457" s="85"/>
      <c r="S457" s="39" t="s">
        <v>129</v>
      </c>
      <c r="T457" s="86">
        <v>0.125</v>
      </c>
      <c r="U457" s="86">
        <v>0.05</v>
      </c>
      <c r="V457" s="87"/>
      <c r="W457" s="37"/>
      <c r="X457" s="54">
        <f>IF(NOTA[[#This Row],[HARGA/ CTN]]="",NOTA[[#This Row],[JUMLAH_H]],NOTA[[#This Row],[HARGA/ CTN]]*IF(NOTA[[#This Row],[C]]="",0,NOTA[[#This Row],[C]]))</f>
        <v>4060800</v>
      </c>
      <c r="Y457" s="54">
        <f>IF(NOTA[[#This Row],[JUMLAH]]="","",NOTA[[#This Row],[JUMLAH]]*NOTA[[#This Row],[DISC 1]])</f>
        <v>507600</v>
      </c>
      <c r="Z457" s="54">
        <f>IF(NOTA[[#This Row],[JUMLAH]]="","",(NOTA[[#This Row],[JUMLAH]]-NOTA[[#This Row],[DISC 1-]])*NOTA[[#This Row],[DISC 2]])</f>
        <v>177660</v>
      </c>
      <c r="AA457" s="54">
        <f>IF(NOTA[[#This Row],[JUMLAH]]="","",NOTA[[#This Row],[DISC 1-]]+NOTA[[#This Row],[DISC 2-]])</f>
        <v>685260</v>
      </c>
      <c r="AB457" s="54">
        <f>IF(NOTA[[#This Row],[JUMLAH]]="","",NOTA[[#This Row],[JUMLAH]]-NOTA[[#This Row],[DISC]])</f>
        <v>3375540</v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9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457" s="54">
        <f>IF(OR(NOTA[[#This Row],[QTY]]="",NOTA[[#This Row],[HARGA SATUAN]]="",),"",NOTA[[#This Row],[QTY]]*NOTA[[#This Row],[HARGA SATUAN]])</f>
        <v>4060800</v>
      </c>
      <c r="AG457" s="51">
        <f ca="1">IF(NOTA[ID_H]="","",INDEX(NOTA[TANGGAL],MATCH(,INDIRECT(ADDRESS(ROW(NOTA[TANGGAL]),COLUMN(NOTA[TANGGAL]))&amp;":"&amp;ADDRESS(ROW(),COLUMN(NOTA[TANGGAL]))),-1)))</f>
        <v>44942</v>
      </c>
      <c r="AH457" s="65" t="str">
        <f ca="1">IF(NOTA[[#This Row],[NAMA BARANG]]="","",INDEX(NOTA[SUPPLIER],MATCH(,INDIRECT(ADDRESS(ROW(NOTA[ID]),COLUMN(NOTA[ID]))&amp;":"&amp;ADDRESS(ROW(),COLUMN(NOTA[ID]))),-1)))</f>
        <v>ATALI MAKMUR</v>
      </c>
      <c r="AI457" s="65" t="str">
        <f ca="1">IF(NOTA[[#This Row],[ID_H]]="","",IF(NOTA[[#This Row],[FAKTUR]]="",INDIRECT(ADDRESS(ROW()-1,COLUMN())),NOTA[[#This Row],[FAKTUR]]))</f>
        <v>ARTO MORO</v>
      </c>
      <c r="AJ457" s="38" t="str">
        <f ca="1">IF(NOTA[[#This Row],[ID]]="","",COUNTIF(NOTA[ID_H],NOTA[[#This Row],[ID_H]]))</f>
        <v/>
      </c>
      <c r="AK457" s="38">
        <f ca="1">IF(NOTA[[#This Row],[TGL.NOTA]]="",IF(NOTA[[#This Row],[SUPPLIER_H]]="","",AK456),MONTH(NOTA[[#This Row],[TGL.NOTA]]))</f>
        <v>1</v>
      </c>
      <c r="AL457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457" s="38" t="str">
        <f>IF(NOTA[C]="",NOTA[[#This Row],[CONCAT1]]&amp;NOTA[[#This Row],[HARGA SATUAN]],NOTA[[#This Row],[CONCAT1]]&amp;NOTA[[#This Row],[HARGA/ CTN_H]]&amp;NOTA[[#This Row],[DISC 1]]&amp;NOTA[[#This Row],[DISC 2]])</f>
        <v>gelpengp265qgelblackjk40608000.1250.05</v>
      </c>
      <c r="AN457" s="184">
        <f>IF(NOTA[[#This Row],[CONCAT1]]="","",MATCH(NOTA[[#This Row],[CONCAT1]],[1]!db[NB NOTA_C],0)+1)</f>
        <v>731</v>
      </c>
    </row>
    <row r="458" spans="1:40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Row],[CEK_EXP]]&lt;D457,"err","")</f>
        <v/>
      </c>
      <c r="D458" s="50">
        <f>IF(NOTA[[#This Row],[TANGGAL]]="",D457,NOTA[[#This Row],[TANGGAL]])</f>
        <v>44942</v>
      </c>
      <c r="E458" s="50">
        <f ca="1">IF(NOTA[[#This Row],[NAMA BARANG]]="","",INDEX(NOTA[ID],MATCH(,INDIRECT(ADDRESS(ROW(NOTA[ID]),COLUMN(NOTA[ID]))&amp;":"&amp;ADDRESS(ROW(),COLUMN(NOTA[ID]))),-1)))</f>
        <v>84</v>
      </c>
      <c r="F458" s="80"/>
      <c r="G458" s="26"/>
      <c r="H458" s="26"/>
      <c r="I458" s="31"/>
      <c r="J458" s="26"/>
      <c r="K458" s="81"/>
      <c r="L458" s="26"/>
      <c r="M458" s="26" t="s">
        <v>627</v>
      </c>
      <c r="N458" s="39">
        <v>1</v>
      </c>
      <c r="O458" s="26">
        <v>768</v>
      </c>
      <c r="P458" s="26" t="s">
        <v>104</v>
      </c>
      <c r="Q458" s="49">
        <v>2100</v>
      </c>
      <c r="R458" s="85"/>
      <c r="S458" s="39" t="s">
        <v>628</v>
      </c>
      <c r="T458" s="86">
        <v>0.125</v>
      </c>
      <c r="U458" s="86">
        <v>0.05</v>
      </c>
      <c r="V458" s="87"/>
      <c r="W458" s="37"/>
      <c r="X458" s="54">
        <f>IF(NOTA[[#This Row],[HARGA/ CTN]]="",NOTA[[#This Row],[JUMLAH_H]],NOTA[[#This Row],[HARGA/ CTN]]*IF(NOTA[[#This Row],[C]]="",0,NOTA[[#This Row],[C]]))</f>
        <v>1612800</v>
      </c>
      <c r="Y458" s="54">
        <f>IF(NOTA[[#This Row],[JUMLAH]]="","",NOTA[[#This Row],[JUMLAH]]*NOTA[[#This Row],[DISC 1]])</f>
        <v>201600</v>
      </c>
      <c r="Z458" s="54">
        <f>IF(NOTA[[#This Row],[JUMLAH]]="","",(NOTA[[#This Row],[JUMLAH]]-NOTA[[#This Row],[DISC 1-]])*NOTA[[#This Row],[DISC 2]])</f>
        <v>70560</v>
      </c>
      <c r="AA458" s="54">
        <f>IF(NOTA[[#This Row],[JUMLAH]]="","",NOTA[[#This Row],[DISC 1-]]+NOTA[[#This Row],[DISC 2-]])</f>
        <v>272160</v>
      </c>
      <c r="AB458" s="54">
        <f>IF(NOTA[[#This Row],[JUMLAH]]="","",NOTA[[#This Row],[JUMLAH]]-NOTA[[#This Row],[DISC]])</f>
        <v>1340640</v>
      </c>
      <c r="AC4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4019743.125</v>
      </c>
      <c r="AD45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19800956.875</v>
      </c>
      <c r="AE458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458" s="54">
        <f>IF(OR(NOTA[[#This Row],[QTY]]="",NOTA[[#This Row],[HARGA SATUAN]]="",),"",NOTA[[#This Row],[QTY]]*NOTA[[#This Row],[HARGA SATUAN]])</f>
        <v>1612800</v>
      </c>
      <c r="AG458" s="51">
        <f ca="1">IF(NOTA[ID_H]="","",INDEX(NOTA[TANGGAL],MATCH(,INDIRECT(ADDRESS(ROW(NOTA[TANGGAL]),COLUMN(NOTA[TANGGAL]))&amp;":"&amp;ADDRESS(ROW(),COLUMN(NOTA[TANGGAL]))),-1)))</f>
        <v>44942</v>
      </c>
      <c r="AH458" s="65" t="str">
        <f ca="1">IF(NOTA[[#This Row],[NAMA BARANG]]="","",INDEX(NOTA[SUPPLIER],MATCH(,INDIRECT(ADDRESS(ROW(NOTA[ID]),COLUMN(NOTA[ID]))&amp;":"&amp;ADDRESS(ROW(),COLUMN(NOTA[ID]))),-1)))</f>
        <v>ATALI MAKMUR</v>
      </c>
      <c r="AI458" s="65" t="str">
        <f ca="1">IF(NOTA[[#This Row],[ID_H]]="","",IF(NOTA[[#This Row],[FAKTUR]]="",INDIRECT(ADDRESS(ROW()-1,COLUMN())),NOTA[[#This Row],[FAKTUR]]))</f>
        <v>ARTO MORO</v>
      </c>
      <c r="AJ458" s="38" t="str">
        <f ca="1">IF(NOTA[[#This Row],[ID]]="","",COUNTIF(NOTA[ID_H],NOTA[[#This Row],[ID_H]]))</f>
        <v/>
      </c>
      <c r="AK458" s="38">
        <f ca="1">IF(NOTA[[#This Row],[TGL.NOTA]]="",IF(NOTA[[#This Row],[SUPPLIER_H]]="","",AK457),MONTH(NOTA[[#This Row],[TGL.NOTA]]))</f>
        <v>1</v>
      </c>
      <c r="AL45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458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N458" s="184">
        <f>IF(NOTA[[#This Row],[CONCAT1]]="","",MATCH(NOTA[[#This Row],[CONCAT1]],[1]!db[NB NOTA_C],0)+1)</f>
        <v>927</v>
      </c>
    </row>
    <row r="459" spans="1:40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Row],[CEK_EXP]]&lt;D458,"err","")</f>
        <v/>
      </c>
      <c r="D459" s="50">
        <f>IF(NOTA[[#This Row],[TANGGAL]]="",D458,NOTA[[#This Row],[TANGGAL]])</f>
        <v>44942</v>
      </c>
      <c r="E459" s="50" t="str">
        <f ca="1">IF(NOTA[[#This Row],[NAMA BARANG]]="","",INDEX(NOTA[ID],MATCH(,INDIRECT(ADDRESS(ROW(NOTA[ID]),COLUMN(NOTA[ID]))&amp;":"&amp;ADDRESS(ROW(),COLUMN(NOTA[ID]))),-1)))</f>
        <v/>
      </c>
      <c r="F459" s="80"/>
      <c r="G459" s="82"/>
      <c r="H459" s="82"/>
      <c r="I459" s="88"/>
      <c r="J459" s="82"/>
      <c r="K459" s="81"/>
      <c r="L459" s="26"/>
      <c r="M459" s="26"/>
      <c r="N459" s="39"/>
      <c r="O459" s="26"/>
      <c r="P459" s="26"/>
      <c r="Q459" s="49"/>
      <c r="R459" s="85"/>
      <c r="S459" s="39"/>
      <c r="T459" s="86"/>
      <c r="U459" s="86"/>
      <c r="V459" s="87"/>
      <c r="W459" s="37"/>
      <c r="X459" s="54" t="str">
        <f>IF(NOTA[[#This Row],[HARGA/ CTN]]="",NOTA[[#This Row],[JUMLAH_H]],NOTA[[#This Row],[HARGA/ CTN]]*IF(NOTA[[#This Row],[C]]="",0,NOTA[[#This Row],[C]]))</f>
        <v/>
      </c>
      <c r="Y459" s="54" t="str">
        <f>IF(NOTA[[#This Row],[JUMLAH]]="","",NOTA[[#This Row],[JUMLAH]]*NOTA[[#This Row],[DISC 1]])</f>
        <v/>
      </c>
      <c r="Z459" s="54" t="str">
        <f>IF(NOTA[[#This Row],[JUMLAH]]="","",(NOTA[[#This Row],[JUMLAH]]-NOTA[[#This Row],[DISC 1-]])*NOTA[[#This Row],[DISC 2]])</f>
        <v/>
      </c>
      <c r="AA459" s="54" t="str">
        <f>IF(NOTA[[#This Row],[JUMLAH]]="","",NOTA[[#This Row],[DISC 1-]]+NOTA[[#This Row],[DISC 2-]])</f>
        <v/>
      </c>
      <c r="AB459" s="54" t="str">
        <f>IF(NOTA[[#This Row],[JUMLAH]]="","",NOTA[[#This Row],[JUMLAH]]-NOTA[[#This Row],[DISC]])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54" t="str">
        <f>IF(OR(NOTA[[#This Row],[QTY]]="",NOTA[[#This Row],[HARGA SATUAN]]="",),"",NOTA[[#This Row],[QTY]]*NOTA[[#This Row],[HARGA SATUAN]])</f>
        <v/>
      </c>
      <c r="AG459" s="51" t="str">
        <f ca="1">IF(NOTA[ID_H]="","",INDEX(NOTA[TANGGAL],MATCH(,INDIRECT(ADDRESS(ROW(NOTA[TANGGAL]),COLUMN(NOTA[TANGGAL]))&amp;":"&amp;ADDRESS(ROW(),COLUMN(NOTA[TANGGAL]))),-1)))</f>
        <v/>
      </c>
      <c r="AH459" s="65" t="str">
        <f ca="1">IF(NOTA[[#This Row],[NAMA BARANG]]="","",INDEX(NOTA[SUPPLIER],MATCH(,INDIRECT(ADDRESS(ROW(NOTA[ID]),COLUMN(NOTA[ID]))&amp;":"&amp;ADDRESS(ROW(),COLUMN(NOTA[ID]))),-1)))</f>
        <v/>
      </c>
      <c r="AI459" s="65" t="str">
        <f ca="1">IF(NOTA[[#This Row],[ID_H]]="","",IF(NOTA[[#This Row],[FAKTUR]]="",INDIRECT(ADDRESS(ROW()-1,COLUMN())),NOTA[[#This Row],[FAKTUR]]))</f>
        <v/>
      </c>
      <c r="AJ459" s="38" t="str">
        <f ca="1">IF(NOTA[[#This Row],[ID]]="","",COUNTIF(NOTA[ID_H],NOTA[[#This Row],[ID_H]]))</f>
        <v/>
      </c>
      <c r="AK459" s="38" t="str">
        <f ca="1">IF(NOTA[[#This Row],[TGL.NOTA]]="",IF(NOTA[[#This Row],[SUPPLIER_H]]="","",AK458),MONTH(NOTA[[#This Row],[TGL.NOTA]]))</f>
        <v/>
      </c>
      <c r="AL459" s="38" t="str">
        <f>LOWER(SUBSTITUTE(SUBSTITUTE(SUBSTITUTE(SUBSTITUTE(SUBSTITUTE(SUBSTITUTE(SUBSTITUTE(SUBSTITUTE(SUBSTITUTE(NOTA[NAMA BARANG]," ",),".",""),"-",""),"(",""),")",""),",",""),"/",""),"""",""),"+",""))</f>
        <v/>
      </c>
      <c r="AM459" s="38" t="str">
        <f>IF(NOTA[C]="",NOTA[[#This Row],[CONCAT1]]&amp;NOTA[[#This Row],[HARGA SATUAN]],NOTA[[#This Row],[CONCAT1]]&amp;NOTA[[#This Row],[HARGA/ CTN_H]]&amp;NOTA[[#This Row],[DISC 1]]&amp;NOTA[[#This Row],[DISC 2]])</f>
        <v/>
      </c>
      <c r="AN459" s="184" t="str">
        <f>IF(NOTA[[#This Row],[CONCAT1]]="","",MATCH(NOTA[[#This Row],[CONCAT1]],[1]!db[NB NOTA_C],0)+1)</f>
        <v/>
      </c>
    </row>
    <row r="460" spans="1:40" ht="20.100000000000001" customHeight="1" x14ac:dyDescent="0.25">
      <c r="A460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6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ATA_1601_694-3</v>
      </c>
      <c r="C460" s="50" t="str">
        <f>IF(NOTA[[#This Row],[CEK_EXP]]&lt;D459,"err","")</f>
        <v/>
      </c>
      <c r="D460" s="50">
        <f>IF(NOTA[[#This Row],[TANGGAL]]="",D459,NOTA[[#This Row],[TANGGAL]])</f>
        <v>44942</v>
      </c>
      <c r="E460" s="50">
        <f ca="1">IF(NOTA[[#This Row],[NAMA BARANG]]="","",INDEX(NOTA[ID],MATCH(,INDIRECT(ADDRESS(ROW(NOTA[ID]),COLUMN(NOTA[ID]))&amp;":"&amp;ADDRESS(ROW(),COLUMN(NOTA[ID]))),-1)))</f>
        <v>85</v>
      </c>
      <c r="F460" s="80"/>
      <c r="G460" s="26" t="s">
        <v>25</v>
      </c>
      <c r="H460" s="26" t="s">
        <v>24</v>
      </c>
      <c r="I460" s="31" t="s">
        <v>629</v>
      </c>
      <c r="J460" s="26"/>
      <c r="K460" s="81">
        <v>44938</v>
      </c>
      <c r="L460" s="38"/>
      <c r="M460" s="26" t="s">
        <v>429</v>
      </c>
      <c r="N460" s="39">
        <v>1</v>
      </c>
      <c r="O460" s="26">
        <v>144</v>
      </c>
      <c r="P460" s="26" t="s">
        <v>128</v>
      </c>
      <c r="Q460" s="49">
        <v>23900</v>
      </c>
      <c r="R460" s="85"/>
      <c r="S460" s="39" t="s">
        <v>264</v>
      </c>
      <c r="T460" s="86">
        <v>0.125</v>
      </c>
      <c r="U460" s="86">
        <v>0.05</v>
      </c>
      <c r="V460" s="87"/>
      <c r="W460" s="37"/>
      <c r="X460" s="54">
        <f>IF(NOTA[[#This Row],[HARGA/ CTN]]="",NOTA[[#This Row],[JUMLAH_H]],NOTA[[#This Row],[HARGA/ CTN]]*IF(NOTA[[#This Row],[C]]="",0,NOTA[[#This Row],[C]]))</f>
        <v>3441600</v>
      </c>
      <c r="Y460" s="54">
        <f>IF(NOTA[[#This Row],[JUMLAH]]="","",NOTA[[#This Row],[JUMLAH]]*NOTA[[#This Row],[DISC 1]])</f>
        <v>430200</v>
      </c>
      <c r="Z460" s="54">
        <f>IF(NOTA[[#This Row],[JUMLAH]]="","",(NOTA[[#This Row],[JUMLAH]]-NOTA[[#This Row],[DISC 1-]])*NOTA[[#This Row],[DISC 2]])</f>
        <v>150570</v>
      </c>
      <c r="AA460" s="54">
        <f>IF(NOTA[[#This Row],[JUMLAH]]="","",NOTA[[#This Row],[DISC 1-]]+NOTA[[#This Row],[DISC 2-]])</f>
        <v>580770</v>
      </c>
      <c r="AB460" s="54">
        <f>IF(NOTA[[#This Row],[JUMLAH]]="","",NOTA[[#This Row],[JUMLAH]]-NOTA[[#This Row],[DISC]])</f>
        <v>2860830</v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60" s="54">
        <f>IF(OR(NOTA[[#This Row],[QTY]]="",NOTA[[#This Row],[HARGA SATUAN]]="",),"",NOTA[[#This Row],[QTY]]*NOTA[[#This Row],[HARGA SATUAN]])</f>
        <v>3441600</v>
      </c>
      <c r="AG460" s="51">
        <f ca="1">IF(NOTA[ID_H]="","",INDEX(NOTA[TANGGAL],MATCH(,INDIRECT(ADDRESS(ROW(NOTA[TANGGAL]),COLUMN(NOTA[TANGGAL]))&amp;":"&amp;ADDRESS(ROW(),COLUMN(NOTA[TANGGAL]))),-1)))</f>
        <v>44942</v>
      </c>
      <c r="AH460" s="65" t="str">
        <f ca="1">IF(NOTA[[#This Row],[NAMA BARANG]]="","",INDEX(NOTA[SUPPLIER],MATCH(,INDIRECT(ADDRESS(ROW(NOTA[ID]),COLUMN(NOTA[ID]))&amp;":"&amp;ADDRESS(ROW(),COLUMN(NOTA[ID]))),-1)))</f>
        <v>ATALI MAKMUR</v>
      </c>
      <c r="AI460" s="65" t="str">
        <f ca="1">IF(NOTA[[#This Row],[ID_H]]="","",IF(NOTA[[#This Row],[FAKTUR]]="",INDIRECT(ADDRESS(ROW()-1,COLUMN())),NOTA[[#This Row],[FAKTUR]]))</f>
        <v>ARTO MORO</v>
      </c>
      <c r="AJ460" s="38">
        <f ca="1">IF(NOTA[[#This Row],[ID]]="","",COUNTIF(NOTA[ID_H],NOTA[[#This Row],[ID_H]]))</f>
        <v>3</v>
      </c>
      <c r="AK460" s="38">
        <f>IF(NOTA[[#This Row],[TGL.NOTA]]="",IF(NOTA[[#This Row],[SUPPLIER_H]]="","",AK459),MONTH(NOTA[[#This Row],[TGL.NOTA]]))</f>
        <v>1</v>
      </c>
      <c r="AL46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460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N460" s="184">
        <f>IF(NOTA[[#This Row],[CONCAT1]]="","",MATCH(NOTA[[#This Row],[CONCAT1]],[1]!db[NB NOTA_C],0)+1)</f>
        <v>553</v>
      </c>
    </row>
    <row r="461" spans="1:40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Row],[CEK_EXP]]&lt;D460,"err","")</f>
        <v/>
      </c>
      <c r="D461" s="50">
        <f>IF(NOTA[[#This Row],[TANGGAL]]="",D460,NOTA[[#This Row],[TANGGAL]])</f>
        <v>44942</v>
      </c>
      <c r="E461" s="50">
        <f ca="1">IF(NOTA[[#This Row],[NAMA BARANG]]="","",INDEX(NOTA[ID],MATCH(,INDIRECT(ADDRESS(ROW(NOTA[ID]),COLUMN(NOTA[ID]))&amp;":"&amp;ADDRESS(ROW(),COLUMN(NOTA[ID]))),-1)))</f>
        <v>85</v>
      </c>
      <c r="F461" s="80"/>
      <c r="G461" s="26"/>
      <c r="H461" s="26"/>
      <c r="I461" s="31"/>
      <c r="J461" s="26"/>
      <c r="K461" s="81"/>
      <c r="L461" s="26"/>
      <c r="M461" s="26" t="s">
        <v>630</v>
      </c>
      <c r="N461" s="39">
        <v>1</v>
      </c>
      <c r="O461" s="26">
        <v>24</v>
      </c>
      <c r="P461" s="26" t="s">
        <v>116</v>
      </c>
      <c r="Q461" s="49">
        <v>162000</v>
      </c>
      <c r="R461" s="85"/>
      <c r="S461" s="39" t="s">
        <v>631</v>
      </c>
      <c r="T461" s="86">
        <v>0.125</v>
      </c>
      <c r="U461" s="86">
        <v>0.05</v>
      </c>
      <c r="V461" s="87"/>
      <c r="W461" s="37"/>
      <c r="X461" s="54">
        <f>IF(NOTA[[#This Row],[HARGA/ CTN]]="",NOTA[[#This Row],[JUMLAH_H]],NOTA[[#This Row],[HARGA/ CTN]]*IF(NOTA[[#This Row],[C]]="",0,NOTA[[#This Row],[C]]))</f>
        <v>3888000</v>
      </c>
      <c r="Y461" s="54">
        <f>IF(NOTA[[#This Row],[JUMLAH]]="","",NOTA[[#This Row],[JUMLAH]]*NOTA[[#This Row],[DISC 1]])</f>
        <v>486000</v>
      </c>
      <c r="Z461" s="54">
        <f>IF(NOTA[[#This Row],[JUMLAH]]="","",(NOTA[[#This Row],[JUMLAH]]-NOTA[[#This Row],[DISC 1-]])*NOTA[[#This Row],[DISC 2]])</f>
        <v>170100</v>
      </c>
      <c r="AA461" s="54">
        <f>IF(NOTA[[#This Row],[JUMLAH]]="","",NOTA[[#This Row],[DISC 1-]]+NOTA[[#This Row],[DISC 2-]])</f>
        <v>656100</v>
      </c>
      <c r="AB461" s="54">
        <f>IF(NOTA[[#This Row],[JUMLAH]]="","",NOTA[[#This Row],[JUMLAH]]-NOTA[[#This Row],[DISC]])</f>
        <v>3231900</v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61" s="54">
        <f>IF(OR(NOTA[[#This Row],[QTY]]="",NOTA[[#This Row],[HARGA SATUAN]]="",),"",NOTA[[#This Row],[QTY]]*NOTA[[#This Row],[HARGA SATUAN]])</f>
        <v>3888000</v>
      </c>
      <c r="AG461" s="51">
        <f ca="1">IF(NOTA[ID_H]="","",INDEX(NOTA[TANGGAL],MATCH(,INDIRECT(ADDRESS(ROW(NOTA[TANGGAL]),COLUMN(NOTA[TANGGAL]))&amp;":"&amp;ADDRESS(ROW(),COLUMN(NOTA[TANGGAL]))),-1)))</f>
        <v>44942</v>
      </c>
      <c r="AH461" s="65" t="str">
        <f ca="1">IF(NOTA[[#This Row],[NAMA BARANG]]="","",INDEX(NOTA[SUPPLIER],MATCH(,INDIRECT(ADDRESS(ROW(NOTA[ID]),COLUMN(NOTA[ID]))&amp;":"&amp;ADDRESS(ROW(),COLUMN(NOTA[ID]))),-1)))</f>
        <v>ATALI MAKMUR</v>
      </c>
      <c r="AI461" s="65" t="str">
        <f ca="1">IF(NOTA[[#This Row],[ID_H]]="","",IF(NOTA[[#This Row],[FAKTUR]]="",INDIRECT(ADDRESS(ROW()-1,COLUMN())),NOTA[[#This Row],[FAKTUR]]))</f>
        <v>ARTO MORO</v>
      </c>
      <c r="AJ461" s="38" t="str">
        <f ca="1">IF(NOTA[[#This Row],[ID]]="","",COUNTIF(NOTA[ID_H],NOTA[[#This Row],[ID_H]]))</f>
        <v/>
      </c>
      <c r="AK461" s="38">
        <f ca="1">IF(NOTA[[#This Row],[TGL.NOTA]]="",IF(NOTA[[#This Row],[SUPPLIER_H]]="","",AK460),MONTH(NOTA[[#This Row],[TGL.NOTA]]))</f>
        <v>1</v>
      </c>
      <c r="AL46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M461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N461" s="184">
        <f>IF(NOTA[[#This Row],[CONCAT1]]="","",MATCH(NOTA[[#This Row],[CONCAT1]],[1]!db[NB NOTA_C],0)+1)</f>
        <v>571</v>
      </c>
    </row>
    <row r="462" spans="1:40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Row],[CEK_EXP]]&lt;D461,"err","")</f>
        <v/>
      </c>
      <c r="D462" s="50">
        <f>IF(NOTA[[#This Row],[TANGGAL]]="",D461,NOTA[[#This Row],[TANGGAL]])</f>
        <v>44942</v>
      </c>
      <c r="E462" s="50">
        <f ca="1">IF(NOTA[[#This Row],[NAMA BARANG]]="","",INDEX(NOTA[ID],MATCH(,INDIRECT(ADDRESS(ROW(NOTA[ID]),COLUMN(NOTA[ID]))&amp;":"&amp;ADDRESS(ROW(),COLUMN(NOTA[ID]))),-1)))</f>
        <v>85</v>
      </c>
      <c r="F462" s="80"/>
      <c r="G462" s="26"/>
      <c r="H462" s="26"/>
      <c r="I462" s="31"/>
      <c r="J462" s="26"/>
      <c r="K462" s="81"/>
      <c r="L462" s="82"/>
      <c r="M462" s="26" t="s">
        <v>632</v>
      </c>
      <c r="N462" s="83"/>
      <c r="O462" s="82">
        <v>24</v>
      </c>
      <c r="P462" s="26" t="s">
        <v>116</v>
      </c>
      <c r="Q462" s="84"/>
      <c r="R462" s="85"/>
      <c r="S462" s="39" t="s">
        <v>633</v>
      </c>
      <c r="T462" s="86"/>
      <c r="U462" s="86"/>
      <c r="V462" s="87"/>
      <c r="W462" s="37" t="s">
        <v>634</v>
      </c>
      <c r="X462" s="54" t="str">
        <f>IF(NOTA[[#This Row],[HARGA/ CTN]]="",NOTA[[#This Row],[JUMLAH_H]],NOTA[[#This Row],[HARGA/ CTN]]*IF(NOTA[[#This Row],[C]]="",0,NOTA[[#This Row],[C]]))</f>
        <v/>
      </c>
      <c r="Y462" s="54" t="str">
        <f>IF(NOTA[[#This Row],[JUMLAH]]="","",NOTA[[#This Row],[JUMLAH]]*NOTA[[#This Row],[DISC 1]])</f>
        <v/>
      </c>
      <c r="Z462" s="54" t="str">
        <f>IF(NOTA[[#This Row],[JUMLAH]]="","",(NOTA[[#This Row],[JUMLAH]]-NOTA[[#This Row],[DISC 1-]])*NOTA[[#This Row],[DISC 2]])</f>
        <v/>
      </c>
      <c r="AA462" s="54" t="str">
        <f>IF(NOTA[[#This Row],[JUMLAH]]="","",NOTA[[#This Row],[DISC 1-]]+NOTA[[#This Row],[DISC 2-]])</f>
        <v/>
      </c>
      <c r="AB462" s="54" t="str">
        <f>IF(NOTA[[#This Row],[JUMLAH]]="","",NOTA[[#This Row],[JUMLAH]]-NOTA[[#This Row],[DISC]])</f>
        <v/>
      </c>
      <c r="AC4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1236870</v>
      </c>
      <c r="AD4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6092730</v>
      </c>
      <c r="AE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62" s="54" t="str">
        <f>IF(OR(NOTA[[#This Row],[QTY]]="",NOTA[[#This Row],[HARGA SATUAN]]="",),"",NOTA[[#This Row],[QTY]]*NOTA[[#This Row],[HARGA SATUAN]])</f>
        <v/>
      </c>
      <c r="AG462" s="51">
        <f ca="1">IF(NOTA[ID_H]="","",INDEX(NOTA[TANGGAL],MATCH(,INDIRECT(ADDRESS(ROW(NOTA[TANGGAL]),COLUMN(NOTA[TANGGAL]))&amp;":"&amp;ADDRESS(ROW(),COLUMN(NOTA[TANGGAL]))),-1)))</f>
        <v>44942</v>
      </c>
      <c r="AH462" s="65" t="str">
        <f ca="1">IF(NOTA[[#This Row],[NAMA BARANG]]="","",INDEX(NOTA[SUPPLIER],MATCH(,INDIRECT(ADDRESS(ROW(NOTA[ID]),COLUMN(NOTA[ID]))&amp;":"&amp;ADDRESS(ROW(),COLUMN(NOTA[ID]))),-1)))</f>
        <v>ATALI MAKMUR</v>
      </c>
      <c r="AI462" s="65" t="str">
        <f ca="1">IF(NOTA[[#This Row],[ID_H]]="","",IF(NOTA[[#This Row],[FAKTUR]]="",INDIRECT(ADDRESS(ROW()-1,COLUMN())),NOTA[[#This Row],[FAKTUR]]))</f>
        <v>ARTO MORO</v>
      </c>
      <c r="AJ462" s="38" t="str">
        <f ca="1">IF(NOTA[[#This Row],[ID]]="","",COUNTIF(NOTA[ID_H],NOTA[[#This Row],[ID_H]]))</f>
        <v/>
      </c>
      <c r="AK462" s="38">
        <f ca="1">IF(NOTA[[#This Row],[TGL.NOTA]]="",IF(NOTA[[#This Row],[SUPPLIER_H]]="","",AK461),MONTH(NOTA[[#This Row],[TGL.NOTA]]))</f>
        <v>1</v>
      </c>
      <c r="AL462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462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N462" s="184">
        <f>IF(NOTA[[#This Row],[CONCAT1]]="","",MATCH(NOTA[[#This Row],[CONCAT1]],[1]!db[NB NOTA_C],0)+1)</f>
        <v>563</v>
      </c>
    </row>
    <row r="463" spans="1:40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Row],[CEK_EXP]]&lt;D462,"err","")</f>
        <v/>
      </c>
      <c r="D463" s="50">
        <f>IF(NOTA[[#This Row],[TANGGAL]]="",D462,NOTA[[#This Row],[TANGGAL]])</f>
        <v>44942</v>
      </c>
      <c r="E463" s="50" t="str">
        <f ca="1">IF(NOTA[[#This Row],[NAMA BARANG]]="","",INDEX(NOTA[ID],MATCH(,INDIRECT(ADDRESS(ROW(NOTA[ID]),COLUMN(NOTA[ID]))&amp;":"&amp;ADDRESS(ROW(),COLUMN(NOTA[ID]))),-1)))</f>
        <v/>
      </c>
      <c r="F463" s="80"/>
      <c r="G463" s="26"/>
      <c r="H463" s="26"/>
      <c r="I463" s="31"/>
      <c r="J463" s="82"/>
      <c r="K463" s="81"/>
      <c r="L463" s="26"/>
      <c r="M463" s="26"/>
      <c r="N463" s="83"/>
      <c r="O463" s="82"/>
      <c r="P463" s="26"/>
      <c r="Q463" s="84"/>
      <c r="R463" s="85"/>
      <c r="S463" s="39"/>
      <c r="T463" s="86"/>
      <c r="U463" s="86"/>
      <c r="V463" s="87"/>
      <c r="W463" s="37"/>
      <c r="X463" s="54" t="str">
        <f>IF(NOTA[[#This Row],[HARGA/ CTN]]="",NOTA[[#This Row],[JUMLAH_H]],NOTA[[#This Row],[HARGA/ CTN]]*IF(NOTA[[#This Row],[C]]="",0,NOTA[[#This Row],[C]]))</f>
        <v/>
      </c>
      <c r="Y463" s="54" t="str">
        <f>IF(NOTA[[#This Row],[JUMLAH]]="","",NOTA[[#This Row],[JUMLAH]]*NOTA[[#This Row],[DISC 1]])</f>
        <v/>
      </c>
      <c r="Z463" s="54" t="str">
        <f>IF(NOTA[[#This Row],[JUMLAH]]="","",(NOTA[[#This Row],[JUMLAH]]-NOTA[[#This Row],[DISC 1-]])*NOTA[[#This Row],[DISC 2]])</f>
        <v/>
      </c>
      <c r="AA463" s="54" t="str">
        <f>IF(NOTA[[#This Row],[JUMLAH]]="","",NOTA[[#This Row],[DISC 1-]]+NOTA[[#This Row],[DISC 2-]])</f>
        <v/>
      </c>
      <c r="AB463" s="54" t="str">
        <f>IF(NOTA[[#This Row],[JUMLAH]]="","",NOTA[[#This Row],[JUMLAH]]-NOTA[[#This Row],[DISC]])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4" t="str">
        <f>IF(OR(NOTA[[#This Row],[QTY]]="",NOTA[[#This Row],[HARGA SATUAN]]="",),"",NOTA[[#This Row],[QTY]]*NOTA[[#This Row],[HARGA SATUAN]])</f>
        <v/>
      </c>
      <c r="AG463" s="51" t="str">
        <f ca="1">IF(NOTA[ID_H]="","",INDEX(NOTA[TANGGAL],MATCH(,INDIRECT(ADDRESS(ROW(NOTA[TANGGAL]),COLUMN(NOTA[TANGGAL]))&amp;":"&amp;ADDRESS(ROW(),COLUMN(NOTA[TANGGAL]))),-1)))</f>
        <v/>
      </c>
      <c r="AH463" s="65" t="str">
        <f ca="1">IF(NOTA[[#This Row],[NAMA BARANG]]="","",INDEX(NOTA[SUPPLIER],MATCH(,INDIRECT(ADDRESS(ROW(NOTA[ID]),COLUMN(NOTA[ID]))&amp;":"&amp;ADDRESS(ROW(),COLUMN(NOTA[ID]))),-1)))</f>
        <v/>
      </c>
      <c r="AI463" s="65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IF(NOTA[C]="",NOTA[[#This Row],[CONCAT1]]&amp;NOTA[[#This Row],[HARGA SATUAN]],NOTA[[#This Row],[CONCAT1]]&amp;NOTA[[#This Row],[HARGA/ CTN_H]]&amp;NOTA[[#This Row],[DISC 1]]&amp;NOTA[[#This Row],[DISC 2]])</f>
        <v/>
      </c>
      <c r="AN463" s="184" t="str">
        <f>IF(NOTA[[#This Row],[CONCAT1]]="","",MATCH(NOTA[[#This Row],[CONCAT1]],[1]!db[NB NOTA_C],0)+1)</f>
        <v/>
      </c>
    </row>
    <row r="464" spans="1:40" ht="20.100000000000001" customHeight="1" x14ac:dyDescent="0.25">
      <c r="A464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HAN_1601_164-2</v>
      </c>
      <c r="C464" s="50" t="str">
        <f>IF(NOTA[[#This Row],[CEK_EXP]]&lt;D463,"err","")</f>
        <v/>
      </c>
      <c r="D464" s="50">
        <f>IF(NOTA[[#This Row],[TANGGAL]]="",D463,NOTA[[#This Row],[TANGGAL]])</f>
        <v>44942</v>
      </c>
      <c r="E464" s="50">
        <f ca="1">IF(NOTA[[#This Row],[NAMA BARANG]]="","",INDEX(NOTA[ID],MATCH(,INDIRECT(ADDRESS(ROW(NOTA[ID]),COLUMN(NOTA[ID]))&amp;":"&amp;ADDRESS(ROW(),COLUMN(NOTA[ID]))),-1)))</f>
        <v>86</v>
      </c>
      <c r="F464" s="80"/>
      <c r="G464" s="26" t="s">
        <v>285</v>
      </c>
      <c r="H464" s="26" t="s">
        <v>87</v>
      </c>
      <c r="I464" s="31" t="s">
        <v>635</v>
      </c>
      <c r="J464" s="82"/>
      <c r="K464" s="81">
        <v>44942</v>
      </c>
      <c r="L464" s="26"/>
      <c r="M464" s="26" t="s">
        <v>287</v>
      </c>
      <c r="N464" s="83"/>
      <c r="O464" s="82">
        <v>14</v>
      </c>
      <c r="P464" s="26" t="s">
        <v>90</v>
      </c>
      <c r="Q464" s="84">
        <v>13000</v>
      </c>
      <c r="R464" s="85"/>
      <c r="S464" s="39"/>
      <c r="T464" s="86"/>
      <c r="U464" s="86"/>
      <c r="V464" s="87"/>
      <c r="W464" s="37" t="s">
        <v>636</v>
      </c>
      <c r="X464" s="54">
        <f>IF(NOTA[[#This Row],[HARGA/ CTN]]="",NOTA[[#This Row],[JUMLAH_H]],NOTA[[#This Row],[HARGA/ CTN]]*IF(NOTA[[#This Row],[C]]="",0,NOTA[[#This Row],[C]]))</f>
        <v>182000</v>
      </c>
      <c r="Y464" s="54">
        <f>IF(NOTA[[#This Row],[JUMLAH]]="","",NOTA[[#This Row],[JUMLAH]]*NOTA[[#This Row],[DISC 1]])</f>
        <v>0</v>
      </c>
      <c r="Z464" s="54">
        <f>IF(NOTA[[#This Row],[JUMLAH]]="","",(NOTA[[#This Row],[JUMLAH]]-NOTA[[#This Row],[DISC 1-]])*NOTA[[#This Row],[DISC 2]])</f>
        <v>0</v>
      </c>
      <c r="AA464" s="54">
        <f>IF(NOTA[[#This Row],[JUMLAH]]="","",NOTA[[#This Row],[DISC 1-]]+NOTA[[#This Row],[DISC 2-]])</f>
        <v>0</v>
      </c>
      <c r="AB464" s="54">
        <f>IF(NOTA[[#This Row],[JUMLAH]]="","",NOTA[[#This Row],[JUMLAH]]-NOTA[[#This Row],[DISC]])</f>
        <v>182000</v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9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F464" s="54">
        <f>IF(OR(NOTA[[#This Row],[QTY]]="",NOTA[[#This Row],[HARGA SATUAN]]="",),"",NOTA[[#This Row],[QTY]]*NOTA[[#This Row],[HARGA SATUAN]])</f>
        <v>182000</v>
      </c>
      <c r="AG464" s="51">
        <f ca="1">IF(NOTA[ID_H]="","",INDEX(NOTA[TANGGAL],MATCH(,INDIRECT(ADDRESS(ROW(NOTA[TANGGAL]),COLUMN(NOTA[TANGGAL]))&amp;":"&amp;ADDRESS(ROW(),COLUMN(NOTA[TANGGAL]))),-1)))</f>
        <v>44942</v>
      </c>
      <c r="AH464" s="65" t="str">
        <f ca="1">IF(NOTA[[#This Row],[NAMA BARANG]]="","",INDEX(NOTA[SUPPLIER],MATCH(,INDIRECT(ADDRESS(ROW(NOTA[ID]),COLUMN(NOTA[ID]))&amp;":"&amp;ADDRESS(ROW(),COLUMN(NOTA[ID]))),-1)))</f>
        <v>HANSA</v>
      </c>
      <c r="AI464" s="65" t="str">
        <f ca="1">IF(NOTA[[#This Row],[ID_H]]="","",IF(NOTA[[#This Row],[FAKTUR]]="",INDIRECT(ADDRESS(ROW()-1,COLUMN())),NOTA[[#This Row],[FAKTUR]]))</f>
        <v>UNTANA</v>
      </c>
      <c r="AJ464" s="38">
        <f ca="1">IF(NOTA[[#This Row],[ID]]="","",COUNTIF(NOTA[ID_H],NOTA[[#This Row],[ID_H]]))</f>
        <v>2</v>
      </c>
      <c r="AK464" s="38">
        <f>IF(NOTA[[#This Row],[TGL.NOTA]]="",IF(NOTA[[#This Row],[SUPPLIER_H]]="","",AK463),MONTH(NOTA[[#This Row],[TGL.NOTA]]))</f>
        <v>1</v>
      </c>
      <c r="AL46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464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N464" s="184">
        <f>IF(NOTA[[#This Row],[CONCAT1]]="","",MATCH(NOTA[[#This Row],[CONCAT1]],[1]!db[NB NOTA_C],0)+1)</f>
        <v>1377</v>
      </c>
    </row>
    <row r="465" spans="1:40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Row],[CEK_EXP]]&lt;D464,"err","")</f>
        <v/>
      </c>
      <c r="D465" s="50">
        <f>IF(NOTA[[#This Row],[TANGGAL]]="",D464,NOTA[[#This Row],[TANGGAL]])</f>
        <v>44942</v>
      </c>
      <c r="E465" s="50">
        <f ca="1">IF(NOTA[[#This Row],[NAMA BARANG]]="","",INDEX(NOTA[ID],MATCH(,INDIRECT(ADDRESS(ROW(NOTA[ID]),COLUMN(NOTA[ID]))&amp;":"&amp;ADDRESS(ROW(),COLUMN(NOTA[ID]))),-1)))</f>
        <v>86</v>
      </c>
      <c r="F465" s="80"/>
      <c r="G465" s="26"/>
      <c r="H465" s="26"/>
      <c r="I465" s="31"/>
      <c r="J465" s="82"/>
      <c r="K465" s="81"/>
      <c r="L465" s="26"/>
      <c r="M465" s="26" t="s">
        <v>637</v>
      </c>
      <c r="N465" s="83"/>
      <c r="O465" s="82">
        <v>3</v>
      </c>
      <c r="P465" s="26" t="s">
        <v>90</v>
      </c>
      <c r="Q465" s="84">
        <v>41000</v>
      </c>
      <c r="R465" s="85"/>
      <c r="S465" s="39"/>
      <c r="T465" s="86"/>
      <c r="U465" s="86"/>
      <c r="V465" s="87"/>
      <c r="W465" s="37"/>
      <c r="X465" s="54">
        <f>IF(NOTA[[#This Row],[HARGA/ CTN]]="",NOTA[[#This Row],[JUMLAH_H]],NOTA[[#This Row],[HARGA/ CTN]]*IF(NOTA[[#This Row],[C]]="",0,NOTA[[#This Row],[C]]))</f>
        <v>123000</v>
      </c>
      <c r="Y465" s="54">
        <f>IF(NOTA[[#This Row],[JUMLAH]]="","",NOTA[[#This Row],[JUMLAH]]*NOTA[[#This Row],[DISC 1]])</f>
        <v>0</v>
      </c>
      <c r="Z465" s="54">
        <f>IF(NOTA[[#This Row],[JUMLAH]]="","",(NOTA[[#This Row],[JUMLAH]]-NOTA[[#This Row],[DISC 1-]])*NOTA[[#This Row],[DISC 2]])</f>
        <v>0</v>
      </c>
      <c r="AA465" s="54">
        <f>IF(NOTA[[#This Row],[JUMLAH]]="","",NOTA[[#This Row],[DISC 1-]]+NOTA[[#This Row],[DISC 2-]])</f>
        <v>0</v>
      </c>
      <c r="AB465" s="54">
        <f>IF(NOTA[[#This Row],[JUMLAH]]="","",NOTA[[#This Row],[JUMLAH]]-NOTA[[#This Row],[DISC]])</f>
        <v>123000</v>
      </c>
      <c r="AC4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E465" s="49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F465" s="54">
        <f>IF(OR(NOTA[[#This Row],[QTY]]="",NOTA[[#This Row],[HARGA SATUAN]]="",),"",NOTA[[#This Row],[QTY]]*NOTA[[#This Row],[HARGA SATUAN]])</f>
        <v>123000</v>
      </c>
      <c r="AG465" s="51">
        <f ca="1">IF(NOTA[ID_H]="","",INDEX(NOTA[TANGGAL],MATCH(,INDIRECT(ADDRESS(ROW(NOTA[TANGGAL]),COLUMN(NOTA[TANGGAL]))&amp;":"&amp;ADDRESS(ROW(),COLUMN(NOTA[TANGGAL]))),-1)))</f>
        <v>44942</v>
      </c>
      <c r="AH465" s="65" t="str">
        <f ca="1">IF(NOTA[[#This Row],[NAMA BARANG]]="","",INDEX(NOTA[SUPPLIER],MATCH(,INDIRECT(ADDRESS(ROW(NOTA[ID]),COLUMN(NOTA[ID]))&amp;":"&amp;ADDRESS(ROW(),COLUMN(NOTA[ID]))),-1)))</f>
        <v>HANSA</v>
      </c>
      <c r="AI465" s="65" t="str">
        <f ca="1">IF(NOTA[[#This Row],[ID_H]]="","",IF(NOTA[[#This Row],[FAKTUR]]="",INDIRECT(ADDRESS(ROW()-1,COLUMN())),NOTA[[#This Row],[FAKTUR]]))</f>
        <v>UNTANA</v>
      </c>
      <c r="AJ465" s="38" t="str">
        <f ca="1">IF(NOTA[[#This Row],[ID]]="","",COUNTIF(NOTA[ID_H],NOTA[[#This Row],[ID_H]]))</f>
        <v/>
      </c>
      <c r="AK465" s="38">
        <f ca="1">IF(NOTA[[#This Row],[TGL.NOTA]]="",IF(NOTA[[#This Row],[SUPPLIER_H]]="","",AK464),MONTH(NOTA[[#This Row],[TGL.NOTA]]))</f>
        <v>1</v>
      </c>
      <c r="AL465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465" s="38" t="str">
        <f>IF(NOTA[C]="",NOTA[[#This Row],[CONCAT1]]&amp;NOTA[[#This Row],[HARGA SATUAN]],NOTA[[#This Row],[CONCAT1]]&amp;NOTA[[#This Row],[HARGA/ CTN_H]]&amp;NOTA[[#This Row],[DISC 1]]&amp;NOTA[[#This Row],[DISC 2]])</f>
        <v>lilinshintoeng24btg41000</v>
      </c>
      <c r="AN465" s="184">
        <f>IF(NOTA[[#This Row],[CONCAT1]]="","",MATCH(NOTA[[#This Row],[CONCAT1]],[1]!db[NB NOTA_C],0)+1)</f>
        <v>1397</v>
      </c>
    </row>
    <row r="466" spans="1:40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Row],[CEK_EXP]]&lt;D465,"err","")</f>
        <v/>
      </c>
      <c r="D466" s="50">
        <f>IF(NOTA[[#This Row],[TANGGAL]]="",D465,NOTA[[#This Row],[TANGGAL]])</f>
        <v>44942</v>
      </c>
      <c r="E466" s="50" t="str">
        <f ca="1">IF(NOTA[[#This Row],[NAMA BARANG]]="","",INDEX(NOTA[ID],MATCH(,INDIRECT(ADDRESS(ROW(NOTA[ID]),COLUMN(NOTA[ID]))&amp;":"&amp;ADDRESS(ROW(),COLUMN(NOTA[ID]))),-1)))</f>
        <v/>
      </c>
      <c r="F466" s="80"/>
      <c r="G466" s="26"/>
      <c r="H466" s="26"/>
      <c r="I466" s="31"/>
      <c r="J466" s="82"/>
      <c r="K466" s="81"/>
      <c r="L466" s="26"/>
      <c r="M466" s="26"/>
      <c r="N466" s="83"/>
      <c r="O466" s="82"/>
      <c r="P466" s="26"/>
      <c r="Q466" s="84"/>
      <c r="R466" s="85"/>
      <c r="S466" s="39"/>
      <c r="T466" s="86"/>
      <c r="U466" s="86"/>
      <c r="V466" s="87"/>
      <c r="W466" s="37"/>
      <c r="X466" s="54" t="str">
        <f>IF(NOTA[[#This Row],[HARGA/ CTN]]="",NOTA[[#This Row],[JUMLAH_H]],NOTA[[#This Row],[HARGA/ CTN]]*IF(NOTA[[#This Row],[C]]="",0,NOTA[[#This Row],[C]]))</f>
        <v/>
      </c>
      <c r="Y466" s="54" t="str">
        <f>IF(NOTA[[#This Row],[JUMLAH]]="","",NOTA[[#This Row],[JUMLAH]]*NOTA[[#This Row],[DISC 1]])</f>
        <v/>
      </c>
      <c r="Z466" s="54" t="str">
        <f>IF(NOTA[[#This Row],[JUMLAH]]="","",(NOTA[[#This Row],[JUMLAH]]-NOTA[[#This Row],[DISC 1-]])*NOTA[[#This Row],[DISC 2]])</f>
        <v/>
      </c>
      <c r="AA466" s="54" t="str">
        <f>IF(NOTA[[#This Row],[JUMLAH]]="","",NOTA[[#This Row],[DISC 1-]]+NOTA[[#This Row],[DISC 2-]])</f>
        <v/>
      </c>
      <c r="AB466" s="54" t="str">
        <f>IF(NOTA[[#This Row],[JUMLAH]]="","",NOTA[[#This Row],[JUMLAH]]-NOTA[[#This Row],[DISC]])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4" t="str">
        <f>IF(OR(NOTA[[#This Row],[QTY]]="",NOTA[[#This Row],[HARGA SATUAN]]="",),"",NOTA[[#This Row],[QTY]]*NOTA[[#This Row],[HARGA SATUAN]])</f>
        <v/>
      </c>
      <c r="AG466" s="51" t="str">
        <f ca="1">IF(NOTA[ID_H]="","",INDEX(NOTA[TANGGAL],MATCH(,INDIRECT(ADDRESS(ROW(NOTA[TANGGAL]),COLUMN(NOTA[TANGGAL]))&amp;":"&amp;ADDRESS(ROW(),COLUMN(NOTA[TANGGAL]))),-1)))</f>
        <v/>
      </c>
      <c r="AH466" s="65" t="str">
        <f ca="1">IF(NOTA[[#This Row],[NAMA BARANG]]="","",INDEX(NOTA[SUPPLIER],MATCH(,INDIRECT(ADDRESS(ROW(NOTA[ID]),COLUMN(NOTA[ID]))&amp;":"&amp;ADDRESS(ROW(),COLUMN(NOTA[ID]))),-1)))</f>
        <v/>
      </c>
      <c r="AI466" s="65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IF(NOTA[C]="",NOTA[[#This Row],[CONCAT1]]&amp;NOTA[[#This Row],[HARGA SATUAN]],NOTA[[#This Row],[CONCAT1]]&amp;NOTA[[#This Row],[HARGA/ CTN_H]]&amp;NOTA[[#This Row],[DISC 1]]&amp;NOTA[[#This Row],[DISC 2]])</f>
        <v/>
      </c>
      <c r="AN466" s="184" t="str">
        <f>IF(NOTA[[#This Row],[CONCAT1]]="","",MATCH(NOTA[[#This Row],[CONCAT1]],[1]!db[NB NOTA_C],0)+1)</f>
        <v/>
      </c>
    </row>
    <row r="467" spans="1:40" ht="20.100000000000001" customHeight="1" x14ac:dyDescent="0.25">
      <c r="A467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GUN_1601_095-2</v>
      </c>
      <c r="C467" s="50" t="str">
        <f>IF(NOTA[[#This Row],[CEK_EXP]]&lt;D466,"err","")</f>
        <v/>
      </c>
      <c r="D467" s="50">
        <f>IF(NOTA[[#This Row],[TANGGAL]]="",D466,NOTA[[#This Row],[TANGGAL]])</f>
        <v>44942</v>
      </c>
      <c r="E467" s="50">
        <f ca="1">IF(NOTA[[#This Row],[NAMA BARANG]]="","",INDEX(NOTA[ID],MATCH(,INDIRECT(ADDRESS(ROW(NOTA[ID]),COLUMN(NOTA[ID]))&amp;":"&amp;ADDRESS(ROW(),COLUMN(NOTA[ID]))),-1)))</f>
        <v>87</v>
      </c>
      <c r="F467" s="80"/>
      <c r="G467" s="26" t="s">
        <v>595</v>
      </c>
      <c r="H467" s="26" t="s">
        <v>87</v>
      </c>
      <c r="I467" s="31" t="s">
        <v>638</v>
      </c>
      <c r="J467" s="82"/>
      <c r="K467" s="81">
        <v>44938</v>
      </c>
      <c r="L467" s="26"/>
      <c r="M467" s="26" t="s">
        <v>639</v>
      </c>
      <c r="N467" s="83">
        <v>6</v>
      </c>
      <c r="O467" s="82">
        <v>360</v>
      </c>
      <c r="P467" s="26" t="s">
        <v>90</v>
      </c>
      <c r="Q467" s="84">
        <v>49200</v>
      </c>
      <c r="R467" s="85"/>
      <c r="S467" s="39" t="s">
        <v>91</v>
      </c>
      <c r="T467" s="86">
        <v>0.05</v>
      </c>
      <c r="U467" s="86">
        <v>0.1</v>
      </c>
      <c r="V467" s="87"/>
      <c r="W467" s="37"/>
      <c r="X467" s="54">
        <f>IF(NOTA[[#This Row],[HARGA/ CTN]]="",NOTA[[#This Row],[JUMLAH_H]],NOTA[[#This Row],[HARGA/ CTN]]*IF(NOTA[[#This Row],[C]]="",0,NOTA[[#This Row],[C]]))</f>
        <v>17712000</v>
      </c>
      <c r="Y467" s="54">
        <f>IF(NOTA[[#This Row],[JUMLAH]]="","",NOTA[[#This Row],[JUMLAH]]*NOTA[[#This Row],[DISC 1]])</f>
        <v>885600</v>
      </c>
      <c r="Z467" s="54">
        <f>IF(NOTA[[#This Row],[JUMLAH]]="","",(NOTA[[#This Row],[JUMLAH]]-NOTA[[#This Row],[DISC 1-]])*NOTA[[#This Row],[DISC 2]])</f>
        <v>1682640</v>
      </c>
      <c r="AA467" s="54">
        <f>IF(NOTA[[#This Row],[JUMLAH]]="","",NOTA[[#This Row],[DISC 1-]]+NOTA[[#This Row],[DISC 2-]])</f>
        <v>2568240</v>
      </c>
      <c r="AB467" s="54">
        <f>IF(NOTA[[#This Row],[JUMLAH]]="","",NOTA[[#This Row],[JUMLAH]]-NOTA[[#This Row],[DISC]])</f>
        <v>15143760</v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67" s="54">
        <f>IF(OR(NOTA[[#This Row],[QTY]]="",NOTA[[#This Row],[HARGA SATUAN]]="",),"",NOTA[[#This Row],[QTY]]*NOTA[[#This Row],[HARGA SATUAN]])</f>
        <v>17712000</v>
      </c>
      <c r="AG467" s="51">
        <f ca="1">IF(NOTA[ID_H]="","",INDEX(NOTA[TANGGAL],MATCH(,INDIRECT(ADDRESS(ROW(NOTA[TANGGAL]),COLUMN(NOTA[TANGGAL]))&amp;":"&amp;ADDRESS(ROW(),COLUMN(NOTA[TANGGAL]))),-1)))</f>
        <v>44942</v>
      </c>
      <c r="AH467" s="65" t="str">
        <f ca="1">IF(NOTA[[#This Row],[NAMA BARANG]]="","",INDEX(NOTA[SUPPLIER],MATCH(,INDIRECT(ADDRESS(ROW(NOTA[ID]),COLUMN(NOTA[ID]))&amp;":"&amp;ADDRESS(ROW(),COLUMN(NOTA[ID]))),-1)))</f>
        <v>GUNINDO</v>
      </c>
      <c r="AI467" s="65" t="str">
        <f ca="1">IF(NOTA[[#This Row],[ID_H]]="","",IF(NOTA[[#This Row],[FAKTUR]]="",INDIRECT(ADDRESS(ROW()-1,COLUMN())),NOTA[[#This Row],[FAKTUR]]))</f>
        <v>UNTANA</v>
      </c>
      <c r="AJ467" s="38">
        <f ca="1">IF(NOTA[[#This Row],[ID]]="","",COUNTIF(NOTA[ID_H],NOTA[[#This Row],[ID_H]]))</f>
        <v>2</v>
      </c>
      <c r="AK467" s="38">
        <f>IF(NOTA[[#This Row],[TGL.NOTA]]="",IF(NOTA[[#This Row],[SUPPLIER_H]]="","",AK466),MONTH(NOTA[[#This Row],[TGL.NOTA]]))</f>
        <v>1</v>
      </c>
      <c r="AL467" s="38" t="str">
        <f>LOWER(SUBSTITUTE(SUBSTITUTE(SUBSTITUTE(SUBSTITUTE(SUBSTITUTE(SUBSTITUTE(SUBSTITUTE(SUBSTITUTE(SUBSTITUTE(NOTA[NAMA BARANG]," ",),".",""),"-",""),"(",""),")",""),",",""),"/",""),"""",""),"+",""))</f>
        <v>ossgunindo</v>
      </c>
      <c r="AM467" s="38" t="str">
        <f>IF(NOTA[C]="",NOTA[[#This Row],[CONCAT1]]&amp;NOTA[[#This Row],[HARGA SATUAN]],NOTA[[#This Row],[CONCAT1]]&amp;NOTA[[#This Row],[HARGA/ CTN_H]]&amp;NOTA[[#This Row],[DISC 1]]&amp;NOTA[[#This Row],[DISC 2]])</f>
        <v>ossgunindo29520000.050.1</v>
      </c>
      <c r="AN467" s="184">
        <f>IF(NOTA[[#This Row],[CONCAT1]]="","",MATCH(NOTA[[#This Row],[CONCAT1]],[1]!db[NB NOTA_C],0)+1)</f>
        <v>1579</v>
      </c>
    </row>
    <row r="468" spans="1:40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Row],[CEK_EXP]]&lt;D467,"err","")</f>
        <v/>
      </c>
      <c r="D468" s="50">
        <f>IF(NOTA[[#This Row],[TANGGAL]]="",D467,NOTA[[#This Row],[TANGGAL]])</f>
        <v>44942</v>
      </c>
      <c r="E468" s="50">
        <f ca="1">IF(NOTA[[#This Row],[NAMA BARANG]]="","",INDEX(NOTA[ID],MATCH(,INDIRECT(ADDRESS(ROW(NOTA[ID]),COLUMN(NOTA[ID]))&amp;":"&amp;ADDRESS(ROW(),COLUMN(NOTA[ID]))),-1)))</f>
        <v>87</v>
      </c>
      <c r="F468" s="80"/>
      <c r="G468" s="26"/>
      <c r="H468" s="26"/>
      <c r="I468" s="31"/>
      <c r="J468" s="82"/>
      <c r="K468" s="81"/>
      <c r="L468" s="26"/>
      <c r="M468" s="26" t="s">
        <v>640</v>
      </c>
      <c r="N468" s="83">
        <v>2</v>
      </c>
      <c r="O468" s="82">
        <v>40</v>
      </c>
      <c r="P468" s="26" t="s">
        <v>90</v>
      </c>
      <c r="Q468" s="84">
        <v>120000</v>
      </c>
      <c r="R468" s="85"/>
      <c r="S468" s="39" t="s">
        <v>641</v>
      </c>
      <c r="T468" s="86">
        <v>0.05</v>
      </c>
      <c r="U468" s="86">
        <v>0.1</v>
      </c>
      <c r="V468" s="87"/>
      <c r="W468" s="37"/>
      <c r="X468" s="54">
        <f>IF(NOTA[[#This Row],[HARGA/ CTN]]="",NOTA[[#This Row],[JUMLAH_H]],NOTA[[#This Row],[HARGA/ CTN]]*IF(NOTA[[#This Row],[C]]="",0,NOTA[[#This Row],[C]]))</f>
        <v>4800000</v>
      </c>
      <c r="Y468" s="54">
        <f>IF(NOTA[[#This Row],[JUMLAH]]="","",NOTA[[#This Row],[JUMLAH]]*NOTA[[#This Row],[DISC 1]])</f>
        <v>240000</v>
      </c>
      <c r="Z468" s="54">
        <f>IF(NOTA[[#This Row],[JUMLAH]]="","",(NOTA[[#This Row],[JUMLAH]]-NOTA[[#This Row],[DISC 1-]])*NOTA[[#This Row],[DISC 2]])</f>
        <v>456000</v>
      </c>
      <c r="AA468" s="54">
        <f>IF(NOTA[[#This Row],[JUMLAH]]="","",NOTA[[#This Row],[DISC 1-]]+NOTA[[#This Row],[DISC 2-]])</f>
        <v>696000</v>
      </c>
      <c r="AB468" s="54">
        <f>IF(NOTA[[#This Row],[JUMLAH]]="","",NOTA[[#This Row],[JUMLAH]]-NOTA[[#This Row],[DISC]])</f>
        <v>4104000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3264240</v>
      </c>
      <c r="AD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19247760</v>
      </c>
      <c r="AE46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68" s="54">
        <f>IF(OR(NOTA[[#This Row],[QTY]]="",NOTA[[#This Row],[HARGA SATUAN]]="",),"",NOTA[[#This Row],[QTY]]*NOTA[[#This Row],[HARGA SATUAN]])</f>
        <v>4800000</v>
      </c>
      <c r="AG468" s="51">
        <f ca="1">IF(NOTA[ID_H]="","",INDEX(NOTA[TANGGAL],MATCH(,INDIRECT(ADDRESS(ROW(NOTA[TANGGAL]),COLUMN(NOTA[TANGGAL]))&amp;":"&amp;ADDRESS(ROW(),COLUMN(NOTA[TANGGAL]))),-1)))</f>
        <v>44942</v>
      </c>
      <c r="AH468" s="65" t="str">
        <f ca="1">IF(NOTA[[#This Row],[NAMA BARANG]]="","",INDEX(NOTA[SUPPLIER],MATCH(,INDIRECT(ADDRESS(ROW(NOTA[ID]),COLUMN(NOTA[ID]))&amp;":"&amp;ADDRESS(ROW(),COLUMN(NOTA[ID]))),-1)))</f>
        <v>GUNINDO</v>
      </c>
      <c r="AI468" s="65" t="str">
        <f ca="1">IF(NOTA[[#This Row],[ID_H]]="","",IF(NOTA[[#This Row],[FAKTUR]]="",INDIRECT(ADDRESS(ROW()-1,COLUMN())),NOTA[[#This Row],[FAKTUR]]))</f>
        <v>UNTANA</v>
      </c>
      <c r="AJ468" s="38" t="str">
        <f ca="1">IF(NOTA[[#This Row],[ID]]="","",COUNTIF(NOTA[ID_H],NOTA[[#This Row],[ID_H]]))</f>
        <v/>
      </c>
      <c r="AK468" s="38">
        <f ca="1">IF(NOTA[[#This Row],[TGL.NOTA]]="",IF(NOTA[[#This Row],[SUPPLIER_H]]="","",AK467),MONTH(NOTA[[#This Row],[TGL.NOTA]]))</f>
        <v>1</v>
      </c>
      <c r="AL468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M468" s="38" t="str">
        <f>IF(NOTA[C]="",NOTA[[#This Row],[CONCAT1]]&amp;NOTA[[#This Row],[HARGA SATUAN]],NOTA[[#This Row],[CONCAT1]]&amp;NOTA[[#This Row],[HARGA/ CTN_H]]&amp;NOTA[[#This Row],[DISC 1]]&amp;NOTA[[#This Row],[DISC 2]])</f>
        <v>gunindoflcoklat24000000.050.1</v>
      </c>
      <c r="AN468" s="184">
        <f>IF(NOTA[[#This Row],[CONCAT1]]="","",MATCH(NOTA[[#This Row],[CONCAT1]],[1]!db[NB NOTA_C],0)+1)</f>
        <v>940</v>
      </c>
    </row>
    <row r="469" spans="1:40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Row],[CEK_EXP]]&lt;D468,"err","")</f>
        <v/>
      </c>
      <c r="D469" s="50">
        <f>IF(NOTA[[#This Row],[TANGGAL]]="",D468,NOTA[[#This Row],[TANGGAL]])</f>
        <v>44942</v>
      </c>
      <c r="E469" s="50" t="str">
        <f ca="1">IF(NOTA[[#This Row],[NAMA BARANG]]="","",INDEX(NOTA[ID],MATCH(,INDIRECT(ADDRESS(ROW(NOTA[ID]),COLUMN(NOTA[ID]))&amp;":"&amp;ADDRESS(ROW(),COLUMN(NOTA[ID]))),-1)))</f>
        <v/>
      </c>
      <c r="F469" s="80"/>
      <c r="G469" s="26"/>
      <c r="H469" s="26"/>
      <c r="I469" s="31"/>
      <c r="J469" s="26"/>
      <c r="K469" s="51"/>
      <c r="L469" s="26"/>
      <c r="M469" s="26"/>
      <c r="N469" s="83"/>
      <c r="O469" s="82"/>
      <c r="P469" s="26"/>
      <c r="Q469" s="84"/>
      <c r="R469" s="85"/>
      <c r="S469" s="39"/>
      <c r="T469" s="86"/>
      <c r="U469" s="86"/>
      <c r="V469" s="87"/>
      <c r="W469" s="37"/>
      <c r="X469" s="54" t="str">
        <f>IF(NOTA[[#This Row],[HARGA/ CTN]]="",NOTA[[#This Row],[JUMLAH_H]],NOTA[[#This Row],[HARGA/ CTN]]*IF(NOTA[[#This Row],[C]]="",0,NOTA[[#This Row],[C]]))</f>
        <v/>
      </c>
      <c r="Y469" s="54" t="str">
        <f>IF(NOTA[[#This Row],[JUMLAH]]="","",NOTA[[#This Row],[JUMLAH]]*NOTA[[#This Row],[DISC 1]])</f>
        <v/>
      </c>
      <c r="Z469" s="54" t="str">
        <f>IF(NOTA[[#This Row],[JUMLAH]]="","",(NOTA[[#This Row],[JUMLAH]]-NOTA[[#This Row],[DISC 1-]])*NOTA[[#This Row],[DISC 2]])</f>
        <v/>
      </c>
      <c r="AA469" s="54" t="str">
        <f>IF(NOTA[[#This Row],[JUMLAH]]="","",NOTA[[#This Row],[DISC 1-]]+NOTA[[#This Row],[DISC 2-]])</f>
        <v/>
      </c>
      <c r="AB469" s="54" t="str">
        <f>IF(NOTA[[#This Row],[JUMLAH]]="","",NOTA[[#This Row],[JUMLAH]]-NOTA[[#This Row],[DISC]])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54" t="str">
        <f>IF(OR(NOTA[[#This Row],[QTY]]="",NOTA[[#This Row],[HARGA SATUAN]]="",),"",NOTA[[#This Row],[QTY]]*NOTA[[#This Row],[HARGA SATUAN]])</f>
        <v/>
      </c>
      <c r="AG469" s="51" t="str">
        <f ca="1">IF(NOTA[ID_H]="","",INDEX(NOTA[TANGGAL],MATCH(,INDIRECT(ADDRESS(ROW(NOTA[TANGGAL]),COLUMN(NOTA[TANGGAL]))&amp;":"&amp;ADDRESS(ROW(),COLUMN(NOTA[TANGGAL]))),-1)))</f>
        <v/>
      </c>
      <c r="AH469" s="65" t="str">
        <f ca="1">IF(NOTA[[#This Row],[NAMA BARANG]]="","",INDEX(NOTA[SUPPLIER],MATCH(,INDIRECT(ADDRESS(ROW(NOTA[ID]),COLUMN(NOTA[ID]))&amp;":"&amp;ADDRESS(ROW(),COLUMN(NOTA[ID]))),-1)))</f>
        <v/>
      </c>
      <c r="AI469" s="65" t="str">
        <f ca="1">IF(NOTA[[#This Row],[ID_H]]="","",IF(NOTA[[#This Row],[FAKTUR]]="",INDIRECT(ADDRESS(ROW()-1,COLUMN())),NOTA[[#This Row],[FAKTUR]]))</f>
        <v/>
      </c>
      <c r="AJ469" s="38" t="str">
        <f ca="1">IF(NOTA[[#This Row],[ID]]="","",COUNTIF(NOTA[ID_H],NOTA[[#This Row],[ID_H]]))</f>
        <v/>
      </c>
      <c r="AK469" s="38" t="str">
        <f ca="1">IF(NOTA[[#This Row],[TGL.NOTA]]="",IF(NOTA[[#This Row],[SUPPLIER_H]]="","",AK468),MONTH(NOTA[[#This Row],[TGL.NOTA]]))</f>
        <v/>
      </c>
      <c r="AL469" s="38" t="str">
        <f>LOWER(SUBSTITUTE(SUBSTITUTE(SUBSTITUTE(SUBSTITUTE(SUBSTITUTE(SUBSTITUTE(SUBSTITUTE(SUBSTITUTE(SUBSTITUTE(NOTA[NAMA BARANG]," ",),".",""),"-",""),"(",""),")",""),",",""),"/",""),"""",""),"+",""))</f>
        <v/>
      </c>
      <c r="AM469" s="38" t="str">
        <f>IF(NOTA[C]="",NOTA[[#This Row],[CONCAT1]]&amp;NOTA[[#This Row],[HARGA SATUAN]],NOTA[[#This Row],[CONCAT1]]&amp;NOTA[[#This Row],[HARGA/ CTN_H]]&amp;NOTA[[#This Row],[DISC 1]]&amp;NOTA[[#This Row],[DISC 2]])</f>
        <v/>
      </c>
      <c r="AN469" s="184" t="str">
        <f>IF(NOTA[[#This Row],[CONCAT1]]="","",MATCH(NOTA[[#This Row],[CONCAT1]],[1]!db[NB NOTA_C],0)+1)</f>
        <v/>
      </c>
    </row>
    <row r="470" spans="1:40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DUT_1601_3-H-1</v>
      </c>
      <c r="C470" s="50" t="str">
        <f>IF(NOTA[[#This Row],[CEK_EXP]]&lt;D469,"err","")</f>
        <v/>
      </c>
      <c r="D470" s="50">
        <f>IF(NOTA[[#This Row],[TANGGAL]]="",D469,NOTA[[#This Row],[TANGGAL]])</f>
        <v>44942</v>
      </c>
      <c r="E470" s="50">
        <f ca="1">IF(NOTA[[#This Row],[NAMA BARANG]]="","",INDEX(NOTA[ID],MATCH(,INDIRECT(ADDRESS(ROW(NOTA[ID]),COLUMN(NOTA[ID]))&amp;":"&amp;ADDRESS(ROW(),COLUMN(NOTA[ID]))),-1)))</f>
        <v>88</v>
      </c>
      <c r="F470" s="80"/>
      <c r="G470" s="38" t="s">
        <v>237</v>
      </c>
      <c r="H470" s="38" t="s">
        <v>87</v>
      </c>
      <c r="I470" s="79" t="s">
        <v>642</v>
      </c>
      <c r="J470" s="82"/>
      <c r="K470" s="81">
        <v>44939</v>
      </c>
      <c r="L470" s="26"/>
      <c r="M470" s="26" t="s">
        <v>969</v>
      </c>
      <c r="N470" s="83">
        <v>3</v>
      </c>
      <c r="O470" s="82">
        <v>216</v>
      </c>
      <c r="P470" s="26" t="s">
        <v>128</v>
      </c>
      <c r="Q470" s="84">
        <v>23500</v>
      </c>
      <c r="R470" s="85"/>
      <c r="S470" s="39" t="s">
        <v>643</v>
      </c>
      <c r="T470" s="53"/>
      <c r="U470" s="86"/>
      <c r="V470" s="87"/>
      <c r="W470" s="37"/>
      <c r="X470" s="54">
        <f>IF(NOTA[[#This Row],[HARGA/ CTN]]="",NOTA[[#This Row],[JUMLAH_H]],NOTA[[#This Row],[HARGA/ CTN]]*IF(NOTA[[#This Row],[C]]="",0,NOTA[[#This Row],[C]]))</f>
        <v>5076000</v>
      </c>
      <c r="Y470" s="54">
        <f>IF(NOTA[[#This Row],[JUMLAH]]="","",NOTA[[#This Row],[JUMLAH]]*NOTA[[#This Row],[DISC 1]])</f>
        <v>0</v>
      </c>
      <c r="Z470" s="54">
        <f>IF(NOTA[[#This Row],[JUMLAH]]="","",(NOTA[[#This Row],[JUMLAH]]-NOTA[[#This Row],[DISC 1-]])*NOTA[[#This Row],[DISC 2]])</f>
        <v>0</v>
      </c>
      <c r="AA470" s="54">
        <f>IF(NOTA[[#This Row],[JUMLAH]]="","",NOTA[[#This Row],[DISC 1-]]+NOTA[[#This Row],[DISC 2-]])</f>
        <v>0</v>
      </c>
      <c r="AB470" s="54">
        <f>IF(NOTA[[#This Row],[JUMLAH]]="","",NOTA[[#This Row],[JUMLAH]]-NOTA[[#This Row],[DISC]])</f>
        <v>5076000</v>
      </c>
      <c r="AC4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5076000</v>
      </c>
      <c r="AE470" s="49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470" s="54">
        <f>IF(OR(NOTA[[#This Row],[QTY]]="",NOTA[[#This Row],[HARGA SATUAN]]="",),"",NOTA[[#This Row],[QTY]]*NOTA[[#This Row],[HARGA SATUAN]])</f>
        <v>5076000</v>
      </c>
      <c r="AG470" s="51">
        <f ca="1">IF(NOTA[ID_H]="","",INDEX(NOTA[TANGGAL],MATCH(,INDIRECT(ADDRESS(ROW(NOTA[TANGGAL]),COLUMN(NOTA[TANGGAL]))&amp;":"&amp;ADDRESS(ROW(),COLUMN(NOTA[TANGGAL]))),-1)))</f>
        <v>44942</v>
      </c>
      <c r="AH470" s="65" t="str">
        <f ca="1">IF(NOTA[[#This Row],[NAMA BARANG]]="","",INDEX(NOTA[SUPPLIER],MATCH(,INDIRECT(ADDRESS(ROW(NOTA[ID]),COLUMN(NOTA[ID]))&amp;":"&amp;ADDRESS(ROW(),COLUMN(NOTA[ID]))),-1)))</f>
        <v>DUTA BUANA</v>
      </c>
      <c r="AI470" s="65" t="str">
        <f ca="1">IF(NOTA[[#This Row],[ID_H]]="","",IF(NOTA[[#This Row],[FAKTUR]]="",INDIRECT(ADDRESS(ROW()-1,COLUMN())),NOTA[[#This Row],[FAKTUR]]))</f>
        <v>UNTANA</v>
      </c>
      <c r="AJ470" s="38">
        <f ca="1">IF(NOTA[[#This Row],[ID]]="","",COUNTIF(NOTA[ID_H],NOTA[[#This Row],[ID_H]]))</f>
        <v>1</v>
      </c>
      <c r="AK470" s="38">
        <f>IF(NOTA[[#This Row],[TGL.NOTA]]="",IF(NOTA[[#This Row],[SUPPLIER_H]]="","",AK469),MONTH(NOTA[[#This Row],[TGL.NOTA]]))</f>
        <v>1</v>
      </c>
      <c r="AL470" s="38" t="str">
        <f>LOWER(SUBSTITUTE(SUBSTITUTE(SUBSTITUTE(SUBSTITUTE(SUBSTITUTE(SUBSTITUTE(SUBSTITUTE(SUBSTITUTE(SUBSTITUTE(NOTA[NAMA BARANG]," ",),".",""),"-",""),"(",""),")",""),",",""),"/",""),"""",""),"+",""))</f>
        <v>acryliccolourtfac00318x6ml</v>
      </c>
      <c r="AM470" s="38" t="str">
        <f>IF(NOTA[C]="",NOTA[[#This Row],[CONCAT1]]&amp;NOTA[[#This Row],[HARGA SATUAN]],NOTA[[#This Row],[CONCAT1]]&amp;NOTA[[#This Row],[HARGA/ CTN_H]]&amp;NOTA[[#This Row],[DISC 1]]&amp;NOTA[[#This Row],[DISC 2]])</f>
        <v>acryliccolourtfac00318x6ml1692000</v>
      </c>
      <c r="AN470" s="184">
        <f>IF(NOTA[[#This Row],[CONCAT1]]="","",MATCH(NOTA[[#This Row],[CONCAT1]],[1]!db[NB NOTA_C],0)+1)</f>
        <v>23</v>
      </c>
    </row>
    <row r="471" spans="1:40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Row],[CEK_EXP]]&lt;D470,"err","")</f>
        <v/>
      </c>
      <c r="D471" s="50">
        <f>IF(NOTA[[#This Row],[TANGGAL]]="",D470,NOTA[[#This Row],[TANGGAL]])</f>
        <v>44942</v>
      </c>
      <c r="E471" s="50" t="str">
        <f ca="1">IF(NOTA[[#This Row],[NAMA BARANG]]="","",INDEX(NOTA[ID],MATCH(,INDIRECT(ADDRESS(ROW(NOTA[ID]),COLUMN(NOTA[ID]))&amp;":"&amp;ADDRESS(ROW(),COLUMN(NOTA[ID]))),-1)))</f>
        <v/>
      </c>
      <c r="F471" s="80"/>
      <c r="G471" s="26"/>
      <c r="H471" s="26"/>
      <c r="I471" s="31"/>
      <c r="J471" s="82"/>
      <c r="K471" s="81"/>
      <c r="L471" s="26"/>
      <c r="M471" s="26"/>
      <c r="N471" s="83"/>
      <c r="O471" s="82"/>
      <c r="P471" s="26"/>
      <c r="Q471" s="84"/>
      <c r="R471" s="85"/>
      <c r="S471" s="39"/>
      <c r="T471" s="86"/>
      <c r="U471" s="86"/>
      <c r="V471" s="87"/>
      <c r="W471" s="37"/>
      <c r="X471" s="54" t="str">
        <f>IF(NOTA[[#This Row],[HARGA/ CTN]]="",NOTA[[#This Row],[JUMLAH_H]],NOTA[[#This Row],[HARGA/ CTN]]*IF(NOTA[[#This Row],[C]]="",0,NOTA[[#This Row],[C]]))</f>
        <v/>
      </c>
      <c r="Y471" s="54" t="str">
        <f>IF(NOTA[[#This Row],[JUMLAH]]="","",NOTA[[#This Row],[JUMLAH]]*NOTA[[#This Row],[DISC 1]])</f>
        <v/>
      </c>
      <c r="Z471" s="54" t="str">
        <f>IF(NOTA[[#This Row],[JUMLAH]]="","",(NOTA[[#This Row],[JUMLAH]]-NOTA[[#This Row],[DISC 1-]])*NOTA[[#This Row],[DISC 2]])</f>
        <v/>
      </c>
      <c r="AA471" s="54" t="str">
        <f>IF(NOTA[[#This Row],[JUMLAH]]="","",NOTA[[#This Row],[DISC 1-]]+NOTA[[#This Row],[DISC 2-]])</f>
        <v/>
      </c>
      <c r="AB471" s="54" t="str">
        <f>IF(NOTA[[#This Row],[JUMLAH]]="","",NOTA[[#This Row],[JUMLAH]]-NOTA[[#This Row],[DISC]])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54" t="str">
        <f>IF(OR(NOTA[[#This Row],[QTY]]="",NOTA[[#This Row],[HARGA SATUAN]]="",),"",NOTA[[#This Row],[QTY]]*NOTA[[#This Row],[HARGA SATUAN]])</f>
        <v/>
      </c>
      <c r="AG471" s="51" t="str">
        <f ca="1">IF(NOTA[ID_H]="","",INDEX(NOTA[TANGGAL],MATCH(,INDIRECT(ADDRESS(ROW(NOTA[TANGGAL]),COLUMN(NOTA[TANGGAL]))&amp;":"&amp;ADDRESS(ROW(),COLUMN(NOTA[TANGGAL]))),-1)))</f>
        <v/>
      </c>
      <c r="AH471" s="65" t="str">
        <f ca="1">IF(NOTA[[#This Row],[NAMA BARANG]]="","",INDEX(NOTA[SUPPLIER],MATCH(,INDIRECT(ADDRESS(ROW(NOTA[ID]),COLUMN(NOTA[ID]))&amp;":"&amp;ADDRESS(ROW(),COLUMN(NOTA[ID]))),-1)))</f>
        <v/>
      </c>
      <c r="AI471" s="65" t="str">
        <f ca="1">IF(NOTA[[#This Row],[ID_H]]="","",IF(NOTA[[#This Row],[FAKTUR]]="",INDIRECT(ADDRESS(ROW()-1,COLUMN())),NOTA[[#This Row],[FAKTUR]]))</f>
        <v/>
      </c>
      <c r="AJ471" s="38" t="str">
        <f ca="1">IF(NOTA[[#This Row],[ID]]="","",COUNTIF(NOTA[ID_H],NOTA[[#This Row],[ID_H]]))</f>
        <v/>
      </c>
      <c r="AK471" s="38" t="str">
        <f ca="1">IF(NOTA[[#This Row],[TGL.NOTA]]="",IF(NOTA[[#This Row],[SUPPLIER_H]]="","",AK470),MONTH(NOTA[[#This Row],[TGL.NOTA]]))</f>
        <v/>
      </c>
      <c r="AL471" s="38" t="str">
        <f>LOWER(SUBSTITUTE(SUBSTITUTE(SUBSTITUTE(SUBSTITUTE(SUBSTITUTE(SUBSTITUTE(SUBSTITUTE(SUBSTITUTE(SUBSTITUTE(NOTA[NAMA BARANG]," ",),".",""),"-",""),"(",""),")",""),",",""),"/",""),"""",""),"+",""))</f>
        <v/>
      </c>
      <c r="AM471" s="38" t="str">
        <f>IF(NOTA[C]="",NOTA[[#This Row],[CONCAT1]]&amp;NOTA[[#This Row],[HARGA SATUAN]],NOTA[[#This Row],[CONCAT1]]&amp;NOTA[[#This Row],[HARGA/ CTN_H]]&amp;NOTA[[#This Row],[DISC 1]]&amp;NOTA[[#This Row],[DISC 2]])</f>
        <v/>
      </c>
      <c r="AN471" s="184" t="str">
        <f>IF(NOTA[[#This Row],[CONCAT1]]="","",MATCH(NOTA[[#This Row],[CONCAT1]],[1]!db[NB NOTA_C],0)+1)</f>
        <v/>
      </c>
    </row>
    <row r="472" spans="1:40" ht="20.100000000000001" customHeight="1" x14ac:dyDescent="0.25">
      <c r="A47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ATA_1801_823-11</v>
      </c>
      <c r="C472" s="50" t="str">
        <f>IF(NOTA[[#This Row],[CEK_EXP]]&lt;D471,"err","")</f>
        <v/>
      </c>
      <c r="D472" s="50">
        <f>IF(NOTA[[#This Row],[TANGGAL]]="",D471,NOTA[[#This Row],[TANGGAL]])</f>
        <v>44944</v>
      </c>
      <c r="E472" s="50">
        <f ca="1">IF(NOTA[[#This Row],[NAMA BARANG]]="","",INDEX(NOTA[ID],MATCH(,INDIRECT(ADDRESS(ROW(NOTA[ID]),COLUMN(NOTA[ID]))&amp;":"&amp;ADDRESS(ROW(),COLUMN(NOTA[ID]))),-1)))</f>
        <v>89</v>
      </c>
      <c r="F472" s="80">
        <v>44944</v>
      </c>
      <c r="G472" s="26" t="s">
        <v>25</v>
      </c>
      <c r="H472" s="26" t="s">
        <v>24</v>
      </c>
      <c r="I472" s="31" t="s">
        <v>644</v>
      </c>
      <c r="J472" s="26"/>
      <c r="K472" s="81">
        <v>44939</v>
      </c>
      <c r="L472" s="26"/>
      <c r="M472" s="26" t="s">
        <v>270</v>
      </c>
      <c r="N472" s="83">
        <v>2</v>
      </c>
      <c r="O472" s="82">
        <v>288</v>
      </c>
      <c r="P472" s="26" t="s">
        <v>104</v>
      </c>
      <c r="Q472" s="84">
        <v>4350</v>
      </c>
      <c r="R472" s="85"/>
      <c r="S472" s="39" t="s">
        <v>271</v>
      </c>
      <c r="T472" s="86">
        <v>0.125</v>
      </c>
      <c r="U472" s="86">
        <v>0.05</v>
      </c>
      <c r="V472" s="87"/>
      <c r="W472" s="37"/>
      <c r="X472" s="54">
        <f>IF(NOTA[[#This Row],[HARGA/ CTN]]="",NOTA[[#This Row],[JUMLAH_H]],NOTA[[#This Row],[HARGA/ CTN]]*IF(NOTA[[#This Row],[C]]="",0,NOTA[[#This Row],[C]]))</f>
        <v>1252800</v>
      </c>
      <c r="Y472" s="54">
        <f>IF(NOTA[[#This Row],[JUMLAH]]="","",NOTA[[#This Row],[JUMLAH]]*NOTA[[#This Row],[DISC 1]])</f>
        <v>156600</v>
      </c>
      <c r="Z472" s="54">
        <f>IF(NOTA[[#This Row],[JUMLAH]]="","",(NOTA[[#This Row],[JUMLAH]]-NOTA[[#This Row],[DISC 1-]])*NOTA[[#This Row],[DISC 2]])</f>
        <v>54810</v>
      </c>
      <c r="AA472" s="54">
        <f>IF(NOTA[[#This Row],[JUMLAH]]="","",NOTA[[#This Row],[DISC 1-]]+NOTA[[#This Row],[DISC 2-]])</f>
        <v>211410</v>
      </c>
      <c r="AB472" s="54">
        <f>IF(NOTA[[#This Row],[JUMLAH]]="","",NOTA[[#This Row],[JUMLAH]]-NOTA[[#This Row],[DISC]])</f>
        <v>1041390</v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72" s="54">
        <f>IF(OR(NOTA[[#This Row],[QTY]]="",NOTA[[#This Row],[HARGA SATUAN]]="",),"",NOTA[[#This Row],[QTY]]*NOTA[[#This Row],[HARGA SATUAN]])</f>
        <v>1252800</v>
      </c>
      <c r="AG472" s="51">
        <f ca="1">IF(NOTA[ID_H]="","",INDEX(NOTA[TANGGAL],MATCH(,INDIRECT(ADDRESS(ROW(NOTA[TANGGAL]),COLUMN(NOTA[TANGGAL]))&amp;":"&amp;ADDRESS(ROW(),COLUMN(NOTA[TANGGAL]))),-1)))</f>
        <v>44944</v>
      </c>
      <c r="AH472" s="65" t="str">
        <f ca="1">IF(NOTA[[#This Row],[NAMA BARANG]]="","",INDEX(NOTA[SUPPLIER],MATCH(,INDIRECT(ADDRESS(ROW(NOTA[ID]),COLUMN(NOTA[ID]))&amp;":"&amp;ADDRESS(ROW(),COLUMN(NOTA[ID]))),-1)))</f>
        <v>ATALI MAKMUR</v>
      </c>
      <c r="AI472" s="65" t="str">
        <f ca="1">IF(NOTA[[#This Row],[ID_H]]="","",IF(NOTA[[#This Row],[FAKTUR]]="",INDIRECT(ADDRESS(ROW()-1,COLUMN())),NOTA[[#This Row],[FAKTUR]]))</f>
        <v>ARTO MORO</v>
      </c>
      <c r="AJ472" s="38">
        <f ca="1">IF(NOTA[[#This Row],[ID]]="","",COUNTIF(NOTA[ID_H],NOTA[[#This Row],[ID_H]]))</f>
        <v>11</v>
      </c>
      <c r="AK472" s="38">
        <f>IF(NOTA[[#This Row],[TGL.NOTA]]="",IF(NOTA[[#This Row],[SUPPLIER_H]]="","",AK471),MONTH(NOTA[[#This Row],[TGL.NOTA]]))</f>
        <v>1</v>
      </c>
      <c r="AL472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M472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N472" s="184">
        <f>IF(NOTA[[#This Row],[CONCAT1]]="","",MATCH(NOTA[[#This Row],[CONCAT1]],[1]!db[NB NOTA_C],0)+1)</f>
        <v>1920</v>
      </c>
    </row>
    <row r="473" spans="1:40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Row],[CEK_EXP]]&lt;D472,"err","")</f>
        <v/>
      </c>
      <c r="D473" s="50">
        <f>IF(NOTA[[#This Row],[TANGGAL]]="",D472,NOTA[[#This Row],[TANGGAL]])</f>
        <v>44944</v>
      </c>
      <c r="E473" s="50">
        <f ca="1">IF(NOTA[[#This Row],[NAMA BARANG]]="","",INDEX(NOTA[ID],MATCH(,INDIRECT(ADDRESS(ROW(NOTA[ID]),COLUMN(NOTA[ID]))&amp;":"&amp;ADDRESS(ROW(),COLUMN(NOTA[ID]))),-1)))</f>
        <v>89</v>
      </c>
      <c r="F473" s="80"/>
      <c r="G473" s="26"/>
      <c r="H473" s="26"/>
      <c r="I473" s="31"/>
      <c r="J473" s="82"/>
      <c r="K473" s="81"/>
      <c r="L473" s="26"/>
      <c r="M473" s="26" t="s">
        <v>291</v>
      </c>
      <c r="N473" s="83">
        <v>2</v>
      </c>
      <c r="O473" s="82">
        <v>288</v>
      </c>
      <c r="P473" s="26" t="s">
        <v>104</v>
      </c>
      <c r="Q473" s="84">
        <v>6500</v>
      </c>
      <c r="R473" s="85"/>
      <c r="S473" s="39" t="s">
        <v>271</v>
      </c>
      <c r="T473" s="86">
        <v>0.125</v>
      </c>
      <c r="U473" s="86">
        <v>0.05</v>
      </c>
      <c r="V473" s="87"/>
      <c r="W473" s="37"/>
      <c r="X473" s="54">
        <f>IF(NOTA[[#This Row],[HARGA/ CTN]]="",NOTA[[#This Row],[JUMLAH_H]],NOTA[[#This Row],[HARGA/ CTN]]*IF(NOTA[[#This Row],[C]]="",0,NOTA[[#This Row],[C]]))</f>
        <v>1872000</v>
      </c>
      <c r="Y473" s="54">
        <f>IF(NOTA[[#This Row],[JUMLAH]]="","",NOTA[[#This Row],[JUMLAH]]*NOTA[[#This Row],[DISC 1]])</f>
        <v>234000</v>
      </c>
      <c r="Z473" s="54">
        <f>IF(NOTA[[#This Row],[JUMLAH]]="","",(NOTA[[#This Row],[JUMLAH]]-NOTA[[#This Row],[DISC 1-]])*NOTA[[#This Row],[DISC 2]])</f>
        <v>81900</v>
      </c>
      <c r="AA473" s="54">
        <f>IF(NOTA[[#This Row],[JUMLAH]]="","",NOTA[[#This Row],[DISC 1-]]+NOTA[[#This Row],[DISC 2-]])</f>
        <v>315900</v>
      </c>
      <c r="AB473" s="54">
        <f>IF(NOTA[[#This Row],[JUMLAH]]="","",NOTA[[#This Row],[JUMLAH]]-NOTA[[#This Row],[DISC]])</f>
        <v>1556100</v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73" s="54">
        <f>IF(OR(NOTA[[#This Row],[QTY]]="",NOTA[[#This Row],[HARGA SATUAN]]="",),"",NOTA[[#This Row],[QTY]]*NOTA[[#This Row],[HARGA SATUAN]])</f>
        <v>1872000</v>
      </c>
      <c r="AG473" s="51">
        <f ca="1">IF(NOTA[ID_H]="","",INDEX(NOTA[TANGGAL],MATCH(,INDIRECT(ADDRESS(ROW(NOTA[TANGGAL]),COLUMN(NOTA[TANGGAL]))&amp;":"&amp;ADDRESS(ROW(),COLUMN(NOTA[TANGGAL]))),-1)))</f>
        <v>44944</v>
      </c>
      <c r="AH473" s="65" t="str">
        <f ca="1">IF(NOTA[[#This Row],[NAMA BARANG]]="","",INDEX(NOTA[SUPPLIER],MATCH(,INDIRECT(ADDRESS(ROW(NOTA[ID]),COLUMN(NOTA[ID]))&amp;":"&amp;ADDRESS(ROW(),COLUMN(NOTA[ID]))),-1)))</f>
        <v>ATALI MAKMUR</v>
      </c>
      <c r="AI473" s="65" t="str">
        <f ca="1">IF(NOTA[[#This Row],[ID_H]]="","",IF(NOTA[[#This Row],[FAKTUR]]="",INDIRECT(ADDRESS(ROW()-1,COLUMN())),NOTA[[#This Row],[FAKTUR]]))</f>
        <v>ARTO MORO</v>
      </c>
      <c r="AJ473" s="38" t="str">
        <f ca="1">IF(NOTA[[#This Row],[ID]]="","",COUNTIF(NOTA[ID_H],NOTA[[#This Row],[ID_H]]))</f>
        <v/>
      </c>
      <c r="AK473" s="38">
        <f ca="1">IF(NOTA[[#This Row],[TGL.NOTA]]="",IF(NOTA[[#This Row],[SUPPLIER_H]]="","",AK472),MONTH(NOTA[[#This Row],[TGL.NOTA]]))</f>
        <v>1</v>
      </c>
      <c r="AL473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M473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N473" s="184">
        <f>IF(NOTA[[#This Row],[CONCAT1]]="","",MATCH(NOTA[[#This Row],[CONCAT1]],[1]!db[NB NOTA_C],0)+1)</f>
        <v>1922</v>
      </c>
    </row>
    <row r="474" spans="1:40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Row],[CEK_EXP]]&lt;D473,"err","")</f>
        <v/>
      </c>
      <c r="D474" s="50">
        <f>IF(NOTA[[#This Row],[TANGGAL]]="",D473,NOTA[[#This Row],[TANGGAL]])</f>
        <v>44944</v>
      </c>
      <c r="E474" s="50">
        <f ca="1">IF(NOTA[[#This Row],[NAMA BARANG]]="","",INDEX(NOTA[ID],MATCH(,INDIRECT(ADDRESS(ROW(NOTA[ID]),COLUMN(NOTA[ID]))&amp;":"&amp;ADDRESS(ROW(),COLUMN(NOTA[ID]))),-1)))</f>
        <v>89</v>
      </c>
      <c r="F474" s="23"/>
      <c r="G474" s="26"/>
      <c r="H474" s="26"/>
      <c r="I474" s="31"/>
      <c r="J474" s="26"/>
      <c r="K474" s="51"/>
      <c r="L474" s="26"/>
      <c r="M474" s="26" t="s">
        <v>272</v>
      </c>
      <c r="N474" s="83">
        <v>2</v>
      </c>
      <c r="O474" s="82">
        <v>288</v>
      </c>
      <c r="P474" s="26" t="s">
        <v>104</v>
      </c>
      <c r="Q474" s="84">
        <v>9750</v>
      </c>
      <c r="R474" s="52"/>
      <c r="S474" s="39" t="s">
        <v>271</v>
      </c>
      <c r="T474" s="53">
        <v>0.125</v>
      </c>
      <c r="U474" s="53">
        <v>0.05</v>
      </c>
      <c r="V474" s="54"/>
      <c r="W474" s="37"/>
      <c r="X474" s="54">
        <f>IF(NOTA[[#This Row],[HARGA/ CTN]]="",NOTA[[#This Row],[JUMLAH_H]],NOTA[[#This Row],[HARGA/ CTN]]*IF(NOTA[[#This Row],[C]]="",0,NOTA[[#This Row],[C]]))</f>
        <v>2808000</v>
      </c>
      <c r="Y474" s="54">
        <f>IF(NOTA[[#This Row],[JUMLAH]]="","",NOTA[[#This Row],[JUMLAH]]*NOTA[[#This Row],[DISC 1]])</f>
        <v>351000</v>
      </c>
      <c r="Z474" s="54">
        <f>IF(NOTA[[#This Row],[JUMLAH]]="","",(NOTA[[#This Row],[JUMLAH]]-NOTA[[#This Row],[DISC 1-]])*NOTA[[#This Row],[DISC 2]])</f>
        <v>122850</v>
      </c>
      <c r="AA474" s="54">
        <f>IF(NOTA[[#This Row],[JUMLAH]]="","",NOTA[[#This Row],[DISC 1-]]+NOTA[[#This Row],[DISC 2-]])</f>
        <v>473850</v>
      </c>
      <c r="AB474" s="54">
        <f>IF(NOTA[[#This Row],[JUMLAH]]="","",NOTA[[#This Row],[JUMLAH]]-NOTA[[#This Row],[DISC]])</f>
        <v>2334150</v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74" s="54">
        <f>IF(OR(NOTA[[#This Row],[QTY]]="",NOTA[[#This Row],[HARGA SATUAN]]="",),"",NOTA[[#This Row],[QTY]]*NOTA[[#This Row],[HARGA SATUAN]])</f>
        <v>2808000</v>
      </c>
      <c r="AG474" s="51">
        <f ca="1">IF(NOTA[ID_H]="","",INDEX(NOTA[TANGGAL],MATCH(,INDIRECT(ADDRESS(ROW(NOTA[TANGGAL]),COLUMN(NOTA[TANGGAL]))&amp;":"&amp;ADDRESS(ROW(),COLUMN(NOTA[TANGGAL]))),-1)))</f>
        <v>44944</v>
      </c>
      <c r="AH474" s="65" t="str">
        <f ca="1">IF(NOTA[[#This Row],[NAMA BARANG]]="","",INDEX(NOTA[SUPPLIER],MATCH(,INDIRECT(ADDRESS(ROW(NOTA[ID]),COLUMN(NOTA[ID]))&amp;":"&amp;ADDRESS(ROW(),COLUMN(NOTA[ID]))),-1)))</f>
        <v>ATALI MAKMUR</v>
      </c>
      <c r="AI474" s="65" t="str">
        <f ca="1">IF(NOTA[[#This Row],[ID_H]]="","",IF(NOTA[[#This Row],[FAKTUR]]="",INDIRECT(ADDRESS(ROW()-1,COLUMN())),NOTA[[#This Row],[FAKTUR]]))</f>
        <v>ARTO MORO</v>
      </c>
      <c r="AJ474" s="38" t="str">
        <f ca="1">IF(NOTA[[#This Row],[ID]]="","",COUNTIF(NOTA[ID_H],NOTA[[#This Row],[ID_H]]))</f>
        <v/>
      </c>
      <c r="AK474" s="38">
        <f ca="1">IF(NOTA[[#This Row],[TGL.NOTA]]="",IF(NOTA[[#This Row],[SUPPLIER_H]]="","",AK473),MONTH(NOTA[[#This Row],[TGL.NOTA]]))</f>
        <v>1</v>
      </c>
      <c r="AL474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M474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N474" s="184">
        <f>IF(NOTA[[#This Row],[CONCAT1]]="","",MATCH(NOTA[[#This Row],[CONCAT1]],[1]!db[NB NOTA_C],0)+1)</f>
        <v>1924</v>
      </c>
    </row>
    <row r="475" spans="1:40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Row],[CEK_EXP]]&lt;D474,"err","")</f>
        <v/>
      </c>
      <c r="D475" s="50">
        <f>IF(NOTA[[#This Row],[TANGGAL]]="",D474,NOTA[[#This Row],[TANGGAL]])</f>
        <v>44944</v>
      </c>
      <c r="E475" s="50">
        <f ca="1">IF(NOTA[[#This Row],[NAMA BARANG]]="","",INDEX(NOTA[ID],MATCH(,INDIRECT(ADDRESS(ROW(NOTA[ID]),COLUMN(NOTA[ID]))&amp;":"&amp;ADDRESS(ROW(),COLUMN(NOTA[ID]))),-1)))</f>
        <v>89</v>
      </c>
      <c r="F475" s="23"/>
      <c r="G475" s="26"/>
      <c r="H475" s="26"/>
      <c r="I475" s="31"/>
      <c r="J475" s="26"/>
      <c r="K475" s="51"/>
      <c r="L475" s="26"/>
      <c r="M475" s="26" t="s">
        <v>645</v>
      </c>
      <c r="N475" s="83">
        <v>2</v>
      </c>
      <c r="O475" s="82">
        <v>432</v>
      </c>
      <c r="P475" s="26" t="s">
        <v>128</v>
      </c>
      <c r="Q475" s="84">
        <v>8400</v>
      </c>
      <c r="R475" s="52"/>
      <c r="S475" s="39" t="s">
        <v>264</v>
      </c>
      <c r="T475" s="53">
        <v>0.125</v>
      </c>
      <c r="U475" s="53">
        <v>0.05</v>
      </c>
      <c r="V475" s="54"/>
      <c r="W475" s="37"/>
      <c r="X475" s="54">
        <f>IF(NOTA[[#This Row],[HARGA/ CTN]]="",NOTA[[#This Row],[JUMLAH_H]],NOTA[[#This Row],[HARGA/ CTN]]*IF(NOTA[[#This Row],[C]]="",0,NOTA[[#This Row],[C]]))</f>
        <v>3628800</v>
      </c>
      <c r="Y475" s="54">
        <f>IF(NOTA[[#This Row],[JUMLAH]]="","",NOTA[[#This Row],[JUMLAH]]*NOTA[[#This Row],[DISC 1]])</f>
        <v>453600</v>
      </c>
      <c r="Z475" s="54">
        <f>IF(NOTA[[#This Row],[JUMLAH]]="","",(NOTA[[#This Row],[JUMLAH]]-NOTA[[#This Row],[DISC 1-]])*NOTA[[#This Row],[DISC 2]])</f>
        <v>158760</v>
      </c>
      <c r="AA475" s="54">
        <f>IF(NOTA[[#This Row],[JUMLAH]]="","",NOTA[[#This Row],[DISC 1-]]+NOTA[[#This Row],[DISC 2-]])</f>
        <v>612360</v>
      </c>
      <c r="AB475" s="54">
        <f>IF(NOTA[[#This Row],[JUMLAH]]="","",NOTA[[#This Row],[JUMLAH]]-NOTA[[#This Row],[DISC]])</f>
        <v>3016440</v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75" s="54">
        <f>IF(OR(NOTA[[#This Row],[QTY]]="",NOTA[[#This Row],[HARGA SATUAN]]="",),"",NOTA[[#This Row],[QTY]]*NOTA[[#This Row],[HARGA SATUAN]])</f>
        <v>3628800</v>
      </c>
      <c r="AG475" s="51">
        <f ca="1">IF(NOTA[ID_H]="","",INDEX(NOTA[TANGGAL],MATCH(,INDIRECT(ADDRESS(ROW(NOTA[TANGGAL]),COLUMN(NOTA[TANGGAL]))&amp;":"&amp;ADDRESS(ROW(),COLUMN(NOTA[TANGGAL]))),-1)))</f>
        <v>44944</v>
      </c>
      <c r="AH475" s="49" t="str">
        <f ca="1">IF(NOTA[[#This Row],[NAMA BARANG]]="","",INDEX(NOTA[SUPPLIER],MATCH(,INDIRECT(ADDRESS(ROW(NOTA[ID]),COLUMN(NOTA[ID]))&amp;":"&amp;ADDRESS(ROW(),COLUMN(NOTA[ID]))),-1)))</f>
        <v>ATALI MAKMUR</v>
      </c>
      <c r="AI475" s="49" t="str">
        <f ca="1">IF(NOTA[[#This Row],[ID_H]]="","",IF(NOTA[[#This Row],[FAKTUR]]="",INDIRECT(ADDRESS(ROW()-1,COLUMN())),NOTA[[#This Row],[FAKTUR]]))</f>
        <v>ARTO MORO</v>
      </c>
      <c r="AJ475" s="38" t="str">
        <f ca="1">IF(NOTA[[#This Row],[ID]]="","",COUNTIF(NOTA[ID_H],NOTA[[#This Row],[ID_H]]))</f>
        <v/>
      </c>
      <c r="AK475" s="38">
        <f ca="1">IF(NOTA[[#This Row],[TGL.NOTA]]="",IF(NOTA[[#This Row],[SUPPLIER_H]]="","",AK474),MONTH(NOTA[[#This Row],[TGL.NOTA]]))</f>
        <v>1</v>
      </c>
      <c r="AL475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M475" s="38" t="str">
        <f>IF(NOTA[C]="",NOTA[[#This Row],[CONCAT1]]&amp;NOTA[[#This Row],[HARGA SATUAN]],NOTA[[#This Row],[CONCAT1]]&amp;NOTA[[#This Row],[HARGA/ CTN_H]]&amp;NOTA[[#This Row],[DISC 1]]&amp;NOTA[[#This Row],[DISC 2]])</f>
        <v>colorpencilcp103jk18144000.1250.05</v>
      </c>
      <c r="AN475" s="184">
        <f>IF(NOTA[[#This Row],[CONCAT1]]="","",MATCH(NOTA[[#This Row],[CONCAT1]],[1]!db[NB NOTA_C],0)+1)</f>
        <v>485</v>
      </c>
    </row>
    <row r="476" spans="1:40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Row],[CEK_EXP]]&lt;D475,"err","")</f>
        <v/>
      </c>
      <c r="D476" s="50">
        <f>IF(NOTA[[#This Row],[TANGGAL]]="",D475,NOTA[[#This Row],[TANGGAL]])</f>
        <v>44944</v>
      </c>
      <c r="E476" s="50">
        <f ca="1">IF(NOTA[[#This Row],[NAMA BARANG]]="","",INDEX(NOTA[ID],MATCH(,INDIRECT(ADDRESS(ROW(NOTA[ID]),COLUMN(NOTA[ID]))&amp;":"&amp;ADDRESS(ROW(),COLUMN(NOTA[ID]))),-1)))</f>
        <v>89</v>
      </c>
      <c r="F476" s="23"/>
      <c r="G476" s="26"/>
      <c r="H476" s="26"/>
      <c r="I476" s="31"/>
      <c r="J476" s="26"/>
      <c r="K476" s="51"/>
      <c r="L476" s="26"/>
      <c r="M476" s="26" t="s">
        <v>646</v>
      </c>
      <c r="N476" s="83">
        <v>1</v>
      </c>
      <c r="O476" s="82">
        <v>288</v>
      </c>
      <c r="P476" s="26" t="s">
        <v>128</v>
      </c>
      <c r="Q476" s="84">
        <v>5400</v>
      </c>
      <c r="R476" s="52"/>
      <c r="S476" s="39" t="s">
        <v>647</v>
      </c>
      <c r="T476" s="53">
        <v>0.125</v>
      </c>
      <c r="U476" s="53">
        <v>0.05</v>
      </c>
      <c r="V476" s="54"/>
      <c r="W476" s="37"/>
      <c r="X476" s="54">
        <f>IF(NOTA[[#This Row],[HARGA/ CTN]]="",NOTA[[#This Row],[JUMLAH_H]],NOTA[[#This Row],[HARGA/ CTN]]*IF(NOTA[[#This Row],[C]]="",0,NOTA[[#This Row],[C]]))</f>
        <v>1555200</v>
      </c>
      <c r="Y476" s="54">
        <f>IF(NOTA[[#This Row],[JUMLAH]]="","",NOTA[[#This Row],[JUMLAH]]*NOTA[[#This Row],[DISC 1]])</f>
        <v>194400</v>
      </c>
      <c r="Z476" s="54">
        <f>IF(NOTA[[#This Row],[JUMLAH]]="","",(NOTA[[#This Row],[JUMLAH]]-NOTA[[#This Row],[DISC 1-]])*NOTA[[#This Row],[DISC 2]])</f>
        <v>68040</v>
      </c>
      <c r="AA476" s="54">
        <f>IF(NOTA[[#This Row],[JUMLAH]]="","",NOTA[[#This Row],[DISC 1-]]+NOTA[[#This Row],[DISC 2-]])</f>
        <v>262440</v>
      </c>
      <c r="AB476" s="54">
        <f>IF(NOTA[[#This Row],[JUMLAH]]="","",NOTA[[#This Row],[JUMLAH]]-NOTA[[#This Row],[DISC]])</f>
        <v>1292760</v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476" s="54">
        <f>IF(OR(NOTA[[#This Row],[QTY]]="",NOTA[[#This Row],[HARGA SATUAN]]="",),"",NOTA[[#This Row],[QTY]]*NOTA[[#This Row],[HARGA SATUAN]])</f>
        <v>1555200</v>
      </c>
      <c r="AG476" s="51">
        <f ca="1">IF(NOTA[ID_H]="","",INDEX(NOTA[TANGGAL],MATCH(,INDIRECT(ADDRESS(ROW(NOTA[TANGGAL]),COLUMN(NOTA[TANGGAL]))&amp;":"&amp;ADDRESS(ROW(),COLUMN(NOTA[TANGGAL]))),-1)))</f>
        <v>44944</v>
      </c>
      <c r="AH476" s="49" t="str">
        <f ca="1">IF(NOTA[[#This Row],[NAMA BARANG]]="","",INDEX(NOTA[SUPPLIER],MATCH(,INDIRECT(ADDRESS(ROW(NOTA[ID]),COLUMN(NOTA[ID]))&amp;":"&amp;ADDRESS(ROW(),COLUMN(NOTA[ID]))),-1)))</f>
        <v>ATALI MAKMUR</v>
      </c>
      <c r="AI476" s="49" t="str">
        <f ca="1">IF(NOTA[[#This Row],[ID_H]]="","",IF(NOTA[[#This Row],[FAKTUR]]="",INDIRECT(ADDRESS(ROW()-1,COLUMN())),NOTA[[#This Row],[FAKTUR]]))</f>
        <v>ARTO MORO</v>
      </c>
      <c r="AJ476" s="38" t="str">
        <f ca="1">IF(NOTA[[#This Row],[ID]]="","",COUNTIF(NOTA[ID_H],NOTA[[#This Row],[ID_H]]))</f>
        <v/>
      </c>
      <c r="AK476" s="38">
        <f ca="1">IF(NOTA[[#This Row],[TGL.NOTA]]="",IF(NOTA[[#This Row],[SUPPLIER_H]]="","",AK475),MONTH(NOTA[[#This Row],[TGL.NOTA]]))</f>
        <v>1</v>
      </c>
      <c r="AL476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M476" s="38" t="str">
        <f>IF(NOTA[C]="",NOTA[[#This Row],[CONCAT1]]&amp;NOTA[[#This Row],[HARGA SATUAN]],NOTA[[#This Row],[CONCAT1]]&amp;NOTA[[#This Row],[HARGA/ CTN_H]]&amp;NOTA[[#This Row],[DISC 1]]&amp;NOTA[[#This Row],[DISC 2]])</f>
        <v>colorpencilcp107jk15552000.1250.05</v>
      </c>
      <c r="AN476" s="184">
        <f>IF(NOTA[[#This Row],[CONCAT1]]="","",MATCH(NOTA[[#This Row],[CONCAT1]],[1]!db[NB NOTA_C],0)+1)</f>
        <v>487</v>
      </c>
    </row>
    <row r="477" spans="1:40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Row],[CEK_EXP]]&lt;D476,"err","")</f>
        <v/>
      </c>
      <c r="D477" s="50">
        <f>IF(NOTA[[#This Row],[TANGGAL]]="",D476,NOTA[[#This Row],[TANGGAL]])</f>
        <v>44944</v>
      </c>
      <c r="E477" s="50">
        <f ca="1">IF(NOTA[[#This Row],[NAMA BARANG]]="","",INDEX(NOTA[ID],MATCH(,INDIRECT(ADDRESS(ROW(NOTA[ID]),COLUMN(NOTA[ID]))&amp;":"&amp;ADDRESS(ROW(),COLUMN(NOTA[ID]))),-1)))</f>
        <v>89</v>
      </c>
      <c r="F477" s="23"/>
      <c r="G477" s="26"/>
      <c r="H477" s="26"/>
      <c r="I477" s="31"/>
      <c r="J477" s="26"/>
      <c r="K477" s="51"/>
      <c r="L477" s="51"/>
      <c r="M477" s="26" t="s">
        <v>621</v>
      </c>
      <c r="N477" s="83">
        <v>2</v>
      </c>
      <c r="O477" s="82">
        <v>144</v>
      </c>
      <c r="P477" s="26" t="s">
        <v>128</v>
      </c>
      <c r="Q477" s="84">
        <v>21200</v>
      </c>
      <c r="R477" s="52"/>
      <c r="S477" s="39" t="s">
        <v>622</v>
      </c>
      <c r="T477" s="53">
        <v>0.125</v>
      </c>
      <c r="U477" s="53">
        <v>0.05</v>
      </c>
      <c r="V477" s="54"/>
      <c r="W477" s="37"/>
      <c r="X477" s="54">
        <f>IF(NOTA[[#This Row],[HARGA/ CTN]]="",NOTA[[#This Row],[JUMLAH_H]],NOTA[[#This Row],[HARGA/ CTN]]*IF(NOTA[[#This Row],[C]]="",0,NOTA[[#This Row],[C]]))</f>
        <v>3052800</v>
      </c>
      <c r="Y477" s="54">
        <f>IF(NOTA[[#This Row],[JUMLAH]]="","",NOTA[[#This Row],[JUMLAH]]*NOTA[[#This Row],[DISC 1]])</f>
        <v>381600</v>
      </c>
      <c r="Z477" s="54">
        <f>IF(NOTA[[#This Row],[JUMLAH]]="","",(NOTA[[#This Row],[JUMLAH]]-NOTA[[#This Row],[DISC 1-]])*NOTA[[#This Row],[DISC 2]])</f>
        <v>133560</v>
      </c>
      <c r="AA477" s="54">
        <f>IF(NOTA[[#This Row],[JUMLAH]]="","",NOTA[[#This Row],[DISC 1-]]+NOTA[[#This Row],[DISC 2-]])</f>
        <v>515160</v>
      </c>
      <c r="AB477" s="54">
        <f>IF(NOTA[[#This Row],[JUMLAH]]="","",NOTA[[#This Row],[JUMLAH]]-NOTA[[#This Row],[DISC]])</f>
        <v>2537640</v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77" s="54">
        <f>IF(OR(NOTA[[#This Row],[QTY]]="",NOTA[[#This Row],[HARGA SATUAN]]="",),"",NOTA[[#This Row],[QTY]]*NOTA[[#This Row],[HARGA SATUAN]])</f>
        <v>3052800</v>
      </c>
      <c r="AG477" s="51">
        <f ca="1">IF(NOTA[ID_H]="","",INDEX(NOTA[TANGGAL],MATCH(,INDIRECT(ADDRESS(ROW(NOTA[TANGGAL]),COLUMN(NOTA[TANGGAL]))&amp;":"&amp;ADDRESS(ROW(),COLUMN(NOTA[TANGGAL]))),-1)))</f>
        <v>44944</v>
      </c>
      <c r="AH477" s="49" t="str">
        <f ca="1">IF(NOTA[[#This Row],[NAMA BARANG]]="","",INDEX(NOTA[SUPPLIER],MATCH(,INDIRECT(ADDRESS(ROW(NOTA[ID]),COLUMN(NOTA[ID]))&amp;":"&amp;ADDRESS(ROW(),COLUMN(NOTA[ID]))),-1)))</f>
        <v>ATALI MAKMUR</v>
      </c>
      <c r="AI477" s="49" t="str">
        <f ca="1">IF(NOTA[[#This Row],[ID_H]]="","",IF(NOTA[[#This Row],[FAKTUR]]="",INDIRECT(ADDRESS(ROW()-1,COLUMN())),NOTA[[#This Row],[FAKTUR]]))</f>
        <v>ARTO MORO</v>
      </c>
      <c r="AJ477" s="38" t="str">
        <f ca="1">IF(NOTA[[#This Row],[ID]]="","",COUNTIF(NOTA[ID_H],NOTA[[#This Row],[ID_H]]))</f>
        <v/>
      </c>
      <c r="AK477" s="38">
        <f ca="1">IF(NOTA[[#This Row],[TGL.NOTA]]="",IF(NOTA[[#This Row],[SUPPLIER_H]]="","",AK476),MONTH(NOTA[[#This Row],[TGL.NOTA]]))</f>
        <v>1</v>
      </c>
      <c r="AL4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77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N477" s="184">
        <f>IF(NOTA[[#This Row],[CONCAT1]]="","",MATCH(NOTA[[#This Row],[CONCAT1]],[1]!db[NB NOTA_C],0)+1)</f>
        <v>490</v>
      </c>
    </row>
    <row r="478" spans="1:40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Row],[CEK_EXP]]&lt;D477,"err","")</f>
        <v/>
      </c>
      <c r="D478" s="50">
        <f>IF(NOTA[[#This Row],[TANGGAL]]="",D477,NOTA[[#This Row],[TANGGAL]])</f>
        <v>44944</v>
      </c>
      <c r="E478" s="50">
        <f ca="1">IF(NOTA[[#This Row],[NAMA BARANG]]="","",INDEX(NOTA[ID],MATCH(,INDIRECT(ADDRESS(ROW(NOTA[ID]),COLUMN(NOTA[ID]))&amp;":"&amp;ADDRESS(ROW(),COLUMN(NOTA[ID]))),-1)))</f>
        <v>89</v>
      </c>
      <c r="F478" s="23"/>
      <c r="G478" s="26"/>
      <c r="H478" s="26"/>
      <c r="I478" s="31"/>
      <c r="J478" s="26"/>
      <c r="K478" s="51"/>
      <c r="L478" s="26"/>
      <c r="M478" s="26" t="s">
        <v>648</v>
      </c>
      <c r="N478" s="39">
        <v>2</v>
      </c>
      <c r="O478" s="26">
        <v>288</v>
      </c>
      <c r="P478" s="26" t="s">
        <v>128</v>
      </c>
      <c r="Q478" s="49">
        <v>10600</v>
      </c>
      <c r="R478" s="52"/>
      <c r="S478" s="39" t="s">
        <v>264</v>
      </c>
      <c r="T478" s="53">
        <v>0.125</v>
      </c>
      <c r="U478" s="53">
        <v>0.05</v>
      </c>
      <c r="V478" s="54"/>
      <c r="W478" s="37"/>
      <c r="X478" s="54">
        <f>IF(NOTA[[#This Row],[HARGA/ CTN]]="",NOTA[[#This Row],[JUMLAH_H]],NOTA[[#This Row],[HARGA/ CTN]]*IF(NOTA[[#This Row],[C]]="",0,NOTA[[#This Row],[C]]))</f>
        <v>3052800</v>
      </c>
      <c r="Y478" s="54">
        <f>IF(NOTA[[#This Row],[JUMLAH]]="","",NOTA[[#This Row],[JUMLAH]]*NOTA[[#This Row],[DISC 1]])</f>
        <v>381600</v>
      </c>
      <c r="Z478" s="54">
        <f>IF(NOTA[[#This Row],[JUMLAH]]="","",(NOTA[[#This Row],[JUMLAH]]-NOTA[[#This Row],[DISC 1-]])*NOTA[[#This Row],[DISC 2]])</f>
        <v>133560</v>
      </c>
      <c r="AA478" s="54">
        <f>IF(NOTA[[#This Row],[JUMLAH]]="","",NOTA[[#This Row],[DISC 1-]]+NOTA[[#This Row],[DISC 2-]])</f>
        <v>515160</v>
      </c>
      <c r="AB478" s="54">
        <f>IF(NOTA[[#This Row],[JUMLAH]]="","",NOTA[[#This Row],[JUMLAH]]-NOTA[[#This Row],[DISC]])</f>
        <v>2537640</v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78" s="54">
        <f>IF(OR(NOTA[[#This Row],[QTY]]="",NOTA[[#This Row],[HARGA SATUAN]]="",),"",NOTA[[#This Row],[QTY]]*NOTA[[#This Row],[HARGA SATUAN]])</f>
        <v>3052800</v>
      </c>
      <c r="AG478" s="51">
        <f ca="1">IF(NOTA[ID_H]="","",INDEX(NOTA[TANGGAL],MATCH(,INDIRECT(ADDRESS(ROW(NOTA[TANGGAL]),COLUMN(NOTA[TANGGAL]))&amp;":"&amp;ADDRESS(ROW(),COLUMN(NOTA[TANGGAL]))),-1)))</f>
        <v>44944</v>
      </c>
      <c r="AH478" s="49" t="str">
        <f ca="1">IF(NOTA[[#This Row],[NAMA BARANG]]="","",INDEX(NOTA[SUPPLIER],MATCH(,INDIRECT(ADDRESS(ROW(NOTA[ID]),COLUMN(NOTA[ID]))&amp;":"&amp;ADDRESS(ROW(),COLUMN(NOTA[ID]))),-1)))</f>
        <v>ATALI MAKMUR</v>
      </c>
      <c r="AI478" s="49" t="str">
        <f ca="1">IF(NOTA[[#This Row],[ID_H]]="","",IF(NOTA[[#This Row],[FAKTUR]]="",INDIRECT(ADDRESS(ROW()-1,COLUMN())),NOTA[[#This Row],[FAKTUR]]))</f>
        <v>ARTO MORO</v>
      </c>
      <c r="AJ478" s="38" t="str">
        <f ca="1">IF(NOTA[[#This Row],[ID]]="","",COUNTIF(NOTA[ID_H],NOTA[[#This Row],[ID_H]]))</f>
        <v/>
      </c>
      <c r="AK478" s="38">
        <f ca="1">IF(NOTA[[#This Row],[TGL.NOTA]]="",IF(NOTA[[#This Row],[SUPPLIER_H]]="","",AK477),MONTH(NOTA[[#This Row],[TGL.NOTA]]))</f>
        <v>1</v>
      </c>
      <c r="AL47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78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N478" s="184">
        <f>IF(NOTA[[#This Row],[CONCAT1]]="","",MATCH(NOTA[[#This Row],[CONCAT1]],[1]!db[NB NOTA_C],0)+1)</f>
        <v>488</v>
      </c>
    </row>
    <row r="479" spans="1:40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Row],[CEK_EXP]]&lt;D478,"err","")</f>
        <v/>
      </c>
      <c r="D479" s="50">
        <f>IF(NOTA[[#This Row],[TANGGAL]]="",D478,NOTA[[#This Row],[TANGGAL]])</f>
        <v>44944</v>
      </c>
      <c r="E479" s="50">
        <f ca="1">IF(NOTA[[#This Row],[NAMA BARANG]]="","",INDEX(NOTA[ID],MATCH(,INDIRECT(ADDRESS(ROW(NOTA[ID]),COLUMN(NOTA[ID]))&amp;":"&amp;ADDRESS(ROW(),COLUMN(NOTA[ID]))),-1)))</f>
        <v>89</v>
      </c>
      <c r="F479" s="23"/>
      <c r="G479" s="26"/>
      <c r="H479" s="26"/>
      <c r="I479" s="31"/>
      <c r="J479" s="26"/>
      <c r="K479" s="51"/>
      <c r="L479" s="26"/>
      <c r="M479" s="26" t="s">
        <v>617</v>
      </c>
      <c r="N479" s="39">
        <v>2</v>
      </c>
      <c r="O479" s="26">
        <v>100</v>
      </c>
      <c r="P479" s="26" t="s">
        <v>131</v>
      </c>
      <c r="Q479" s="49">
        <v>32000</v>
      </c>
      <c r="R479" s="52"/>
      <c r="S479" s="39" t="s">
        <v>649</v>
      </c>
      <c r="T479" s="53">
        <v>0.125</v>
      </c>
      <c r="U479" s="53">
        <v>0.05</v>
      </c>
      <c r="V479" s="54"/>
      <c r="W479" s="37"/>
      <c r="X479" s="54">
        <f>IF(NOTA[[#This Row],[HARGA/ CTN]]="",NOTA[[#This Row],[JUMLAH_H]],NOTA[[#This Row],[HARGA/ CTN]]*IF(NOTA[[#This Row],[C]]="",0,NOTA[[#This Row],[C]]))</f>
        <v>3200000</v>
      </c>
      <c r="Y479" s="54">
        <f>IF(NOTA[[#This Row],[JUMLAH]]="","",NOTA[[#This Row],[JUMLAH]]*NOTA[[#This Row],[DISC 1]])</f>
        <v>400000</v>
      </c>
      <c r="Z479" s="54">
        <f>IF(NOTA[[#This Row],[JUMLAH]]="","",(NOTA[[#This Row],[JUMLAH]]-NOTA[[#This Row],[DISC 1-]])*NOTA[[#This Row],[DISC 2]])</f>
        <v>140000</v>
      </c>
      <c r="AA479" s="54">
        <f>IF(NOTA[[#This Row],[JUMLAH]]="","",NOTA[[#This Row],[DISC 1-]]+NOTA[[#This Row],[DISC 2-]])</f>
        <v>540000</v>
      </c>
      <c r="AB479" s="54">
        <f>IF(NOTA[[#This Row],[JUMLAH]]="","",NOTA[[#This Row],[JUMLAH]]-NOTA[[#This Row],[DISC]])</f>
        <v>2660000</v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479" s="54">
        <f>IF(OR(NOTA[[#This Row],[QTY]]="",NOTA[[#This Row],[HARGA SATUAN]]="",),"",NOTA[[#This Row],[QTY]]*NOTA[[#This Row],[HARGA SATUAN]])</f>
        <v>3200000</v>
      </c>
      <c r="AG479" s="51">
        <f ca="1">IF(NOTA[ID_H]="","",INDEX(NOTA[TANGGAL],MATCH(,INDIRECT(ADDRESS(ROW(NOTA[TANGGAL]),COLUMN(NOTA[TANGGAL]))&amp;":"&amp;ADDRESS(ROW(),COLUMN(NOTA[TANGGAL]))),-1)))</f>
        <v>44944</v>
      </c>
      <c r="AH479" s="49" t="str">
        <f ca="1">IF(NOTA[[#This Row],[NAMA BARANG]]="","",INDEX(NOTA[SUPPLIER],MATCH(,INDIRECT(ADDRESS(ROW(NOTA[ID]),COLUMN(NOTA[ID]))&amp;":"&amp;ADDRESS(ROW(),COLUMN(NOTA[ID]))),-1)))</f>
        <v>ATALI MAKMUR</v>
      </c>
      <c r="AI479" s="49" t="str">
        <f ca="1">IF(NOTA[[#This Row],[ID_H]]="","",IF(NOTA[[#This Row],[FAKTUR]]="",INDIRECT(ADDRESS(ROW()-1,COLUMN())),NOTA[[#This Row],[FAKTUR]]))</f>
        <v>ARTO MORO</v>
      </c>
      <c r="AJ479" s="38" t="str">
        <f ca="1">IF(NOTA[[#This Row],[ID]]="","",COUNTIF(NOTA[ID_H],NOTA[[#This Row],[ID_H]]))</f>
        <v/>
      </c>
      <c r="AK479" s="38">
        <f ca="1">IF(NOTA[[#This Row],[TGL.NOTA]]="",IF(NOTA[[#This Row],[SUPPLIER_H]]="","",AK478),MONTH(NOTA[[#This Row],[TGL.NOTA]]))</f>
        <v>1</v>
      </c>
      <c r="AL479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M479" s="38" t="str">
        <f>IF(NOTA[C]="",NOTA[[#This Row],[CONCAT1]]&amp;NOTA[[#This Row],[HARGA SATUAN]],NOTA[[#This Row],[CONCAT1]]&amp;NOTA[[#This Row],[HARGA/ CTN_H]]&amp;NOTA[[#This Row],[DISC 1]]&amp;NOTA[[#This Row],[DISC 2]])</f>
        <v>eraserer30wjk16000000.1250.05</v>
      </c>
      <c r="AN479" s="184">
        <f>IF(NOTA[[#This Row],[CONCAT1]]="","",MATCH(NOTA[[#This Row],[CONCAT1]],[1]!db[NB NOTA_C],0)+1)</f>
        <v>686</v>
      </c>
    </row>
    <row r="480" spans="1:40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Row],[CEK_EXP]]&lt;D479,"err","")</f>
        <v/>
      </c>
      <c r="D480" s="50">
        <f>IF(NOTA[[#This Row],[TANGGAL]]="",D479,NOTA[[#This Row],[TANGGAL]])</f>
        <v>44944</v>
      </c>
      <c r="E480" s="50">
        <f ca="1">IF(NOTA[[#This Row],[NAMA BARANG]]="","",INDEX(NOTA[ID],MATCH(,INDIRECT(ADDRESS(ROW(NOTA[ID]),COLUMN(NOTA[ID]))&amp;":"&amp;ADDRESS(ROW(),COLUMN(NOTA[ID]))),-1)))</f>
        <v>89</v>
      </c>
      <c r="F480" s="23"/>
      <c r="G480" s="26"/>
      <c r="H480" s="26"/>
      <c r="I480" s="31"/>
      <c r="J480" s="26"/>
      <c r="K480" s="51"/>
      <c r="L480" s="26"/>
      <c r="M480" s="26" t="s">
        <v>278</v>
      </c>
      <c r="N480" s="39">
        <v>3</v>
      </c>
      <c r="O480" s="26">
        <v>150</v>
      </c>
      <c r="P480" s="26" t="s">
        <v>131</v>
      </c>
      <c r="Q480" s="49">
        <v>28300</v>
      </c>
      <c r="R480" s="52"/>
      <c r="S480" s="39" t="s">
        <v>279</v>
      </c>
      <c r="T480" s="53">
        <v>0.125</v>
      </c>
      <c r="U480" s="53">
        <v>0.05</v>
      </c>
      <c r="V480" s="54"/>
      <c r="W480" s="37"/>
      <c r="X480" s="54">
        <f>IF(NOTA[[#This Row],[HARGA/ CTN]]="",NOTA[[#This Row],[JUMLAH_H]],NOTA[[#This Row],[HARGA/ CTN]]*IF(NOTA[[#This Row],[C]]="",0,NOTA[[#This Row],[C]]))</f>
        <v>4245000</v>
      </c>
      <c r="Y480" s="54">
        <f>IF(NOTA[[#This Row],[JUMLAH]]="","",NOTA[[#This Row],[JUMLAH]]*NOTA[[#This Row],[DISC 1]])</f>
        <v>530625</v>
      </c>
      <c r="Z480" s="54">
        <f>IF(NOTA[[#This Row],[JUMLAH]]="","",(NOTA[[#This Row],[JUMLAH]]-NOTA[[#This Row],[DISC 1-]])*NOTA[[#This Row],[DISC 2]])</f>
        <v>185718.75</v>
      </c>
      <c r="AA480" s="54">
        <f>IF(NOTA[[#This Row],[JUMLAH]]="","",NOTA[[#This Row],[DISC 1-]]+NOTA[[#This Row],[DISC 2-]])</f>
        <v>716343.75</v>
      </c>
      <c r="AB480" s="54">
        <f>IF(NOTA[[#This Row],[JUMLAH]]="","",NOTA[[#This Row],[JUMLAH]]-NOTA[[#This Row],[DISC]])</f>
        <v>3528656.25</v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80" s="54">
        <f>IF(OR(NOTA[[#This Row],[QTY]]="",NOTA[[#This Row],[HARGA SATUAN]]="",),"",NOTA[[#This Row],[QTY]]*NOTA[[#This Row],[HARGA SATUAN]])</f>
        <v>4245000</v>
      </c>
      <c r="AG480" s="51">
        <f ca="1">IF(NOTA[ID_H]="","",INDEX(NOTA[TANGGAL],MATCH(,INDIRECT(ADDRESS(ROW(NOTA[TANGGAL]),COLUMN(NOTA[TANGGAL]))&amp;":"&amp;ADDRESS(ROW(),COLUMN(NOTA[TANGGAL]))),-1)))</f>
        <v>44944</v>
      </c>
      <c r="AH480" s="49" t="str">
        <f ca="1">IF(NOTA[[#This Row],[NAMA BARANG]]="","",INDEX(NOTA[SUPPLIER],MATCH(,INDIRECT(ADDRESS(ROW(NOTA[ID]),COLUMN(NOTA[ID]))&amp;":"&amp;ADDRESS(ROW(),COLUMN(NOTA[ID]))),-1)))</f>
        <v>ATALI MAKMUR</v>
      </c>
      <c r="AI480" s="49" t="str">
        <f ca="1">IF(NOTA[[#This Row],[ID_H]]="","",IF(NOTA[[#This Row],[FAKTUR]]="",INDIRECT(ADDRESS(ROW()-1,COLUMN())),NOTA[[#This Row],[FAKTUR]]))</f>
        <v>ARTO MORO</v>
      </c>
      <c r="AJ480" s="38" t="str">
        <f ca="1">IF(NOTA[[#This Row],[ID]]="","",COUNTIF(NOTA[ID_H],NOTA[[#This Row],[ID_H]]))</f>
        <v/>
      </c>
      <c r="AK480" s="38">
        <f ca="1">IF(NOTA[[#This Row],[TGL.NOTA]]="",IF(NOTA[[#This Row],[SUPPLIER_H]]="","",AK479),MONTH(NOTA[[#This Row],[TGL.NOTA]]))</f>
        <v>1</v>
      </c>
      <c r="AL4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480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480" s="184">
        <f>IF(NOTA[[#This Row],[CONCAT1]]="","",MATCH(NOTA[[#This Row],[CONCAT1]],[1]!db[NB NOTA_C],0)+1)</f>
        <v>680</v>
      </c>
    </row>
    <row r="481" spans="1:40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Row],[CEK_EXP]]&lt;D480,"err","")</f>
        <v/>
      </c>
      <c r="D481" s="50">
        <f>IF(NOTA[[#This Row],[TANGGAL]]="",D480,NOTA[[#This Row],[TANGGAL]])</f>
        <v>44944</v>
      </c>
      <c r="E481" s="50">
        <f ca="1">IF(NOTA[[#This Row],[NAMA BARANG]]="","",INDEX(NOTA[ID],MATCH(,INDIRECT(ADDRESS(ROW(NOTA[ID]),COLUMN(NOTA[ID]))&amp;":"&amp;ADDRESS(ROW(),COLUMN(NOTA[ID]))),-1)))</f>
        <v>89</v>
      </c>
      <c r="F481" s="23"/>
      <c r="G481" s="26"/>
      <c r="H481" s="26"/>
      <c r="I481" s="31"/>
      <c r="J481" s="26"/>
      <c r="K481" s="51"/>
      <c r="L481" s="26"/>
      <c r="M481" s="26" t="s">
        <v>283</v>
      </c>
      <c r="N481" s="39">
        <v>2</v>
      </c>
      <c r="O481" s="26">
        <v>100</v>
      </c>
      <c r="P481" s="26" t="s">
        <v>131</v>
      </c>
      <c r="Q481" s="49">
        <v>28300</v>
      </c>
      <c r="R481" s="52"/>
      <c r="S481" s="39" t="s">
        <v>279</v>
      </c>
      <c r="T481" s="53">
        <v>0.125</v>
      </c>
      <c r="U481" s="53">
        <v>0.05</v>
      </c>
      <c r="V481" s="54"/>
      <c r="W481" s="37"/>
      <c r="X481" s="54">
        <f>IF(NOTA[[#This Row],[HARGA/ CTN]]="",NOTA[[#This Row],[JUMLAH_H]],NOTA[[#This Row],[HARGA/ CTN]]*IF(NOTA[[#This Row],[C]]="",0,NOTA[[#This Row],[C]]))</f>
        <v>2830000</v>
      </c>
      <c r="Y481" s="54">
        <f>IF(NOTA[[#This Row],[JUMLAH]]="","",NOTA[[#This Row],[JUMLAH]]*NOTA[[#This Row],[DISC 1]])</f>
        <v>353750</v>
      </c>
      <c r="Z481" s="54">
        <f>IF(NOTA[[#This Row],[JUMLAH]]="","",(NOTA[[#This Row],[JUMLAH]]-NOTA[[#This Row],[DISC 1-]])*NOTA[[#This Row],[DISC 2]])</f>
        <v>123812.5</v>
      </c>
      <c r="AA481" s="54">
        <f>IF(NOTA[[#This Row],[JUMLAH]]="","",NOTA[[#This Row],[DISC 1-]]+NOTA[[#This Row],[DISC 2-]])</f>
        <v>477562.5</v>
      </c>
      <c r="AB481" s="54">
        <f>IF(NOTA[[#This Row],[JUMLAH]]="","",NOTA[[#This Row],[JUMLAH]]-NOTA[[#This Row],[DISC]])</f>
        <v>2352437.5</v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81" s="54">
        <f>IF(OR(NOTA[[#This Row],[QTY]]="",NOTA[[#This Row],[HARGA SATUAN]]="",),"",NOTA[[#This Row],[QTY]]*NOTA[[#This Row],[HARGA SATUAN]])</f>
        <v>2830000</v>
      </c>
      <c r="AG481" s="51">
        <f ca="1">IF(NOTA[ID_H]="","",INDEX(NOTA[TANGGAL],MATCH(,INDIRECT(ADDRESS(ROW(NOTA[TANGGAL]),COLUMN(NOTA[TANGGAL]))&amp;":"&amp;ADDRESS(ROW(),COLUMN(NOTA[TANGGAL]))),-1)))</f>
        <v>44944</v>
      </c>
      <c r="AH481" s="49" t="str">
        <f ca="1">IF(NOTA[[#This Row],[NAMA BARANG]]="","",INDEX(NOTA[SUPPLIER],MATCH(,INDIRECT(ADDRESS(ROW(NOTA[ID]),COLUMN(NOTA[ID]))&amp;":"&amp;ADDRESS(ROW(),COLUMN(NOTA[ID]))),-1)))</f>
        <v>ATALI MAKMUR</v>
      </c>
      <c r="AI481" s="49" t="str">
        <f ca="1">IF(NOTA[[#This Row],[ID_H]]="","",IF(NOTA[[#This Row],[FAKTUR]]="",INDIRECT(ADDRESS(ROW()-1,COLUMN())),NOTA[[#This Row],[FAKTUR]]))</f>
        <v>ARTO MORO</v>
      </c>
      <c r="AJ481" s="38" t="str">
        <f ca="1">IF(NOTA[[#This Row],[ID]]="","",COUNTIF(NOTA[ID_H],NOTA[[#This Row],[ID_H]]))</f>
        <v/>
      </c>
      <c r="AK481" s="38">
        <f ca="1">IF(NOTA[[#This Row],[TGL.NOTA]]="",IF(NOTA[[#This Row],[SUPPLIER_H]]="","",AK480),MONTH(NOTA[[#This Row],[TGL.NOTA]]))</f>
        <v>1</v>
      </c>
      <c r="AL481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M481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N481" s="184">
        <f>IF(NOTA[[#This Row],[CONCAT1]]="","",MATCH(NOTA[[#This Row],[CONCAT1]],[1]!db[NB NOTA_C],0)+1)</f>
        <v>679</v>
      </c>
    </row>
    <row r="482" spans="1:40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Row],[CEK_EXP]]&lt;D481,"err","")</f>
        <v/>
      </c>
      <c r="D482" s="50">
        <f>IF(NOTA[[#This Row],[TANGGAL]]="",D481,NOTA[[#This Row],[TANGGAL]])</f>
        <v>44944</v>
      </c>
      <c r="E482" s="50">
        <f ca="1">IF(NOTA[[#This Row],[NAMA BARANG]]="","",INDEX(NOTA[ID],MATCH(,INDIRECT(ADDRESS(ROW(NOTA[ID]),COLUMN(NOTA[ID]))&amp;":"&amp;ADDRESS(ROW(),COLUMN(NOTA[ID]))),-1)))</f>
        <v>89</v>
      </c>
      <c r="F482" s="23"/>
      <c r="G482" s="26"/>
      <c r="H482" s="26"/>
      <c r="I482" s="31"/>
      <c r="J482" s="26"/>
      <c r="K482" s="51"/>
      <c r="L482" s="26"/>
      <c r="M482" s="26" t="s">
        <v>280</v>
      </c>
      <c r="N482" s="39">
        <v>2</v>
      </c>
      <c r="O482" s="26">
        <v>100</v>
      </c>
      <c r="P482" s="26" t="s">
        <v>131</v>
      </c>
      <c r="Q482" s="49">
        <v>34100</v>
      </c>
      <c r="R482" s="52"/>
      <c r="S482" s="39" t="s">
        <v>281</v>
      </c>
      <c r="T482" s="53">
        <v>0.125</v>
      </c>
      <c r="U482" s="53">
        <v>0.05</v>
      </c>
      <c r="V482" s="54"/>
      <c r="W482" s="37"/>
      <c r="X482" s="54">
        <f>IF(NOTA[[#This Row],[HARGA/ CTN]]="",NOTA[[#This Row],[JUMLAH_H]],NOTA[[#This Row],[HARGA/ CTN]]*IF(NOTA[[#This Row],[C]]="",0,NOTA[[#This Row],[C]]))</f>
        <v>3410000</v>
      </c>
      <c r="Y482" s="54">
        <f>IF(NOTA[[#This Row],[JUMLAH]]="","",NOTA[[#This Row],[JUMLAH]]*NOTA[[#This Row],[DISC 1]])</f>
        <v>426250</v>
      </c>
      <c r="Z482" s="54">
        <f>IF(NOTA[[#This Row],[JUMLAH]]="","",(NOTA[[#This Row],[JUMLAH]]-NOTA[[#This Row],[DISC 1-]])*NOTA[[#This Row],[DISC 2]])</f>
        <v>149187.5</v>
      </c>
      <c r="AA482" s="54">
        <f>IF(NOTA[[#This Row],[JUMLAH]]="","",NOTA[[#This Row],[DISC 1-]]+NOTA[[#This Row],[DISC 2-]])</f>
        <v>575437.5</v>
      </c>
      <c r="AB482" s="54">
        <f>IF(NOTA[[#This Row],[JUMLAH]]="","",NOTA[[#This Row],[JUMLAH]]-NOTA[[#This Row],[DISC]])</f>
        <v>2834562.5</v>
      </c>
      <c r="AC4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5215623.75</v>
      </c>
      <c r="AD4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25691776.25</v>
      </c>
      <c r="AE482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82" s="54">
        <f>IF(OR(NOTA[[#This Row],[QTY]]="",NOTA[[#This Row],[HARGA SATUAN]]="",),"",NOTA[[#This Row],[QTY]]*NOTA[[#This Row],[HARGA SATUAN]])</f>
        <v>3410000</v>
      </c>
      <c r="AG482" s="51">
        <f ca="1">IF(NOTA[ID_H]="","",INDEX(NOTA[TANGGAL],MATCH(,INDIRECT(ADDRESS(ROW(NOTA[TANGGAL]),COLUMN(NOTA[TANGGAL]))&amp;":"&amp;ADDRESS(ROW(),COLUMN(NOTA[TANGGAL]))),-1)))</f>
        <v>44944</v>
      </c>
      <c r="AH482" s="49" t="str">
        <f ca="1">IF(NOTA[[#This Row],[NAMA BARANG]]="","",INDEX(NOTA[SUPPLIER],MATCH(,INDIRECT(ADDRESS(ROW(NOTA[ID]),COLUMN(NOTA[ID]))&amp;":"&amp;ADDRESS(ROW(),COLUMN(NOTA[ID]))),-1)))</f>
        <v>ATALI MAKMUR</v>
      </c>
      <c r="AI482" s="49" t="str">
        <f ca="1">IF(NOTA[[#This Row],[ID_H]]="","",IF(NOTA[[#This Row],[FAKTUR]]="",INDIRECT(ADDRESS(ROW()-1,COLUMN())),NOTA[[#This Row],[FAKTUR]]))</f>
        <v>ARTO MORO</v>
      </c>
      <c r="AJ482" s="38" t="str">
        <f ca="1">IF(NOTA[[#This Row],[ID]]="","",COUNTIF(NOTA[ID_H],NOTA[[#This Row],[ID_H]]))</f>
        <v/>
      </c>
      <c r="AK482" s="38">
        <f ca="1">IF(NOTA[[#This Row],[TGL.NOTA]]="",IF(NOTA[[#This Row],[SUPPLIER_H]]="","",AK481),MONTH(NOTA[[#This Row],[TGL.NOTA]]))</f>
        <v>1</v>
      </c>
      <c r="AL482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482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482" s="184">
        <f>IF(NOTA[[#This Row],[CONCAT1]]="","",MATCH(NOTA[[#This Row],[CONCAT1]],[1]!db[NB NOTA_C],0)+1)</f>
        <v>678</v>
      </c>
    </row>
    <row r="483" spans="1:40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Row],[CEK_EXP]]&lt;D482,"err","")</f>
        <v/>
      </c>
      <c r="D483" s="50">
        <f>IF(NOTA[[#This Row],[TANGGAL]]="",D482,NOTA[[#This Row],[TANGGAL]])</f>
        <v>44944</v>
      </c>
      <c r="E483" s="50" t="str">
        <f ca="1">IF(NOTA[[#This Row],[NAMA BARANG]]="","",INDEX(NOTA[ID],MATCH(,INDIRECT(ADDRESS(ROW(NOTA[ID]),COLUMN(NOTA[ID]))&amp;":"&amp;ADDRESS(ROW(),COLUMN(NOTA[ID]))),-1)))</f>
        <v/>
      </c>
      <c r="F483" s="23"/>
      <c r="G483" s="26"/>
      <c r="H483" s="26"/>
      <c r="I483" s="31"/>
      <c r="J483" s="26"/>
      <c r="K483" s="51"/>
      <c r="L483" s="26"/>
      <c r="M483" s="26"/>
      <c r="N483" s="39"/>
      <c r="O483" s="26"/>
      <c r="P483" s="26"/>
      <c r="Q483" s="49"/>
      <c r="R483" s="52"/>
      <c r="S483" s="39"/>
      <c r="T483" s="53"/>
      <c r="U483" s="53"/>
      <c r="V483" s="54"/>
      <c r="W483" s="37"/>
      <c r="X483" s="54" t="str">
        <f>IF(NOTA[[#This Row],[HARGA/ CTN]]="",NOTA[[#This Row],[JUMLAH_H]],NOTA[[#This Row],[HARGA/ CTN]]*IF(NOTA[[#This Row],[C]]="",0,NOTA[[#This Row],[C]]))</f>
        <v/>
      </c>
      <c r="Y483" s="54" t="str">
        <f>IF(NOTA[[#This Row],[JUMLAH]]="","",NOTA[[#This Row],[JUMLAH]]*NOTA[[#This Row],[DISC 1]])</f>
        <v/>
      </c>
      <c r="Z483" s="54" t="str">
        <f>IF(NOTA[[#This Row],[JUMLAH]]="","",(NOTA[[#This Row],[JUMLAH]]-NOTA[[#This Row],[DISC 1-]])*NOTA[[#This Row],[DISC 2]])</f>
        <v/>
      </c>
      <c r="AA483" s="54" t="str">
        <f>IF(NOTA[[#This Row],[JUMLAH]]="","",NOTA[[#This Row],[DISC 1-]]+NOTA[[#This Row],[DISC 2-]])</f>
        <v/>
      </c>
      <c r="AB483" s="54" t="str">
        <f>IF(NOTA[[#This Row],[JUMLAH]]="","",NOTA[[#This Row],[JUMLAH]]-NOTA[[#This Row],[DISC]])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54" t="str">
        <f>IF(OR(NOTA[[#This Row],[QTY]]="",NOTA[[#This Row],[HARGA SATUAN]]="",),"",NOTA[[#This Row],[QTY]]*NOTA[[#This Row],[HARGA SATUAN]])</f>
        <v/>
      </c>
      <c r="AG483" s="51" t="str">
        <f ca="1">IF(NOTA[ID_H]="","",INDEX(NOTA[TANGGAL],MATCH(,INDIRECT(ADDRESS(ROW(NOTA[TANGGAL]),COLUMN(NOTA[TANGGAL]))&amp;":"&amp;ADDRESS(ROW(),COLUMN(NOTA[TANGGAL]))),-1)))</f>
        <v/>
      </c>
      <c r="AH483" s="49" t="str">
        <f ca="1">IF(NOTA[[#This Row],[NAMA BARANG]]="","",INDEX(NOTA[SUPPLIER],MATCH(,INDIRECT(ADDRESS(ROW(NOTA[ID]),COLUMN(NOTA[ID]))&amp;":"&amp;ADDRESS(ROW(),COLUMN(NOTA[ID]))),-1)))</f>
        <v/>
      </c>
      <c r="AI483" s="49" t="str">
        <f ca="1">IF(NOTA[[#This Row],[ID_H]]="","",IF(NOTA[[#This Row],[FAKTUR]]="",INDIRECT(ADDRESS(ROW()-1,COLUMN())),NOTA[[#This Row],[FAKTUR]]))</f>
        <v/>
      </c>
      <c r="AJ483" s="38" t="str">
        <f ca="1">IF(NOTA[[#This Row],[ID]]="","",COUNTIF(NOTA[ID_H],NOTA[[#This Row],[ID_H]]))</f>
        <v/>
      </c>
      <c r="AK483" s="38" t="str">
        <f ca="1">IF(NOTA[[#This Row],[TGL.NOTA]]="",IF(NOTA[[#This Row],[SUPPLIER_H]]="","",AK482),MONTH(NOTA[[#This Row],[TGL.NOTA]]))</f>
        <v/>
      </c>
      <c r="AL483" s="38" t="str">
        <f>LOWER(SUBSTITUTE(SUBSTITUTE(SUBSTITUTE(SUBSTITUTE(SUBSTITUTE(SUBSTITUTE(SUBSTITUTE(SUBSTITUTE(SUBSTITUTE(NOTA[NAMA BARANG]," ",),".",""),"-",""),"(",""),")",""),",",""),"/",""),"""",""),"+",""))</f>
        <v/>
      </c>
      <c r="AM483" s="38" t="str">
        <f>IF(NOTA[C]="",NOTA[[#This Row],[CONCAT1]]&amp;NOTA[[#This Row],[HARGA SATUAN]],NOTA[[#This Row],[CONCAT1]]&amp;NOTA[[#This Row],[HARGA/ CTN_H]]&amp;NOTA[[#This Row],[DISC 1]]&amp;NOTA[[#This Row],[DISC 2]])</f>
        <v/>
      </c>
      <c r="AN483" s="184" t="str">
        <f>IF(NOTA[[#This Row],[CONCAT1]]="","",MATCH(NOTA[[#This Row],[CONCAT1]],[1]!db[NB NOTA_C],0)+1)</f>
        <v/>
      </c>
    </row>
    <row r="484" spans="1:40" ht="20.100000000000001" customHeight="1" x14ac:dyDescent="0.25">
      <c r="A484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ATA_1801_824-10</v>
      </c>
      <c r="C484" s="50" t="str">
        <f>IF(NOTA[[#This Row],[CEK_EXP]]&lt;D483,"err","")</f>
        <v/>
      </c>
      <c r="D484" s="50">
        <f>IF(NOTA[[#This Row],[TANGGAL]]="",D483,NOTA[[#This Row],[TANGGAL]])</f>
        <v>44944</v>
      </c>
      <c r="E484" s="50">
        <f ca="1">IF(NOTA[[#This Row],[NAMA BARANG]]="","",INDEX(NOTA[ID],MATCH(,INDIRECT(ADDRESS(ROW(NOTA[ID]),COLUMN(NOTA[ID]))&amp;":"&amp;ADDRESS(ROW(),COLUMN(NOTA[ID]))),-1)))</f>
        <v>90</v>
      </c>
      <c r="F484" s="23"/>
      <c r="G484" s="26" t="s">
        <v>25</v>
      </c>
      <c r="H484" s="26" t="s">
        <v>24</v>
      </c>
      <c r="I484" s="31" t="s">
        <v>650</v>
      </c>
      <c r="J484" s="26"/>
      <c r="K484" s="51">
        <v>44939</v>
      </c>
      <c r="L484" s="26"/>
      <c r="M484" s="26" t="s">
        <v>651</v>
      </c>
      <c r="N484" s="39">
        <v>1</v>
      </c>
      <c r="O484" s="26">
        <v>48</v>
      </c>
      <c r="P484" s="26" t="s">
        <v>652</v>
      </c>
      <c r="Q484" s="49">
        <v>23000</v>
      </c>
      <c r="R484" s="52"/>
      <c r="S484" s="39" t="s">
        <v>653</v>
      </c>
      <c r="T484" s="53">
        <v>0.125</v>
      </c>
      <c r="U484" s="53">
        <v>0.05</v>
      </c>
      <c r="V484" s="54"/>
      <c r="W484" s="37"/>
      <c r="X484" s="54">
        <f>IF(NOTA[[#This Row],[HARGA/ CTN]]="",NOTA[[#This Row],[JUMLAH_H]],NOTA[[#This Row],[HARGA/ CTN]]*IF(NOTA[[#This Row],[C]]="",0,NOTA[[#This Row],[C]]))</f>
        <v>1104000</v>
      </c>
      <c r="Y484" s="54">
        <f>IF(NOTA[[#This Row],[JUMLAH]]="","",NOTA[[#This Row],[JUMLAH]]*NOTA[[#This Row],[DISC 1]])</f>
        <v>138000</v>
      </c>
      <c r="Z484" s="54">
        <f>IF(NOTA[[#This Row],[JUMLAH]]="","",(NOTA[[#This Row],[JUMLAH]]-NOTA[[#This Row],[DISC 1-]])*NOTA[[#This Row],[DISC 2]])</f>
        <v>48300</v>
      </c>
      <c r="AA484" s="54">
        <f>IF(NOTA[[#This Row],[JUMLAH]]="","",NOTA[[#This Row],[DISC 1-]]+NOTA[[#This Row],[DISC 2-]])</f>
        <v>186300</v>
      </c>
      <c r="AB484" s="54">
        <f>IF(NOTA[[#This Row],[JUMLAH]]="","",NOTA[[#This Row],[JUMLAH]]-NOTA[[#This Row],[DISC]])</f>
        <v>917700</v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484" s="54">
        <f>IF(OR(NOTA[[#This Row],[QTY]]="",NOTA[[#This Row],[HARGA SATUAN]]="",),"",NOTA[[#This Row],[QTY]]*NOTA[[#This Row],[HARGA SATUAN]])</f>
        <v>1104000</v>
      </c>
      <c r="AG484" s="51">
        <f ca="1">IF(NOTA[ID_H]="","",INDEX(NOTA[TANGGAL],MATCH(,INDIRECT(ADDRESS(ROW(NOTA[TANGGAL]),COLUMN(NOTA[TANGGAL]))&amp;":"&amp;ADDRESS(ROW(),COLUMN(NOTA[TANGGAL]))),-1)))</f>
        <v>44944</v>
      </c>
      <c r="AH484" s="49" t="str">
        <f ca="1">IF(NOTA[[#This Row],[NAMA BARANG]]="","",INDEX(NOTA[SUPPLIER],MATCH(,INDIRECT(ADDRESS(ROW(NOTA[ID]),COLUMN(NOTA[ID]))&amp;":"&amp;ADDRESS(ROW(),COLUMN(NOTA[ID]))),-1)))</f>
        <v>ATALI MAKMUR</v>
      </c>
      <c r="AI484" s="49" t="str">
        <f ca="1">IF(NOTA[[#This Row],[ID_H]]="","",IF(NOTA[[#This Row],[FAKTUR]]="",INDIRECT(ADDRESS(ROW()-1,COLUMN())),NOTA[[#This Row],[FAKTUR]]))</f>
        <v>ARTO MORO</v>
      </c>
      <c r="AJ484" s="38">
        <f ca="1">IF(NOTA[[#This Row],[ID]]="","",COUNTIF(NOTA[ID_H],NOTA[[#This Row],[ID_H]]))</f>
        <v>10</v>
      </c>
      <c r="AK484" s="38">
        <f>IF(NOTA[[#This Row],[TGL.NOTA]]="",IF(NOTA[[#This Row],[SUPPLIER_H]]="","",AK483),MONTH(NOTA[[#This Row],[TGL.NOTA]]))</f>
        <v>1</v>
      </c>
      <c r="AL484" s="38" t="str">
        <f>LOWER(SUBSTITUTE(SUBSTITUTE(SUBSTITUTE(SUBSTITUTE(SUBSTITUTE(SUBSTITUTE(SUBSTITUTE(SUBSTITUTE(SUBSTITUTE(NOTA[NAMA BARANG]," ",),".",""),"-",""),"(",""),")",""),",",""),"/",""),"""",""),"+",""))</f>
        <v>keyringkr9jk</v>
      </c>
      <c r="AM484" s="38" t="str">
        <f>IF(NOTA[C]="",NOTA[[#This Row],[CONCAT1]]&amp;NOTA[[#This Row],[HARGA SATUAN]],NOTA[[#This Row],[CONCAT1]]&amp;NOTA[[#This Row],[HARGA/ CTN_H]]&amp;NOTA[[#This Row],[DISC 1]]&amp;NOTA[[#This Row],[DISC 2]])</f>
        <v>keyringkr9jk11040000.1250.05</v>
      </c>
      <c r="AN484" s="184">
        <f>IF(NOTA[[#This Row],[CONCAT1]]="","",MATCH(NOTA[[#This Row],[CONCAT1]],[1]!db[NB NOTA_C],0)+1)</f>
        <v>1326</v>
      </c>
    </row>
    <row r="485" spans="1:40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Row],[CEK_EXP]]&lt;D484,"err","")</f>
        <v/>
      </c>
      <c r="D485" s="50">
        <f>IF(NOTA[[#This Row],[TANGGAL]]="",D484,NOTA[[#This Row],[TANGGAL]])</f>
        <v>44944</v>
      </c>
      <c r="E485" s="50">
        <f ca="1">IF(NOTA[[#This Row],[NAMA BARANG]]="","",INDEX(NOTA[ID],MATCH(,INDIRECT(ADDRESS(ROW(NOTA[ID]),COLUMN(NOTA[ID]))&amp;":"&amp;ADDRESS(ROW(),COLUMN(NOTA[ID]))),-1)))</f>
        <v>90</v>
      </c>
      <c r="F485" s="23"/>
      <c r="G485" s="26"/>
      <c r="H485" s="26"/>
      <c r="I485" s="31"/>
      <c r="J485" s="26"/>
      <c r="K485" s="51"/>
      <c r="L485" s="26"/>
      <c r="M485" s="26" t="s">
        <v>654</v>
      </c>
      <c r="N485" s="39">
        <v>1</v>
      </c>
      <c r="O485" s="26">
        <v>288</v>
      </c>
      <c r="P485" s="26" t="s">
        <v>104</v>
      </c>
      <c r="Q485" s="49">
        <v>4000</v>
      </c>
      <c r="R485" s="52"/>
      <c r="S485" s="39" t="s">
        <v>494</v>
      </c>
      <c r="T485" s="53">
        <v>0.125</v>
      </c>
      <c r="U485" s="53">
        <v>0.05</v>
      </c>
      <c r="V485" s="54"/>
      <c r="W485" s="37"/>
      <c r="X485" s="54">
        <f>IF(NOTA[[#This Row],[HARGA/ CTN]]="",NOTA[[#This Row],[JUMLAH_H]],NOTA[[#This Row],[HARGA/ CTN]]*IF(NOTA[[#This Row],[C]]="",0,NOTA[[#This Row],[C]]))</f>
        <v>1152000</v>
      </c>
      <c r="Y485" s="54">
        <f>IF(NOTA[[#This Row],[JUMLAH]]="","",NOTA[[#This Row],[JUMLAH]]*NOTA[[#This Row],[DISC 1]])</f>
        <v>144000</v>
      </c>
      <c r="Z485" s="54">
        <f>IF(NOTA[[#This Row],[JUMLAH]]="","",(NOTA[[#This Row],[JUMLAH]]-NOTA[[#This Row],[DISC 1-]])*NOTA[[#This Row],[DISC 2]])</f>
        <v>50400</v>
      </c>
      <c r="AA485" s="54">
        <f>IF(NOTA[[#This Row],[JUMLAH]]="","",NOTA[[#This Row],[DISC 1-]]+NOTA[[#This Row],[DISC 2-]])</f>
        <v>194400</v>
      </c>
      <c r="AB485" s="54">
        <f>IF(NOTA[[#This Row],[JUMLAH]]="","",NOTA[[#This Row],[JUMLAH]]-NOTA[[#This Row],[DISC]])</f>
        <v>957600</v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85" s="54">
        <f>IF(OR(NOTA[[#This Row],[QTY]]="",NOTA[[#This Row],[HARGA SATUAN]]="",),"",NOTA[[#This Row],[QTY]]*NOTA[[#This Row],[HARGA SATUAN]])</f>
        <v>1152000</v>
      </c>
      <c r="AG485" s="51">
        <f ca="1">IF(NOTA[ID_H]="","",INDEX(NOTA[TANGGAL],MATCH(,INDIRECT(ADDRESS(ROW(NOTA[TANGGAL]),COLUMN(NOTA[TANGGAL]))&amp;":"&amp;ADDRESS(ROW(),COLUMN(NOTA[TANGGAL]))),-1)))</f>
        <v>44944</v>
      </c>
      <c r="AH485" s="49" t="str">
        <f ca="1">IF(NOTA[[#This Row],[NAMA BARANG]]="","",INDEX(NOTA[SUPPLIER],MATCH(,INDIRECT(ADDRESS(ROW(NOTA[ID]),COLUMN(NOTA[ID]))&amp;":"&amp;ADDRESS(ROW(),COLUMN(NOTA[ID]))),-1)))</f>
        <v>ATALI MAKMUR</v>
      </c>
      <c r="AI485" s="49" t="str">
        <f ca="1">IF(NOTA[[#This Row],[ID_H]]="","",IF(NOTA[[#This Row],[FAKTUR]]="",INDIRECT(ADDRESS(ROW()-1,COLUMN())),NOTA[[#This Row],[FAKTUR]]))</f>
        <v>ARTO MORO</v>
      </c>
      <c r="AJ485" s="38" t="str">
        <f ca="1">IF(NOTA[[#This Row],[ID]]="","",COUNTIF(NOTA[ID_H],NOTA[[#This Row],[ID_H]]))</f>
        <v/>
      </c>
      <c r="AK485" s="38">
        <f ca="1">IF(NOTA[[#This Row],[TGL.NOTA]]="",IF(NOTA[[#This Row],[SUPPLIER_H]]="","",AK484),MONTH(NOTA[[#This Row],[TGL.NOTA]]))</f>
        <v>1</v>
      </c>
      <c r="AL485" s="38" t="str">
        <f>LOWER(SUBSTITUTE(SUBSTITUTE(SUBSTITUTE(SUBSTITUTE(SUBSTITUTE(SUBSTITUTE(SUBSTITUTE(SUBSTITUTE(SUBSTITUTE(NOTA[NAMA BARANG]," ",),".",""),"-",""),"(",""),")",""),",",""),"/",""),"""",""),"+",""))</f>
        <v>pencilcasepc0618fz1adfruitzy</v>
      </c>
      <c r="AM485" s="38" t="str">
        <f>IF(NOTA[C]="",NOTA[[#This Row],[CONCAT1]]&amp;NOTA[[#This Row],[HARGA SATUAN]],NOTA[[#This Row],[CONCAT1]]&amp;NOTA[[#This Row],[HARGA/ CTN_H]]&amp;NOTA[[#This Row],[DISC 1]]&amp;NOTA[[#This Row],[DISC 2]])</f>
        <v>pencilcasepc0618fz1adfruitzy11520000.1250.05</v>
      </c>
      <c r="AN485" s="184">
        <f>IF(NOTA[[#This Row],[CONCAT1]]="","",MATCH(NOTA[[#This Row],[CONCAT1]],[1]!db[NB NOTA_C],0)+1)</f>
        <v>1740</v>
      </c>
    </row>
    <row r="486" spans="1:40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Row],[CEK_EXP]]&lt;D485,"err","")</f>
        <v/>
      </c>
      <c r="D486" s="50">
        <f>IF(NOTA[[#This Row],[TANGGAL]]="",D485,NOTA[[#This Row],[TANGGAL]])</f>
        <v>44944</v>
      </c>
      <c r="E486" s="50">
        <f ca="1">IF(NOTA[[#This Row],[NAMA BARANG]]="","",INDEX(NOTA[ID],MATCH(,INDIRECT(ADDRESS(ROW(NOTA[ID]),COLUMN(NOTA[ID]))&amp;":"&amp;ADDRESS(ROW(),COLUMN(NOTA[ID]))),-1)))</f>
        <v>90</v>
      </c>
      <c r="F486" s="23"/>
      <c r="G486" s="26"/>
      <c r="H486" s="26"/>
      <c r="I486" s="31"/>
      <c r="J486" s="26"/>
      <c r="K486" s="51"/>
      <c r="L486" s="26"/>
      <c r="M486" s="26" t="s">
        <v>426</v>
      </c>
      <c r="N486" s="39">
        <v>1</v>
      </c>
      <c r="O486" s="26">
        <v>72</v>
      </c>
      <c r="P486" s="26" t="s">
        <v>116</v>
      </c>
      <c r="Q486" s="49">
        <v>37200</v>
      </c>
      <c r="R486" s="52"/>
      <c r="S486" s="39" t="s">
        <v>655</v>
      </c>
      <c r="T486" s="53">
        <v>0.125</v>
      </c>
      <c r="U486" s="53">
        <v>0.05</v>
      </c>
      <c r="V486" s="54"/>
      <c r="W486" s="37"/>
      <c r="X486" s="54">
        <f>IF(NOTA[[#This Row],[HARGA/ CTN]]="",NOTA[[#This Row],[JUMLAH_H]],NOTA[[#This Row],[HARGA/ CTN]]*IF(NOTA[[#This Row],[C]]="",0,NOTA[[#This Row],[C]]))</f>
        <v>2678400</v>
      </c>
      <c r="Y486" s="54">
        <f>IF(NOTA[[#This Row],[JUMLAH]]="","",NOTA[[#This Row],[JUMLAH]]*NOTA[[#This Row],[DISC 1]])</f>
        <v>334800</v>
      </c>
      <c r="Z486" s="54">
        <f>IF(NOTA[[#This Row],[JUMLAH]]="","",(NOTA[[#This Row],[JUMLAH]]-NOTA[[#This Row],[DISC 1-]])*NOTA[[#This Row],[DISC 2]])</f>
        <v>117180</v>
      </c>
      <c r="AA486" s="54">
        <f>IF(NOTA[[#This Row],[JUMLAH]]="","",NOTA[[#This Row],[DISC 1-]]+NOTA[[#This Row],[DISC 2-]])</f>
        <v>451980</v>
      </c>
      <c r="AB486" s="54">
        <f>IF(NOTA[[#This Row],[JUMLAH]]="","",NOTA[[#This Row],[JUMLAH]]-NOTA[[#This Row],[DISC]])</f>
        <v>2226420</v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6" s="54">
        <f>IF(OR(NOTA[[#This Row],[QTY]]="",NOTA[[#This Row],[HARGA SATUAN]]="",),"",NOTA[[#This Row],[QTY]]*NOTA[[#This Row],[HARGA SATUAN]])</f>
        <v>2678400</v>
      </c>
      <c r="AG486" s="51">
        <f ca="1">IF(NOTA[ID_H]="","",INDEX(NOTA[TANGGAL],MATCH(,INDIRECT(ADDRESS(ROW(NOTA[TANGGAL]),COLUMN(NOTA[TANGGAL]))&amp;":"&amp;ADDRESS(ROW(),COLUMN(NOTA[TANGGAL]))),-1)))</f>
        <v>44944</v>
      </c>
      <c r="AH486" s="49" t="str">
        <f ca="1">IF(NOTA[[#This Row],[NAMA BARANG]]="","",INDEX(NOTA[SUPPLIER],MATCH(,INDIRECT(ADDRESS(ROW(NOTA[ID]),COLUMN(NOTA[ID]))&amp;":"&amp;ADDRESS(ROW(),COLUMN(NOTA[ID]))),-1)))</f>
        <v>ATALI MAKMUR</v>
      </c>
      <c r="AI486" s="49" t="str">
        <f ca="1">IF(NOTA[[#This Row],[ID_H]]="","",IF(NOTA[[#This Row],[FAKTUR]]="",INDIRECT(ADDRESS(ROW()-1,COLUMN())),NOTA[[#This Row],[FAKTUR]]))</f>
        <v>ARTO MORO</v>
      </c>
      <c r="AJ486" s="38" t="str">
        <f ca="1">IF(NOTA[[#This Row],[ID]]="","",COUNTIF(NOTA[ID_H],NOTA[[#This Row],[ID_H]]))</f>
        <v/>
      </c>
      <c r="AK486" s="38">
        <f ca="1">IF(NOTA[[#This Row],[TGL.NOTA]]="",IF(NOTA[[#This Row],[SUPPLIER_H]]="","",AK485),MONTH(NOTA[[#This Row],[TGL.NOTA]]))</f>
        <v>1</v>
      </c>
      <c r="AL486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86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N486" s="184">
        <f>IF(NOTA[[#This Row],[CONCAT1]]="","",MATCH(NOTA[[#This Row],[CONCAT1]],[1]!db[NB NOTA_C],0)+1)</f>
        <v>1762</v>
      </c>
    </row>
    <row r="487" spans="1:40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Row],[CEK_EXP]]&lt;D486,"err","")</f>
        <v/>
      </c>
      <c r="D487" s="50">
        <f>IF(NOTA[[#This Row],[TANGGAL]]="",D486,NOTA[[#This Row],[TANGGAL]])</f>
        <v>44944</v>
      </c>
      <c r="E487" s="50">
        <f ca="1">IF(NOTA[[#This Row],[NAMA BARANG]]="","",INDEX(NOTA[ID],MATCH(,INDIRECT(ADDRESS(ROW(NOTA[ID]),COLUMN(NOTA[ID]))&amp;":"&amp;ADDRESS(ROW(),COLUMN(NOTA[ID]))),-1)))</f>
        <v>90</v>
      </c>
      <c r="F487" s="23"/>
      <c r="G487" s="26"/>
      <c r="H487" s="26"/>
      <c r="I487" s="31"/>
      <c r="J487" s="26"/>
      <c r="K487" s="51"/>
      <c r="L487" s="26"/>
      <c r="M487" s="26" t="s">
        <v>656</v>
      </c>
      <c r="N487" s="39">
        <v>1</v>
      </c>
      <c r="O487" s="26">
        <v>144</v>
      </c>
      <c r="P487" s="26" t="s">
        <v>104</v>
      </c>
      <c r="Q487" s="49">
        <v>7200</v>
      </c>
      <c r="R487" s="52"/>
      <c r="S487" s="39" t="s">
        <v>271</v>
      </c>
      <c r="T487" s="53">
        <v>0.125</v>
      </c>
      <c r="U487" s="53">
        <v>0.05</v>
      </c>
      <c r="V487" s="54"/>
      <c r="W487" s="37"/>
      <c r="X487" s="54">
        <f>IF(NOTA[[#This Row],[HARGA/ CTN]]="",NOTA[[#This Row],[JUMLAH_H]],NOTA[[#This Row],[HARGA/ CTN]]*IF(NOTA[[#This Row],[C]]="",0,NOTA[[#This Row],[C]]))</f>
        <v>1036800</v>
      </c>
      <c r="Y487" s="54">
        <f>IF(NOTA[[#This Row],[JUMLAH]]="","",NOTA[[#This Row],[JUMLAH]]*NOTA[[#This Row],[DISC 1]])</f>
        <v>129600</v>
      </c>
      <c r="Z487" s="54">
        <f>IF(NOTA[[#This Row],[JUMLAH]]="","",(NOTA[[#This Row],[JUMLAH]]-NOTA[[#This Row],[DISC 1-]])*NOTA[[#This Row],[DISC 2]])</f>
        <v>45360</v>
      </c>
      <c r="AA487" s="54">
        <f>IF(NOTA[[#This Row],[JUMLAH]]="","",NOTA[[#This Row],[DISC 1-]]+NOTA[[#This Row],[DISC 2-]])</f>
        <v>174960</v>
      </c>
      <c r="AB487" s="54">
        <f>IF(NOTA[[#This Row],[JUMLAH]]="","",NOTA[[#This Row],[JUMLAH]]-NOTA[[#This Row],[DISC]])</f>
        <v>861840</v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9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487" s="54">
        <f>IF(OR(NOTA[[#This Row],[QTY]]="",NOTA[[#This Row],[HARGA SATUAN]]="",),"",NOTA[[#This Row],[QTY]]*NOTA[[#This Row],[HARGA SATUAN]])</f>
        <v>1036800</v>
      </c>
      <c r="AG487" s="51">
        <f ca="1">IF(NOTA[ID_H]="","",INDEX(NOTA[TANGGAL],MATCH(,INDIRECT(ADDRESS(ROW(NOTA[TANGGAL]),COLUMN(NOTA[TANGGAL]))&amp;":"&amp;ADDRESS(ROW(),COLUMN(NOTA[TANGGAL]))),-1)))</f>
        <v>44944</v>
      </c>
      <c r="AH487" s="49" t="str">
        <f ca="1">IF(NOTA[[#This Row],[NAMA BARANG]]="","",INDEX(NOTA[SUPPLIER],MATCH(,INDIRECT(ADDRESS(ROW(NOTA[ID]),COLUMN(NOTA[ID]))&amp;":"&amp;ADDRESS(ROW(),COLUMN(NOTA[ID]))),-1)))</f>
        <v>ATALI MAKMUR</v>
      </c>
      <c r="AI487" s="49" t="str">
        <f ca="1">IF(NOTA[[#This Row],[ID_H]]="","",IF(NOTA[[#This Row],[FAKTUR]]="",INDIRECT(ADDRESS(ROW()-1,COLUMN())),NOTA[[#This Row],[FAKTUR]]))</f>
        <v>ARTO MORO</v>
      </c>
      <c r="AJ487" s="38" t="str">
        <f ca="1">IF(NOTA[[#This Row],[ID]]="","",COUNTIF(NOTA[ID_H],NOTA[[#This Row],[ID_H]]))</f>
        <v/>
      </c>
      <c r="AK487" s="38">
        <f ca="1">IF(NOTA[[#This Row],[TGL.NOTA]]="",IF(NOTA[[#This Row],[SUPPLIER_H]]="","",AK486),MONTH(NOTA[[#This Row],[TGL.NOTA]]))</f>
        <v>1</v>
      </c>
      <c r="AL487" s="38" t="str">
        <f>LOWER(SUBSTITUTE(SUBSTITUTE(SUBSTITUTE(SUBSTITUTE(SUBSTITUTE(SUBSTITUTE(SUBSTITUTE(SUBSTITUTE(SUBSTITUTE(NOTA[NAMA BARANG]," ",),".",""),"-",""),"(",""),")",""),",",""),"/",""),"""",""),"+",""))</f>
        <v>scissorsc12jk</v>
      </c>
      <c r="AM487" s="38" t="str">
        <f>IF(NOTA[C]="",NOTA[[#This Row],[CONCAT1]]&amp;NOTA[[#This Row],[HARGA SATUAN]],NOTA[[#This Row],[CONCAT1]]&amp;NOTA[[#This Row],[HARGA/ CTN_H]]&amp;NOTA[[#This Row],[DISC 1]]&amp;NOTA[[#This Row],[DISC 2]])</f>
        <v>scissorsc12jk10368000.1250.05</v>
      </c>
      <c r="AN487" s="184">
        <f>IF(NOTA[[#This Row],[CONCAT1]]="","",MATCH(NOTA[[#This Row],[CONCAT1]],[1]!db[NB NOTA_C],0)+1)</f>
        <v>1917</v>
      </c>
    </row>
    <row r="488" spans="1:40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Row],[CEK_EXP]]&lt;D487,"err","")</f>
        <v/>
      </c>
      <c r="D488" s="50">
        <f>IF(NOTA[[#This Row],[TANGGAL]]="",D487,NOTA[[#This Row],[TANGGAL]])</f>
        <v>44944</v>
      </c>
      <c r="E488" s="50">
        <f ca="1">IF(NOTA[[#This Row],[NAMA BARANG]]="","",INDEX(NOTA[ID],MATCH(,INDIRECT(ADDRESS(ROW(NOTA[ID]),COLUMN(NOTA[ID]))&amp;":"&amp;ADDRESS(ROW(),COLUMN(NOTA[ID]))),-1)))</f>
        <v>90</v>
      </c>
      <c r="F488" s="23"/>
      <c r="G488" s="26"/>
      <c r="H488" s="26"/>
      <c r="I488" s="31"/>
      <c r="J488" s="26"/>
      <c r="K488" s="51"/>
      <c r="L488" s="26"/>
      <c r="M488" s="26" t="s">
        <v>657</v>
      </c>
      <c r="N488" s="39">
        <v>1</v>
      </c>
      <c r="O488" s="26">
        <v>60</v>
      </c>
      <c r="P488" s="26" t="s">
        <v>131</v>
      </c>
      <c r="Q488" s="49">
        <v>31500</v>
      </c>
      <c r="R488" s="52"/>
      <c r="S488" s="39" t="s">
        <v>490</v>
      </c>
      <c r="T488" s="53">
        <v>0.125</v>
      </c>
      <c r="U488" s="53">
        <v>0.05</v>
      </c>
      <c r="V488" s="54"/>
      <c r="W488" s="37"/>
      <c r="X488" s="54">
        <f>IF(NOTA[[#This Row],[HARGA/ CTN]]="",NOTA[[#This Row],[JUMLAH_H]],NOTA[[#This Row],[HARGA/ CTN]]*IF(NOTA[[#This Row],[C]]="",0,NOTA[[#This Row],[C]]))</f>
        <v>1890000</v>
      </c>
      <c r="Y488" s="54">
        <f>IF(NOTA[[#This Row],[JUMLAH]]="","",NOTA[[#This Row],[JUMLAH]]*NOTA[[#This Row],[DISC 1]])</f>
        <v>236250</v>
      </c>
      <c r="Z488" s="54">
        <f>IF(NOTA[[#This Row],[JUMLAH]]="","",(NOTA[[#This Row],[JUMLAH]]-NOTA[[#This Row],[DISC 1-]])*NOTA[[#This Row],[DISC 2]])</f>
        <v>82687.5</v>
      </c>
      <c r="AA488" s="54">
        <f>IF(NOTA[[#This Row],[JUMLAH]]="","",NOTA[[#This Row],[DISC 1-]]+NOTA[[#This Row],[DISC 2-]])</f>
        <v>318937.5</v>
      </c>
      <c r="AB488" s="54">
        <f>IF(NOTA[[#This Row],[JUMLAH]]="","",NOTA[[#This Row],[JUMLAH]]-NOTA[[#This Row],[DISC]])</f>
        <v>1571062.5</v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9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488" s="54">
        <f>IF(OR(NOTA[[#This Row],[QTY]]="",NOTA[[#This Row],[HARGA SATUAN]]="",),"",NOTA[[#This Row],[QTY]]*NOTA[[#This Row],[HARGA SATUAN]])</f>
        <v>1890000</v>
      </c>
      <c r="AG488" s="51">
        <f ca="1">IF(NOTA[ID_H]="","",INDEX(NOTA[TANGGAL],MATCH(,INDIRECT(ADDRESS(ROW(NOTA[TANGGAL]),COLUMN(NOTA[TANGGAL]))&amp;":"&amp;ADDRESS(ROW(),COLUMN(NOTA[TANGGAL]))),-1)))</f>
        <v>44944</v>
      </c>
      <c r="AH488" s="49" t="str">
        <f ca="1">IF(NOTA[[#This Row],[NAMA BARANG]]="","",INDEX(NOTA[SUPPLIER],MATCH(,INDIRECT(ADDRESS(ROW(NOTA[ID]),COLUMN(NOTA[ID]))&amp;":"&amp;ADDRESS(ROW(),COLUMN(NOTA[ID]))),-1)))</f>
        <v>ATALI MAKMUR</v>
      </c>
      <c r="AI488" s="49" t="str">
        <f ca="1">IF(NOTA[[#This Row],[ID_H]]="","",IF(NOTA[[#This Row],[FAKTUR]]="",INDIRECT(ADDRESS(ROW()-1,COLUMN())),NOTA[[#This Row],[FAKTUR]]))</f>
        <v>ARTO MORO</v>
      </c>
      <c r="AJ488" s="38" t="str">
        <f ca="1">IF(NOTA[[#This Row],[ID]]="","",COUNTIF(NOTA[ID_H],NOTA[[#This Row],[ID_H]]))</f>
        <v/>
      </c>
      <c r="AK488" s="38">
        <f ca="1">IF(NOTA[[#This Row],[TGL.NOTA]]="",IF(NOTA[[#This Row],[SUPPLIER_H]]="","",AK487),MONTH(NOTA[[#This Row],[TGL.NOTA]]))</f>
        <v>1</v>
      </c>
      <c r="AL488" s="38" t="str">
        <f>LOWER(SUBSTITUTE(SUBSTITUTE(SUBSTITUTE(SUBSTITUTE(SUBSTITUTE(SUBSTITUTE(SUBSTITUTE(SUBSTITUTE(SUBSTITUTE(NOTA[NAMA BARANG]," ",),".",""),"-",""),"(",""),")",""),",",""),"/",""),"""",""),"+",""))</f>
        <v>sharpenerb24ptljk</v>
      </c>
      <c r="AM488" s="38" t="str">
        <f>IF(NOTA[C]="",NOTA[[#This Row],[CONCAT1]]&amp;NOTA[[#This Row],[HARGA SATUAN]],NOTA[[#This Row],[CONCAT1]]&amp;NOTA[[#This Row],[HARGA/ CTN_H]]&amp;NOTA[[#This Row],[DISC 1]]&amp;NOTA[[#This Row],[DISC 2]])</f>
        <v>sharpenerb24ptljk18900000.1250.05</v>
      </c>
      <c r="AN488" s="184">
        <f>IF(NOTA[[#This Row],[CONCAT1]]="","",MATCH(NOTA[[#This Row],[CONCAT1]],[1]!db[NB NOTA_C],0)+1)</f>
        <v>1961</v>
      </c>
    </row>
    <row r="489" spans="1:40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Row],[CEK_EXP]]&lt;D488,"err","")</f>
        <v/>
      </c>
      <c r="D489" s="50">
        <f>IF(NOTA[[#This Row],[TANGGAL]]="",D488,NOTA[[#This Row],[TANGGAL]])</f>
        <v>44944</v>
      </c>
      <c r="E489" s="50">
        <f ca="1">IF(NOTA[[#This Row],[NAMA BARANG]]="","",INDEX(NOTA[ID],MATCH(,INDIRECT(ADDRESS(ROW(NOTA[ID]),COLUMN(NOTA[ID]))&amp;":"&amp;ADDRESS(ROW(),COLUMN(NOTA[ID]))),-1)))</f>
        <v>90</v>
      </c>
      <c r="F489" s="23"/>
      <c r="G489" s="26"/>
      <c r="H489" s="26"/>
      <c r="I489" s="31"/>
      <c r="J489" s="26"/>
      <c r="K489" s="51"/>
      <c r="L489" s="26"/>
      <c r="M489" s="26" t="s">
        <v>438</v>
      </c>
      <c r="N489" s="39">
        <v>2</v>
      </c>
      <c r="O489" s="26">
        <v>1000</v>
      </c>
      <c r="P489" s="26" t="s">
        <v>131</v>
      </c>
      <c r="Q489" s="49">
        <v>1625</v>
      </c>
      <c r="R489" s="52"/>
      <c r="S489" s="39" t="s">
        <v>479</v>
      </c>
      <c r="T489" s="53">
        <v>0.125</v>
      </c>
      <c r="U489" s="53">
        <v>0.05</v>
      </c>
      <c r="V489" s="54"/>
      <c r="W489" s="37"/>
      <c r="X489" s="54">
        <f>IF(NOTA[[#This Row],[HARGA/ CTN]]="",NOTA[[#This Row],[JUMLAH_H]],NOTA[[#This Row],[HARGA/ CTN]]*IF(NOTA[[#This Row],[C]]="",0,NOTA[[#This Row],[C]]))</f>
        <v>1625000</v>
      </c>
      <c r="Y489" s="54">
        <f>IF(NOTA[[#This Row],[JUMLAH]]="","",NOTA[[#This Row],[JUMLAH]]*NOTA[[#This Row],[DISC 1]])</f>
        <v>203125</v>
      </c>
      <c r="Z489" s="54">
        <f>IF(NOTA[[#This Row],[JUMLAH]]="","",(NOTA[[#This Row],[JUMLAH]]-NOTA[[#This Row],[DISC 1-]])*NOTA[[#This Row],[DISC 2]])</f>
        <v>71093.75</v>
      </c>
      <c r="AA489" s="54">
        <f>IF(NOTA[[#This Row],[JUMLAH]]="","",NOTA[[#This Row],[DISC 1-]]+NOTA[[#This Row],[DISC 2-]])</f>
        <v>274218.75</v>
      </c>
      <c r="AB489" s="54">
        <f>IF(NOTA[[#This Row],[JUMLAH]]="","",NOTA[[#This Row],[JUMLAH]]-NOTA[[#This Row],[DISC]])</f>
        <v>1350781.25</v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489" s="54">
        <f>IF(OR(NOTA[[#This Row],[QTY]]="",NOTA[[#This Row],[HARGA SATUAN]]="",),"",NOTA[[#This Row],[QTY]]*NOTA[[#This Row],[HARGA SATUAN]])</f>
        <v>1625000</v>
      </c>
      <c r="AG489" s="51">
        <f ca="1">IF(NOTA[ID_H]="","",INDEX(NOTA[TANGGAL],MATCH(,INDIRECT(ADDRESS(ROW(NOTA[TANGGAL]),COLUMN(NOTA[TANGGAL]))&amp;":"&amp;ADDRESS(ROW(),COLUMN(NOTA[TANGGAL]))),-1)))</f>
        <v>44944</v>
      </c>
      <c r="AH489" s="49" t="str">
        <f ca="1">IF(NOTA[[#This Row],[NAMA BARANG]]="","",INDEX(NOTA[SUPPLIER],MATCH(,INDIRECT(ADDRESS(ROW(NOTA[ID]),COLUMN(NOTA[ID]))&amp;":"&amp;ADDRESS(ROW(),COLUMN(NOTA[ID]))),-1)))</f>
        <v>ATALI MAKMUR</v>
      </c>
      <c r="AI489" s="49" t="str">
        <f ca="1">IF(NOTA[[#This Row],[ID_H]]="","",IF(NOTA[[#This Row],[FAKTUR]]="",INDIRECT(ADDRESS(ROW()-1,COLUMN())),NOTA[[#This Row],[FAKTUR]]))</f>
        <v>ARTO MORO</v>
      </c>
      <c r="AJ489" s="38" t="str">
        <f ca="1">IF(NOTA[[#This Row],[ID]]="","",COUNTIF(NOTA[ID_H],NOTA[[#This Row],[ID_H]]))</f>
        <v/>
      </c>
      <c r="AK489" s="38">
        <f ca="1">IF(NOTA[[#This Row],[TGL.NOTA]]="",IF(NOTA[[#This Row],[SUPPLIER_H]]="","",AK488),MONTH(NOTA[[#This Row],[TGL.NOTA]]))</f>
        <v>1</v>
      </c>
      <c r="AL489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489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N489" s="184">
        <f>IF(NOTA[[#This Row],[CONCAT1]]="","",MATCH(NOTA[[#This Row],[CONCAT1]],[1]!db[NB NOTA_C],0)+1)</f>
        <v>2090</v>
      </c>
    </row>
    <row r="490" spans="1:40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Row],[CEK_EXP]]&lt;D489,"err","")</f>
        <v/>
      </c>
      <c r="D490" s="50">
        <f>IF(NOTA[[#This Row],[TANGGAL]]="",D489,NOTA[[#This Row],[TANGGAL]])</f>
        <v>44944</v>
      </c>
      <c r="E490" s="50">
        <f ca="1">IF(NOTA[[#This Row],[NAMA BARANG]]="","",INDEX(NOTA[ID],MATCH(,INDIRECT(ADDRESS(ROW(NOTA[ID]),COLUMN(NOTA[ID]))&amp;":"&amp;ADDRESS(ROW(),COLUMN(NOTA[ID]))),-1)))</f>
        <v>90</v>
      </c>
      <c r="F490" s="23"/>
      <c r="G490" s="26"/>
      <c r="H490" s="26"/>
      <c r="I490" s="31"/>
      <c r="J490" s="26"/>
      <c r="K490" s="51"/>
      <c r="L490" s="26"/>
      <c r="M490" s="26" t="s">
        <v>658</v>
      </c>
      <c r="N490" s="39">
        <v>1</v>
      </c>
      <c r="O490" s="26">
        <v>480</v>
      </c>
      <c r="P490" s="26" t="s">
        <v>104</v>
      </c>
      <c r="Q490" s="49">
        <v>8500</v>
      </c>
      <c r="R490" s="52"/>
      <c r="S490" s="39" t="s">
        <v>659</v>
      </c>
      <c r="T490" s="53">
        <v>0.125</v>
      </c>
      <c r="U490" s="53">
        <v>0.05</v>
      </c>
      <c r="V490" s="54"/>
      <c r="W490" s="37"/>
      <c r="X490" s="54">
        <f>IF(NOTA[[#This Row],[HARGA/ CTN]]="",NOTA[[#This Row],[JUMLAH_H]],NOTA[[#This Row],[HARGA/ CTN]]*IF(NOTA[[#This Row],[C]]="",0,NOTA[[#This Row],[C]]))</f>
        <v>4080000</v>
      </c>
      <c r="Y490" s="54">
        <f>IF(NOTA[[#This Row],[JUMLAH]]="","",NOTA[[#This Row],[JUMLAH]]*NOTA[[#This Row],[DISC 1]])</f>
        <v>510000</v>
      </c>
      <c r="Z490" s="54">
        <f>IF(NOTA[[#This Row],[JUMLAH]]="","",(NOTA[[#This Row],[JUMLAH]]-NOTA[[#This Row],[DISC 1-]])*NOTA[[#This Row],[DISC 2]])</f>
        <v>178500</v>
      </c>
      <c r="AA490" s="54">
        <f>IF(NOTA[[#This Row],[JUMLAH]]="","",NOTA[[#This Row],[DISC 1-]]+NOTA[[#This Row],[DISC 2-]])</f>
        <v>688500</v>
      </c>
      <c r="AB490" s="54">
        <f>IF(NOTA[[#This Row],[JUMLAH]]="","",NOTA[[#This Row],[JUMLAH]]-NOTA[[#This Row],[DISC]])</f>
        <v>3391500</v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490" s="54">
        <f>IF(OR(NOTA[[#This Row],[QTY]]="",NOTA[[#This Row],[HARGA SATUAN]]="",),"",NOTA[[#This Row],[QTY]]*NOTA[[#This Row],[HARGA SATUAN]])</f>
        <v>4080000</v>
      </c>
      <c r="AG490" s="51">
        <f ca="1">IF(NOTA[ID_H]="","",INDEX(NOTA[TANGGAL],MATCH(,INDIRECT(ADDRESS(ROW(NOTA[TANGGAL]),COLUMN(NOTA[TANGGAL]))&amp;":"&amp;ADDRESS(ROW(),COLUMN(NOTA[TANGGAL]))),-1)))</f>
        <v>44944</v>
      </c>
      <c r="AH490" s="49" t="str">
        <f ca="1">IF(NOTA[[#This Row],[NAMA BARANG]]="","",INDEX(NOTA[SUPPLIER],MATCH(,INDIRECT(ADDRESS(ROW(NOTA[ID]),COLUMN(NOTA[ID]))&amp;":"&amp;ADDRESS(ROW(),COLUMN(NOTA[ID]))),-1)))</f>
        <v>ATALI MAKMUR</v>
      </c>
      <c r="AI490" s="49" t="str">
        <f ca="1">IF(NOTA[[#This Row],[ID_H]]="","",IF(NOTA[[#This Row],[FAKTUR]]="",INDIRECT(ADDRESS(ROW()-1,COLUMN())),NOTA[[#This Row],[FAKTUR]]))</f>
        <v>ARTO MORO</v>
      </c>
      <c r="AJ490" s="38" t="str">
        <f ca="1">IF(NOTA[[#This Row],[ID]]="","",COUNTIF(NOTA[ID_H],NOTA[[#This Row],[ID_H]]))</f>
        <v/>
      </c>
      <c r="AK490" s="38">
        <f ca="1">IF(NOTA[[#This Row],[TGL.NOTA]]="",IF(NOTA[[#This Row],[SUPPLIER_H]]="","",AK489),MONTH(NOTA[[#This Row],[TGL.NOTA]]))</f>
        <v>1</v>
      </c>
      <c r="AL490" s="38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M490" s="38" t="str">
        <f>IF(NOTA[C]="",NOTA[[#This Row],[CONCAT1]]&amp;NOTA[[#This Row],[HARGA SATUAN]],NOTA[[#This Row],[CONCAT1]]&amp;NOTA[[#This Row],[HARGA/ CTN_H]]&amp;NOTA[[#This Row],[DISC 1]]&amp;NOTA[[#This Row],[DISC 2]])</f>
        <v>correctiontapect533jk40800000.1250.05</v>
      </c>
      <c r="AN490" s="184">
        <f>IF(NOTA[[#This Row],[CONCAT1]]="","",MATCH(NOTA[[#This Row],[CONCAT1]],[1]!db[NB NOTA_C],0)+1)</f>
        <v>524</v>
      </c>
    </row>
    <row r="491" spans="1:40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Row],[CEK_EXP]]&lt;D490,"err","")</f>
        <v/>
      </c>
      <c r="D491" s="50">
        <f>IF(NOTA[[#This Row],[TANGGAL]]="",D490,NOTA[[#This Row],[TANGGAL]])</f>
        <v>44944</v>
      </c>
      <c r="E491" s="50">
        <f ca="1">IF(NOTA[[#This Row],[NAMA BARANG]]="","",INDEX(NOTA[ID],MATCH(,INDIRECT(ADDRESS(ROW(NOTA[ID]),COLUMN(NOTA[ID]))&amp;":"&amp;ADDRESS(ROW(),COLUMN(NOTA[ID]))),-1)))</f>
        <v>90</v>
      </c>
      <c r="F491" s="23"/>
      <c r="G491" s="26"/>
      <c r="H491" s="26"/>
      <c r="I491" s="31"/>
      <c r="J491" s="26"/>
      <c r="K491" s="51"/>
      <c r="L491" s="26"/>
      <c r="M491" s="26" t="s">
        <v>660</v>
      </c>
      <c r="N491" s="39">
        <v>1</v>
      </c>
      <c r="O491" s="26">
        <v>20</v>
      </c>
      <c r="P491" s="26" t="s">
        <v>116</v>
      </c>
      <c r="Q491" s="49">
        <v>108900</v>
      </c>
      <c r="R491" s="52"/>
      <c r="S491" s="39" t="s">
        <v>452</v>
      </c>
      <c r="T491" s="53">
        <v>0.125</v>
      </c>
      <c r="U491" s="53">
        <v>0.05</v>
      </c>
      <c r="V491" s="54"/>
      <c r="W491" s="37"/>
      <c r="X491" s="54">
        <f>IF(NOTA[[#This Row],[HARGA/ CTN]]="",NOTA[[#This Row],[JUMLAH_H]],NOTA[[#This Row],[HARGA/ CTN]]*IF(NOTA[[#This Row],[C]]="",0,NOTA[[#This Row],[C]]))</f>
        <v>2178000</v>
      </c>
      <c r="Y491" s="54">
        <f>IF(NOTA[[#This Row],[JUMLAH]]="","",NOTA[[#This Row],[JUMLAH]]*NOTA[[#This Row],[DISC 1]])</f>
        <v>272250</v>
      </c>
      <c r="Z491" s="54">
        <f>IF(NOTA[[#This Row],[JUMLAH]]="","",(NOTA[[#This Row],[JUMLAH]]-NOTA[[#This Row],[DISC 1-]])*NOTA[[#This Row],[DISC 2]])</f>
        <v>95287.5</v>
      </c>
      <c r="AA491" s="54">
        <f>IF(NOTA[[#This Row],[JUMLAH]]="","",NOTA[[#This Row],[DISC 1-]]+NOTA[[#This Row],[DISC 2-]])</f>
        <v>367537.5</v>
      </c>
      <c r="AB491" s="54">
        <f>IF(NOTA[[#This Row],[JUMLAH]]="","",NOTA[[#This Row],[JUMLAH]]-NOTA[[#This Row],[DISC]])</f>
        <v>1810462.5</v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9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491" s="54">
        <f>IF(OR(NOTA[[#This Row],[QTY]]="",NOTA[[#This Row],[HARGA SATUAN]]="",),"",NOTA[[#This Row],[QTY]]*NOTA[[#This Row],[HARGA SATUAN]])</f>
        <v>2178000</v>
      </c>
      <c r="AG491" s="51">
        <f ca="1">IF(NOTA[ID_H]="","",INDEX(NOTA[TANGGAL],MATCH(,INDIRECT(ADDRESS(ROW(NOTA[TANGGAL]),COLUMN(NOTA[TANGGAL]))&amp;":"&amp;ADDRESS(ROW(),COLUMN(NOTA[TANGGAL]))),-1)))</f>
        <v>44944</v>
      </c>
      <c r="AH491" s="49" t="str">
        <f ca="1">IF(NOTA[[#This Row],[NAMA BARANG]]="","",INDEX(NOTA[SUPPLIER],MATCH(,INDIRECT(ADDRESS(ROW(NOTA[ID]),COLUMN(NOTA[ID]))&amp;":"&amp;ADDRESS(ROW(),COLUMN(NOTA[ID]))),-1)))</f>
        <v>ATALI MAKMUR</v>
      </c>
      <c r="AI491" s="49" t="str">
        <f ca="1">IF(NOTA[[#This Row],[ID_H]]="","",IF(NOTA[[#This Row],[FAKTUR]]="",INDIRECT(ADDRESS(ROW()-1,COLUMN())),NOTA[[#This Row],[FAKTUR]]))</f>
        <v>ARTO MORO</v>
      </c>
      <c r="AJ491" s="38" t="str">
        <f ca="1">IF(NOTA[[#This Row],[ID]]="","",COUNTIF(NOTA[ID_H],NOTA[[#This Row],[ID_H]]))</f>
        <v/>
      </c>
      <c r="AK491" s="38">
        <f ca="1">IF(NOTA[[#This Row],[TGL.NOTA]]="",IF(NOTA[[#This Row],[SUPPLIER_H]]="","",AK490),MONTH(NOTA[[#This Row],[TGL.NOTA]]))</f>
        <v>1</v>
      </c>
      <c r="AL491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M491" s="38" t="str">
        <f>IF(NOTA[C]="",NOTA[[#This Row],[CONCAT1]]&amp;NOTA[[#This Row],[HARGA SATUAN]],NOTA[[#This Row],[CONCAT1]]&amp;NOTA[[#This Row],[HARGA/ CTN_H]]&amp;NOTA[[#This Row],[DISC 1]]&amp;NOTA[[#This Row],[DISC 2]])</f>
        <v>bulldogclip6145jk21780000.1250.05</v>
      </c>
      <c r="AN491" s="184">
        <f>IF(NOTA[[#This Row],[CONCAT1]]="","",MATCH(NOTA[[#This Row],[CONCAT1]],[1]!db[NB NOTA_C],0)+1)</f>
        <v>376</v>
      </c>
    </row>
    <row r="492" spans="1:40" ht="20.100000000000001" customHeight="1" x14ac:dyDescent="0.25">
      <c r="A49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93" t="str">
        <f>IF(NOTA[[#This Row],[CEK_EXP]]&lt;D491,"err","")</f>
        <v/>
      </c>
      <c r="D492" s="93">
        <f>IF(NOTA[[#This Row],[TANGGAL]]="",D491,NOTA[[#This Row],[TANGGAL]])</f>
        <v>44944</v>
      </c>
      <c r="E492" s="93">
        <f ca="1">IF(NOTA[[#This Row],[NAMA BARANG]]="","",INDEX(NOTA[ID],MATCH(,INDIRECT(ADDRESS(ROW(NOTA[ID]),COLUMN(NOTA[ID]))&amp;":"&amp;ADDRESS(ROW(),COLUMN(NOTA[ID]))),-1)))</f>
        <v>90</v>
      </c>
      <c r="F492" s="80"/>
      <c r="G492" s="26"/>
      <c r="H492" s="26"/>
      <c r="I492" s="31"/>
      <c r="J492" s="26"/>
      <c r="K492" s="81"/>
      <c r="L492" s="82"/>
      <c r="M492" s="26" t="s">
        <v>661</v>
      </c>
      <c r="N492" s="83">
        <v>1</v>
      </c>
      <c r="O492" s="82">
        <v>24</v>
      </c>
      <c r="P492" s="26" t="s">
        <v>104</v>
      </c>
      <c r="Q492" s="84">
        <v>16500</v>
      </c>
      <c r="R492" s="85"/>
      <c r="S492" s="39" t="s">
        <v>130</v>
      </c>
      <c r="T492" s="86">
        <v>0.125</v>
      </c>
      <c r="U492" s="86">
        <v>0.05</v>
      </c>
      <c r="V492" s="87"/>
      <c r="W492" s="37"/>
      <c r="X492" s="87">
        <f>IF(NOTA[[#This Row],[HARGA/ CTN]]="",NOTA[[#This Row],[JUMLAH_H]],NOTA[[#This Row],[HARGA/ CTN]]*IF(NOTA[[#This Row],[C]]="",0,NOTA[[#This Row],[C]]))</f>
        <v>396000</v>
      </c>
      <c r="Y492" s="87">
        <f>IF(NOTA[[#This Row],[JUMLAH]]="","",NOTA[[#This Row],[JUMLAH]]*NOTA[[#This Row],[DISC 1]])</f>
        <v>49500</v>
      </c>
      <c r="Z492" s="87">
        <f>IF(NOTA[[#This Row],[JUMLAH]]="","",(NOTA[[#This Row],[JUMLAH]]-NOTA[[#This Row],[DISC 1-]])*NOTA[[#This Row],[DISC 2]])</f>
        <v>17325</v>
      </c>
      <c r="AA492" s="87">
        <f>IF(NOTA[[#This Row],[JUMLAH]]="","",NOTA[[#This Row],[DISC 1-]]+NOTA[[#This Row],[DISC 2-]])</f>
        <v>66825</v>
      </c>
      <c r="AB492" s="87">
        <f>IF(NOTA[[#This Row],[JUMLAH]]="","",NOTA[[#This Row],[JUMLAH]]-NOTA[[#This Row],[DISC]])</f>
        <v>329175</v>
      </c>
      <c r="AC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84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2" s="87">
        <f>IF(OR(NOTA[[#This Row],[QTY]]="",NOTA[[#This Row],[HARGA SATUAN]]="",),"",NOTA[[#This Row],[QTY]]*NOTA[[#This Row],[HARGA SATUAN]])</f>
        <v>396000</v>
      </c>
      <c r="AG492" s="81">
        <f ca="1">IF(NOTA[ID_H]="","",INDEX(NOTA[TANGGAL],MATCH(,INDIRECT(ADDRESS(ROW(NOTA[TANGGAL]),COLUMN(NOTA[TANGGAL]))&amp;":"&amp;ADDRESS(ROW(),COLUMN(NOTA[TANGGAL]))),-1)))</f>
        <v>44944</v>
      </c>
      <c r="AH492" s="84" t="str">
        <f ca="1">IF(NOTA[[#This Row],[NAMA BARANG]]="","",INDEX(NOTA[SUPPLIER],MATCH(,INDIRECT(ADDRESS(ROW(NOTA[ID]),COLUMN(NOTA[ID]))&amp;":"&amp;ADDRESS(ROW(),COLUMN(NOTA[ID]))),-1)))</f>
        <v>ATALI MAKMUR</v>
      </c>
      <c r="AI492" s="84" t="str">
        <f ca="1">IF(NOTA[[#This Row],[ID_H]]="","",IF(NOTA[[#This Row],[FAKTUR]]="",INDIRECT(ADDRESS(ROW()-1,COLUMN())),NOTA[[#This Row],[FAKTUR]]))</f>
        <v>ARTO MORO</v>
      </c>
      <c r="AJ492" s="38" t="str">
        <f ca="1">IF(NOTA[[#This Row],[ID]]="","",COUNTIF(NOTA[ID_H],NOTA[[#This Row],[ID_H]]))</f>
        <v/>
      </c>
      <c r="AK492" s="38">
        <f ca="1">IF(NOTA[[#This Row],[TGL.NOTA]]="",IF(NOTA[[#This Row],[SUPPLIER_H]]="","",AK491),MONTH(NOTA[[#This Row],[TGL.NOTA]]))</f>
        <v>1</v>
      </c>
      <c r="AL492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M492" s="38" t="str">
        <f>IF(NOTA[C]="",NOTA[[#This Row],[CONCAT1]]&amp;NOTA[[#This Row],[HARGA SATUAN]],NOTA[[#This Row],[CONCAT1]]&amp;NOTA[[#This Row],[HARGA/ CTN_H]]&amp;NOTA[[#This Row],[DISC 1]]&amp;NOTA[[#This Row],[DISC 2]])</f>
        <v>tapecuttertc113jk3960000.1250.05</v>
      </c>
      <c r="AN492" s="184">
        <f>IF(NOTA[[#This Row],[CONCAT1]]="","",MATCH(NOTA[[#This Row],[CONCAT1]],[1]!db[NB NOTA_C],0)+1)</f>
        <v>2020</v>
      </c>
    </row>
    <row r="493" spans="1:40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Row],[CEK_EXP]]&lt;D492,"err","")</f>
        <v/>
      </c>
      <c r="D493" s="93">
        <f>IF(NOTA[[#This Row],[TANGGAL]]="",D492,NOTA[[#This Row],[TANGGAL]])</f>
        <v>44944</v>
      </c>
      <c r="E493" s="93">
        <f ca="1">IF(NOTA[[#This Row],[NAMA BARANG]]="","",INDEX(NOTA[ID],MATCH(,INDIRECT(ADDRESS(ROW(NOTA[ID]),COLUMN(NOTA[ID]))&amp;":"&amp;ADDRESS(ROW(),COLUMN(NOTA[ID]))),-1)))</f>
        <v>90</v>
      </c>
      <c r="F493" s="23"/>
      <c r="G493" s="26"/>
      <c r="H493" s="26"/>
      <c r="I493" s="31"/>
      <c r="J493" s="82"/>
      <c r="K493" s="81"/>
      <c r="L493" s="82"/>
      <c r="M493" s="26" t="s">
        <v>627</v>
      </c>
      <c r="N493" s="83">
        <v>1</v>
      </c>
      <c r="O493" s="82">
        <v>768</v>
      </c>
      <c r="P493" s="26" t="s">
        <v>104</v>
      </c>
      <c r="Q493" s="84">
        <v>2100</v>
      </c>
      <c r="R493" s="85"/>
      <c r="S493" s="39" t="s">
        <v>628</v>
      </c>
      <c r="T493" s="86">
        <v>0.125</v>
      </c>
      <c r="U493" s="86">
        <v>0.05</v>
      </c>
      <c r="V493" s="87"/>
      <c r="W493" s="37"/>
      <c r="X493" s="87">
        <f>IF(NOTA[[#This Row],[HARGA/ CTN]]="",NOTA[[#This Row],[JUMLAH_H]],NOTA[[#This Row],[HARGA/ CTN]]*IF(NOTA[[#This Row],[C]]="",0,NOTA[[#This Row],[C]]))</f>
        <v>1612800</v>
      </c>
      <c r="Y493" s="87">
        <f>IF(NOTA[[#This Row],[JUMLAH]]="","",NOTA[[#This Row],[JUMLAH]]*NOTA[[#This Row],[DISC 1]])</f>
        <v>201600</v>
      </c>
      <c r="Z493" s="87">
        <f>IF(NOTA[[#This Row],[JUMLAH]]="","",(NOTA[[#This Row],[JUMLAH]]-NOTA[[#This Row],[DISC 1-]])*NOTA[[#This Row],[DISC 2]])</f>
        <v>70560</v>
      </c>
      <c r="AA493" s="87">
        <f>IF(NOTA[[#This Row],[JUMLAH]]="","",NOTA[[#This Row],[DISC 1-]]+NOTA[[#This Row],[DISC 2-]])</f>
        <v>272160</v>
      </c>
      <c r="AB493" s="87">
        <f>IF(NOTA[[#This Row],[JUMLAH]]="","",NOTA[[#This Row],[JUMLAH]]-NOTA[[#This Row],[DISC]])</f>
        <v>1340640</v>
      </c>
      <c r="AC49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2995818.75</v>
      </c>
      <c r="AD49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14757181.25</v>
      </c>
      <c r="AE493" s="84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493" s="87">
        <f>IF(OR(NOTA[[#This Row],[QTY]]="",NOTA[[#This Row],[HARGA SATUAN]]="",),"",NOTA[[#This Row],[QTY]]*NOTA[[#This Row],[HARGA SATUAN]])</f>
        <v>1612800</v>
      </c>
      <c r="AG493" s="81">
        <f ca="1">IF(NOTA[ID_H]="","",INDEX(NOTA[TANGGAL],MATCH(,INDIRECT(ADDRESS(ROW(NOTA[TANGGAL]),COLUMN(NOTA[TANGGAL]))&amp;":"&amp;ADDRESS(ROW(),COLUMN(NOTA[TANGGAL]))),-1)))</f>
        <v>44944</v>
      </c>
      <c r="AH493" s="84" t="str">
        <f ca="1">IF(NOTA[[#This Row],[NAMA BARANG]]="","",INDEX(NOTA[SUPPLIER],MATCH(,INDIRECT(ADDRESS(ROW(NOTA[ID]),COLUMN(NOTA[ID]))&amp;":"&amp;ADDRESS(ROW(),COLUMN(NOTA[ID]))),-1)))</f>
        <v>ATALI MAKMUR</v>
      </c>
      <c r="AI493" s="84" t="str">
        <f ca="1">IF(NOTA[[#This Row],[ID_H]]="","",IF(NOTA[[#This Row],[FAKTUR]]="",INDIRECT(ADDRESS(ROW()-1,COLUMN())),NOTA[[#This Row],[FAKTUR]]))</f>
        <v>ARTO MORO</v>
      </c>
      <c r="AJ493" s="38" t="str">
        <f ca="1">IF(NOTA[[#This Row],[ID]]="","",COUNTIF(NOTA[ID_H],NOTA[[#This Row],[ID_H]]))</f>
        <v/>
      </c>
      <c r="AK493" s="38">
        <f ca="1">IF(NOTA[[#This Row],[TGL.NOTA]]="",IF(NOTA[[#This Row],[SUPPLIER_H]]="","",AK492),MONTH(NOTA[[#This Row],[TGL.NOTA]]))</f>
        <v>1</v>
      </c>
      <c r="AL49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493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N493" s="184">
        <f>IF(NOTA[[#This Row],[CONCAT1]]="","",MATCH(NOTA[[#This Row],[CONCAT1]],[1]!db[NB NOTA_C],0)+1)</f>
        <v>927</v>
      </c>
    </row>
    <row r="494" spans="1:40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Row],[CEK_EXP]]&lt;D493,"err","")</f>
        <v/>
      </c>
      <c r="D494" s="93">
        <f>IF(NOTA[[#This Row],[TANGGAL]]="",D493,NOTA[[#This Row],[TANGGAL]])</f>
        <v>44944</v>
      </c>
      <c r="E494" s="93" t="str">
        <f ca="1">IF(NOTA[[#This Row],[NAMA BARANG]]="","",INDEX(NOTA[ID],MATCH(,INDIRECT(ADDRESS(ROW(NOTA[ID]),COLUMN(NOTA[ID]))&amp;":"&amp;ADDRESS(ROW(),COLUMN(NOTA[ID]))),-1)))</f>
        <v/>
      </c>
      <c r="F494" s="80"/>
      <c r="G494" s="82"/>
      <c r="H494" s="82"/>
      <c r="I494" s="88"/>
      <c r="J494" s="82"/>
      <c r="K494" s="81"/>
      <c r="L494" s="82"/>
      <c r="M494" s="26"/>
      <c r="N494" s="83"/>
      <c r="O494" s="82"/>
      <c r="P494" s="26"/>
      <c r="Q494" s="84"/>
      <c r="R494" s="85"/>
      <c r="S494" s="39"/>
      <c r="T494" s="86"/>
      <c r="U494" s="86"/>
      <c r="V494" s="87"/>
      <c r="W494" s="37"/>
      <c r="X494" s="87" t="str">
        <f>IF(NOTA[[#This Row],[HARGA/ CTN]]="",NOTA[[#This Row],[JUMLAH_H]],NOTA[[#This Row],[HARGA/ CTN]]*IF(NOTA[[#This Row],[C]]="",0,NOTA[[#This Row],[C]]))</f>
        <v/>
      </c>
      <c r="Y494" s="87" t="str">
        <f>IF(NOTA[[#This Row],[JUMLAH]]="","",NOTA[[#This Row],[JUMLAH]]*NOTA[[#This Row],[DISC 1]])</f>
        <v/>
      </c>
      <c r="Z494" s="87" t="str">
        <f>IF(NOTA[[#This Row],[JUMLAH]]="","",(NOTA[[#This Row],[JUMLAH]]-NOTA[[#This Row],[DISC 1-]])*NOTA[[#This Row],[DISC 2]])</f>
        <v/>
      </c>
      <c r="AA494" s="87" t="str">
        <f>IF(NOTA[[#This Row],[JUMLAH]]="","",NOTA[[#This Row],[DISC 1-]]+NOTA[[#This Row],[DISC 2-]])</f>
        <v/>
      </c>
      <c r="AB494" s="87" t="str">
        <f>IF(NOTA[[#This Row],[JUMLAH]]="","",NOTA[[#This Row],[JUMLAH]]-NOTA[[#This Row],[DISC]])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87" t="str">
        <f>IF(OR(NOTA[[#This Row],[QTY]]="",NOTA[[#This Row],[HARGA SATUAN]]="",),"",NOTA[[#This Row],[QTY]]*NOTA[[#This Row],[HARGA SATUAN]])</f>
        <v/>
      </c>
      <c r="AG494" s="81" t="str">
        <f ca="1">IF(NOTA[ID_H]="","",INDEX(NOTA[TANGGAL],MATCH(,INDIRECT(ADDRESS(ROW(NOTA[TANGGAL]),COLUMN(NOTA[TANGGAL]))&amp;":"&amp;ADDRESS(ROW(),COLUMN(NOTA[TANGGAL]))),-1)))</f>
        <v/>
      </c>
      <c r="AH494" s="84" t="str">
        <f ca="1">IF(NOTA[[#This Row],[NAMA BARANG]]="","",INDEX(NOTA[SUPPLIER],MATCH(,INDIRECT(ADDRESS(ROW(NOTA[ID]),COLUMN(NOTA[ID]))&amp;":"&amp;ADDRESS(ROW(),COLUMN(NOTA[ID]))),-1)))</f>
        <v/>
      </c>
      <c r="AI494" s="84" t="str">
        <f ca="1">IF(NOTA[[#This Row],[ID_H]]="","",IF(NOTA[[#This Row],[FAKTUR]]="",INDIRECT(ADDRESS(ROW()-1,COLUMN())),NOTA[[#This Row],[FAKTUR]]))</f>
        <v/>
      </c>
      <c r="AJ494" s="38" t="str">
        <f ca="1">IF(NOTA[[#This Row],[ID]]="","",COUNTIF(NOTA[ID_H],NOTA[[#This Row],[ID_H]]))</f>
        <v/>
      </c>
      <c r="AK494" s="38" t="str">
        <f ca="1">IF(NOTA[[#This Row],[TGL.NOTA]]="",IF(NOTA[[#This Row],[SUPPLIER_H]]="","",AK493),MONTH(NOTA[[#This Row],[TGL.NOTA]]))</f>
        <v/>
      </c>
      <c r="AL494" s="38" t="str">
        <f>LOWER(SUBSTITUTE(SUBSTITUTE(SUBSTITUTE(SUBSTITUTE(SUBSTITUTE(SUBSTITUTE(SUBSTITUTE(SUBSTITUTE(SUBSTITUTE(NOTA[NAMA BARANG]," ",),".",""),"-",""),"(",""),")",""),",",""),"/",""),"""",""),"+",""))</f>
        <v/>
      </c>
      <c r="AM494" s="38" t="str">
        <f>IF(NOTA[C]="",NOTA[[#This Row],[CONCAT1]]&amp;NOTA[[#This Row],[HARGA SATUAN]],NOTA[[#This Row],[CONCAT1]]&amp;NOTA[[#This Row],[HARGA/ CTN_H]]&amp;NOTA[[#This Row],[DISC 1]]&amp;NOTA[[#This Row],[DISC 2]])</f>
        <v/>
      </c>
      <c r="AN494" s="184" t="str">
        <f>IF(NOTA[[#This Row],[CONCAT1]]="","",MATCH(NOTA[[#This Row],[CONCAT1]],[1]!db[NB NOTA_C],0)+1)</f>
        <v/>
      </c>
    </row>
    <row r="495" spans="1:40" ht="20.100000000000001" customHeight="1" x14ac:dyDescent="0.25">
      <c r="A495" s="84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ATA_1801_825-5</v>
      </c>
      <c r="C495" s="93" t="str">
        <f>IF(NOTA[[#This Row],[CEK_EXP]]&lt;D494,"err","")</f>
        <v/>
      </c>
      <c r="D495" s="93">
        <f>IF(NOTA[[#This Row],[TANGGAL]]="",D494,NOTA[[#This Row],[TANGGAL]])</f>
        <v>44944</v>
      </c>
      <c r="E495" s="93">
        <f ca="1">IF(NOTA[[#This Row],[NAMA BARANG]]="","",INDEX(NOTA[ID],MATCH(,INDIRECT(ADDRESS(ROW(NOTA[ID]),COLUMN(NOTA[ID]))&amp;":"&amp;ADDRESS(ROW(),COLUMN(NOTA[ID]))),-1)))</f>
        <v>91</v>
      </c>
      <c r="F495" s="80"/>
      <c r="G495" s="26" t="s">
        <v>25</v>
      </c>
      <c r="H495" s="26" t="s">
        <v>24</v>
      </c>
      <c r="I495" s="31" t="s">
        <v>662</v>
      </c>
      <c r="J495" s="82"/>
      <c r="K495" s="81">
        <v>44939</v>
      </c>
      <c r="L495" s="82"/>
      <c r="M495" s="26" t="s">
        <v>663</v>
      </c>
      <c r="N495" s="83">
        <v>1</v>
      </c>
      <c r="O495" s="82">
        <v>72</v>
      </c>
      <c r="P495" s="26" t="s">
        <v>104</v>
      </c>
      <c r="Q495" s="84">
        <v>34500</v>
      </c>
      <c r="R495" s="85"/>
      <c r="S495" s="39" t="s">
        <v>481</v>
      </c>
      <c r="T495" s="86">
        <v>0.125</v>
      </c>
      <c r="U495" s="86">
        <v>0.05</v>
      </c>
      <c r="V495" s="87"/>
      <c r="W495" s="37"/>
      <c r="X495" s="87">
        <f>IF(NOTA[[#This Row],[HARGA/ CTN]]="",NOTA[[#This Row],[JUMLAH_H]],NOTA[[#This Row],[HARGA/ CTN]]*IF(NOTA[[#This Row],[C]]="",0,NOTA[[#This Row],[C]]))</f>
        <v>2484000</v>
      </c>
      <c r="Y495" s="87">
        <f>IF(NOTA[[#This Row],[JUMLAH]]="","",NOTA[[#This Row],[JUMLAH]]*NOTA[[#This Row],[DISC 1]])</f>
        <v>310500</v>
      </c>
      <c r="Z495" s="87">
        <f>IF(NOTA[[#This Row],[JUMLAH]]="","",(NOTA[[#This Row],[JUMLAH]]-NOTA[[#This Row],[DISC 1-]])*NOTA[[#This Row],[DISC 2]])</f>
        <v>108675</v>
      </c>
      <c r="AA495" s="87">
        <f>IF(NOTA[[#This Row],[JUMLAH]]="","",NOTA[[#This Row],[DISC 1-]]+NOTA[[#This Row],[DISC 2-]])</f>
        <v>419175</v>
      </c>
      <c r="AB495" s="87">
        <f>IF(NOTA[[#This Row],[JUMLAH]]="","",NOTA[[#This Row],[JUMLAH]]-NOTA[[#This Row],[DISC]])</f>
        <v>2064825</v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84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495" s="87">
        <f>IF(OR(NOTA[[#This Row],[QTY]]="",NOTA[[#This Row],[HARGA SATUAN]]="",),"",NOTA[[#This Row],[QTY]]*NOTA[[#This Row],[HARGA SATUAN]])</f>
        <v>2484000</v>
      </c>
      <c r="AG495" s="81">
        <f ca="1">IF(NOTA[ID_H]="","",INDEX(NOTA[TANGGAL],MATCH(,INDIRECT(ADDRESS(ROW(NOTA[TANGGAL]),COLUMN(NOTA[TANGGAL]))&amp;":"&amp;ADDRESS(ROW(),COLUMN(NOTA[TANGGAL]))),-1)))</f>
        <v>44944</v>
      </c>
      <c r="AH495" s="84" t="str">
        <f ca="1">IF(NOTA[[#This Row],[NAMA BARANG]]="","",INDEX(NOTA[SUPPLIER],MATCH(,INDIRECT(ADDRESS(ROW(NOTA[ID]),COLUMN(NOTA[ID]))&amp;":"&amp;ADDRESS(ROW(),COLUMN(NOTA[ID]))),-1)))</f>
        <v>ATALI MAKMUR</v>
      </c>
      <c r="AI495" s="84" t="str">
        <f ca="1">IF(NOTA[[#This Row],[ID_H]]="","",IF(NOTA[[#This Row],[FAKTUR]]="",INDIRECT(ADDRESS(ROW()-1,COLUMN())),NOTA[[#This Row],[FAKTUR]]))</f>
        <v>ARTO MORO</v>
      </c>
      <c r="AJ495" s="38">
        <f ca="1">IF(NOTA[[#This Row],[ID]]="","",COUNTIF(NOTA[ID_H],NOTA[[#This Row],[ID_H]]))</f>
        <v>5</v>
      </c>
      <c r="AK495" s="38">
        <f>IF(NOTA[[#This Row],[TGL.NOTA]]="",IF(NOTA[[#This Row],[SUPPLIER_H]]="","",AK494),MONTH(NOTA[[#This Row],[TGL.NOTA]]))</f>
        <v>1</v>
      </c>
      <c r="AL495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M495" s="38" t="str">
        <f>IF(NOTA[C]="",NOTA[[#This Row],[CONCAT1]]&amp;NOTA[[#This Row],[HARGA SATUAN]],NOTA[[#This Row],[CONCAT1]]&amp;NOTA[[#This Row],[HARGA/ CTN_H]]&amp;NOTA[[#This Row],[DISC 1]]&amp;NOTA[[#This Row],[DISC 2]])</f>
        <v>guntackergt700jk24840000.1250.05</v>
      </c>
      <c r="AN495" s="184">
        <f>IF(NOTA[[#This Row],[CONCAT1]]="","",MATCH(NOTA[[#This Row],[CONCAT1]],[1]!db[NB NOTA_C],0)+1)</f>
        <v>948</v>
      </c>
    </row>
    <row r="496" spans="1:40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Row],[CEK_EXP]]&lt;D495,"err","")</f>
        <v/>
      </c>
      <c r="D496" s="93">
        <f>IF(NOTA[[#This Row],[TANGGAL]]="",D495,NOTA[[#This Row],[TANGGAL]])</f>
        <v>44944</v>
      </c>
      <c r="E496" s="93">
        <f ca="1">IF(NOTA[[#This Row],[NAMA BARANG]]="","",INDEX(NOTA[ID],MATCH(,INDIRECT(ADDRESS(ROW(NOTA[ID]),COLUMN(NOTA[ID]))&amp;":"&amp;ADDRESS(ROW(),COLUMN(NOTA[ID]))),-1)))</f>
        <v>91</v>
      </c>
      <c r="F496" s="80"/>
      <c r="G496" s="82"/>
      <c r="H496" s="82"/>
      <c r="I496" s="88"/>
      <c r="J496" s="82"/>
      <c r="K496" s="81"/>
      <c r="L496" s="82"/>
      <c r="M496" s="26" t="s">
        <v>683</v>
      </c>
      <c r="N496" s="83">
        <v>1</v>
      </c>
      <c r="O496" s="82">
        <v>288</v>
      </c>
      <c r="P496" s="26" t="s">
        <v>104</v>
      </c>
      <c r="Q496" s="84">
        <v>2600</v>
      </c>
      <c r="R496" s="85"/>
      <c r="S496" s="39" t="s">
        <v>664</v>
      </c>
      <c r="T496" s="86">
        <v>0.125</v>
      </c>
      <c r="U496" s="86">
        <v>0.05</v>
      </c>
      <c r="V496" s="87"/>
      <c r="W496" s="37"/>
      <c r="X496" s="87">
        <f>IF(NOTA[[#This Row],[HARGA/ CTN]]="",NOTA[[#This Row],[JUMLAH_H]],NOTA[[#This Row],[HARGA/ CTN]]*IF(NOTA[[#This Row],[C]]="",0,NOTA[[#This Row],[C]]))</f>
        <v>748800</v>
      </c>
      <c r="Y496" s="87">
        <f>IF(NOTA[[#This Row],[JUMLAH]]="","",NOTA[[#This Row],[JUMLAH]]*NOTA[[#This Row],[DISC 1]])</f>
        <v>93600</v>
      </c>
      <c r="Z496" s="87">
        <f>IF(NOTA[[#This Row],[JUMLAH]]="","",(NOTA[[#This Row],[JUMLAH]]-NOTA[[#This Row],[DISC 1-]])*NOTA[[#This Row],[DISC 2]])</f>
        <v>32760</v>
      </c>
      <c r="AA496" s="87">
        <f>IF(NOTA[[#This Row],[JUMLAH]]="","",NOTA[[#This Row],[DISC 1-]]+NOTA[[#This Row],[DISC 2-]])</f>
        <v>126360</v>
      </c>
      <c r="AB496" s="87">
        <f>IF(NOTA[[#This Row],[JUMLAH]]="","",NOTA[[#This Row],[JUMLAH]]-NOTA[[#This Row],[DISC]])</f>
        <v>622440</v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84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F496" s="87">
        <f>IF(OR(NOTA[[#This Row],[QTY]]="",NOTA[[#This Row],[HARGA SATUAN]]="",),"",NOTA[[#This Row],[QTY]]*NOTA[[#This Row],[HARGA SATUAN]])</f>
        <v>748800</v>
      </c>
      <c r="AG496" s="81">
        <f ca="1">IF(NOTA[ID_H]="","",INDEX(NOTA[TANGGAL],MATCH(,INDIRECT(ADDRESS(ROW(NOTA[TANGGAL]),COLUMN(NOTA[TANGGAL]))&amp;":"&amp;ADDRESS(ROW(),COLUMN(NOTA[TANGGAL]))),-1)))</f>
        <v>44944</v>
      </c>
      <c r="AH496" s="84" t="str">
        <f ca="1">IF(NOTA[[#This Row],[NAMA BARANG]]="","",INDEX(NOTA[SUPPLIER],MATCH(,INDIRECT(ADDRESS(ROW(NOTA[ID]),COLUMN(NOTA[ID]))&amp;":"&amp;ADDRESS(ROW(),COLUMN(NOTA[ID]))),-1)))</f>
        <v>ATALI MAKMUR</v>
      </c>
      <c r="AI496" s="84" t="str">
        <f ca="1">IF(NOTA[[#This Row],[ID_H]]="","",IF(NOTA[[#This Row],[FAKTUR]]="",INDIRECT(ADDRESS(ROW()-1,COLUMN())),NOTA[[#This Row],[FAKTUR]]))</f>
        <v>ARTO MORO</v>
      </c>
      <c r="AJ496" s="38" t="str">
        <f ca="1">IF(NOTA[[#This Row],[ID]]="","",COUNTIF(NOTA[ID_H],NOTA[[#This Row],[ID_H]]))</f>
        <v/>
      </c>
      <c r="AK496" s="38">
        <f ca="1">IF(NOTA[[#This Row],[TGL.NOTA]]="",IF(NOTA[[#This Row],[SUPPLIER_H]]="","",AK495),MONTH(NOTA[[#This Row],[TGL.NOTA]]))</f>
        <v>1</v>
      </c>
      <c r="AL496" s="38" t="str">
        <f>LOWER(SUBSTITUTE(SUBSTITUTE(SUBSTITUTE(SUBSTITUTE(SUBSTITUTE(SUBSTITUTE(SUBSTITUTE(SUBSTITUTE(SUBSTITUTE(NOTA[NAMA BARANG]," ",),".",""),"-",""),"(",""),")",""),",",""),"/",""),"""",""),"+",""))</f>
        <v>glueglw01jk</v>
      </c>
      <c r="AM496" s="38" t="str">
        <f>IF(NOTA[C]="",NOTA[[#This Row],[CONCAT1]]&amp;NOTA[[#This Row],[HARGA SATUAN]],NOTA[[#This Row],[CONCAT1]]&amp;NOTA[[#This Row],[HARGA/ CTN_H]]&amp;NOTA[[#This Row],[DISC 1]]&amp;NOTA[[#This Row],[DISC 2]])</f>
        <v>glueglw01jk7488000.1250.05</v>
      </c>
      <c r="AN496" s="184">
        <f>IF(NOTA[[#This Row],[CONCAT1]]="","",MATCH(NOTA[[#This Row],[CONCAT1]],[1]!db[NB NOTA_C],0)+1)</f>
        <v>922</v>
      </c>
    </row>
    <row r="497" spans="1:40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Row],[CEK_EXP]]&lt;D496,"err","")</f>
        <v/>
      </c>
      <c r="D497" s="93">
        <f>IF(NOTA[[#This Row],[TANGGAL]]="",D496,NOTA[[#This Row],[TANGGAL]])</f>
        <v>44944</v>
      </c>
      <c r="E497" s="93">
        <f ca="1">IF(NOTA[[#This Row],[NAMA BARANG]]="","",INDEX(NOTA[ID],MATCH(,INDIRECT(ADDRESS(ROW(NOTA[ID]),COLUMN(NOTA[ID]))&amp;":"&amp;ADDRESS(ROW(),COLUMN(NOTA[ID]))),-1)))</f>
        <v>91</v>
      </c>
      <c r="F497" s="80"/>
      <c r="G497" s="26"/>
      <c r="H497" s="26"/>
      <c r="I497" s="31"/>
      <c r="J497" s="82"/>
      <c r="K497" s="81"/>
      <c r="L497" s="82"/>
      <c r="M497" s="26" t="s">
        <v>665</v>
      </c>
      <c r="N497" s="83">
        <v>1</v>
      </c>
      <c r="O497" s="82">
        <v>72</v>
      </c>
      <c r="P497" s="26" t="s">
        <v>128</v>
      </c>
      <c r="Q497" s="84">
        <v>47800</v>
      </c>
      <c r="R497" s="85"/>
      <c r="S497" s="39" t="s">
        <v>622</v>
      </c>
      <c r="T497" s="86">
        <v>0.125</v>
      </c>
      <c r="U497" s="86">
        <v>0.05</v>
      </c>
      <c r="V497" s="87"/>
      <c r="W497" s="37"/>
      <c r="X497" s="87">
        <f>IF(NOTA[[#This Row],[HARGA/ CTN]]="",NOTA[[#This Row],[JUMLAH_H]],NOTA[[#This Row],[HARGA/ CTN]]*IF(NOTA[[#This Row],[C]]="",0,NOTA[[#This Row],[C]]))</f>
        <v>3441600</v>
      </c>
      <c r="Y497" s="87">
        <f>IF(NOTA[[#This Row],[JUMLAH]]="","",NOTA[[#This Row],[JUMLAH]]*NOTA[[#This Row],[DISC 1]])</f>
        <v>430200</v>
      </c>
      <c r="Z497" s="87">
        <f>IF(NOTA[[#This Row],[JUMLAH]]="","",(NOTA[[#This Row],[JUMLAH]]-NOTA[[#This Row],[DISC 1-]])*NOTA[[#This Row],[DISC 2]])</f>
        <v>150570</v>
      </c>
      <c r="AA497" s="87">
        <f>IF(NOTA[[#This Row],[JUMLAH]]="","",NOTA[[#This Row],[DISC 1-]]+NOTA[[#This Row],[DISC 2-]])</f>
        <v>580770</v>
      </c>
      <c r="AB497" s="87">
        <f>IF(NOTA[[#This Row],[JUMLAH]]="","",NOTA[[#This Row],[JUMLAH]]-NOTA[[#This Row],[DISC]])</f>
        <v>2860830</v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8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97" s="87">
        <f>IF(OR(NOTA[[#This Row],[QTY]]="",NOTA[[#This Row],[HARGA SATUAN]]="",),"",NOTA[[#This Row],[QTY]]*NOTA[[#This Row],[HARGA SATUAN]])</f>
        <v>3441600</v>
      </c>
      <c r="AG497" s="81">
        <f ca="1">IF(NOTA[ID_H]="","",INDEX(NOTA[TANGGAL],MATCH(,INDIRECT(ADDRESS(ROW(NOTA[TANGGAL]),COLUMN(NOTA[TANGGAL]))&amp;":"&amp;ADDRESS(ROW(),COLUMN(NOTA[TANGGAL]))),-1)))</f>
        <v>44944</v>
      </c>
      <c r="AH497" s="84" t="str">
        <f ca="1">IF(NOTA[[#This Row],[NAMA BARANG]]="","",INDEX(NOTA[SUPPLIER],MATCH(,INDIRECT(ADDRESS(ROW(NOTA[ID]),COLUMN(NOTA[ID]))&amp;":"&amp;ADDRESS(ROW(),COLUMN(NOTA[ID]))),-1)))</f>
        <v>ATALI MAKMUR</v>
      </c>
      <c r="AI497" s="84" t="str">
        <f ca="1">IF(NOTA[[#This Row],[ID_H]]="","",IF(NOTA[[#This Row],[FAKTUR]]="",INDIRECT(ADDRESS(ROW()-1,COLUMN())),NOTA[[#This Row],[FAKTUR]]))</f>
        <v>ARTO MORO</v>
      </c>
      <c r="AJ497" s="38" t="str">
        <f ca="1">IF(NOTA[[#This Row],[ID]]="","",COUNTIF(NOTA[ID_H],NOTA[[#This Row],[ID_H]]))</f>
        <v/>
      </c>
      <c r="AK497" s="38">
        <f ca="1">IF(NOTA[[#This Row],[TGL.NOTA]]="",IF(NOTA[[#This Row],[SUPPLIER_H]]="","",AK496),MONTH(NOTA[[#This Row],[TGL.NOTA]]))</f>
        <v>1</v>
      </c>
      <c r="AL497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497" s="38" t="str">
        <f>IF(NOTA[C]="",NOTA[[#This Row],[CONCAT1]]&amp;NOTA[[#This Row],[HARGA SATUAN]],NOTA[[#This Row],[CONCAT1]]&amp;NOTA[[#This Row],[HARGA/ CTN_H]]&amp;NOTA[[#This Row],[DISC 1]]&amp;NOTA[[#This Row],[DISC 2]])</f>
        <v>crayonputartwcr24sjk34416000.1250.05</v>
      </c>
      <c r="AN497" s="184">
        <f>IF(NOTA[[#This Row],[CONCAT1]]="","",MATCH(NOTA[[#This Row],[CONCAT1]],[1]!db[NB NOTA_C],0)+1)</f>
        <v>554</v>
      </c>
    </row>
    <row r="498" spans="1:40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Row],[CEK_EXP]]&lt;D497,"err","")</f>
        <v/>
      </c>
      <c r="D498" s="93">
        <f>IF(NOTA[[#This Row],[TANGGAL]]="",D497,NOTA[[#This Row],[TANGGAL]])</f>
        <v>44944</v>
      </c>
      <c r="E498" s="93">
        <f ca="1">IF(NOTA[[#This Row],[NAMA BARANG]]="","",INDEX(NOTA[ID],MATCH(,INDIRECT(ADDRESS(ROW(NOTA[ID]),COLUMN(NOTA[ID]))&amp;":"&amp;ADDRESS(ROW(),COLUMN(NOTA[ID]))),-1)))</f>
        <v>91</v>
      </c>
      <c r="F498" s="80"/>
      <c r="G498" s="26"/>
      <c r="H498" s="26"/>
      <c r="I498" s="31"/>
      <c r="J498" s="38"/>
      <c r="K498" s="81"/>
      <c r="L498" s="82"/>
      <c r="M498" s="26" t="s">
        <v>630</v>
      </c>
      <c r="N498" s="83">
        <v>1</v>
      </c>
      <c r="O498" s="82">
        <v>24</v>
      </c>
      <c r="P498" s="26" t="s">
        <v>116</v>
      </c>
      <c r="Q498" s="84">
        <v>162000</v>
      </c>
      <c r="R498" s="85"/>
      <c r="S498" s="39" t="s">
        <v>631</v>
      </c>
      <c r="T498" s="86">
        <v>0.125</v>
      </c>
      <c r="U498" s="86">
        <v>0.05</v>
      </c>
      <c r="V498" s="87"/>
      <c r="W498" s="37"/>
      <c r="X498" s="87">
        <f>IF(NOTA[[#This Row],[HARGA/ CTN]]="",NOTA[[#This Row],[JUMLAH_H]],NOTA[[#This Row],[HARGA/ CTN]]*IF(NOTA[[#This Row],[C]]="",0,NOTA[[#This Row],[C]]))</f>
        <v>3888000</v>
      </c>
      <c r="Y498" s="87">
        <f>IF(NOTA[[#This Row],[JUMLAH]]="","",NOTA[[#This Row],[JUMLAH]]*NOTA[[#This Row],[DISC 1]])</f>
        <v>486000</v>
      </c>
      <c r="Z498" s="87">
        <f>IF(NOTA[[#This Row],[JUMLAH]]="","",(NOTA[[#This Row],[JUMLAH]]-NOTA[[#This Row],[DISC 1-]])*NOTA[[#This Row],[DISC 2]])</f>
        <v>170100</v>
      </c>
      <c r="AA498" s="87">
        <f>IF(NOTA[[#This Row],[JUMLAH]]="","",NOTA[[#This Row],[DISC 1-]]+NOTA[[#This Row],[DISC 2-]])</f>
        <v>656100</v>
      </c>
      <c r="AB498" s="87">
        <f>IF(NOTA[[#This Row],[JUMLAH]]="","",NOTA[[#This Row],[JUMLAH]]-NOTA[[#This Row],[DISC]])</f>
        <v>3231900</v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8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87">
        <f>IF(OR(NOTA[[#This Row],[QTY]]="",NOTA[[#This Row],[HARGA SATUAN]]="",),"",NOTA[[#This Row],[QTY]]*NOTA[[#This Row],[HARGA SATUAN]])</f>
        <v>3888000</v>
      </c>
      <c r="AG498" s="81">
        <f ca="1">IF(NOTA[ID_H]="","",INDEX(NOTA[TANGGAL],MATCH(,INDIRECT(ADDRESS(ROW(NOTA[TANGGAL]),COLUMN(NOTA[TANGGAL]))&amp;":"&amp;ADDRESS(ROW(),COLUMN(NOTA[TANGGAL]))),-1)))</f>
        <v>44944</v>
      </c>
      <c r="AH498" s="84" t="str">
        <f ca="1">IF(NOTA[[#This Row],[NAMA BARANG]]="","",INDEX(NOTA[SUPPLIER],MATCH(,INDIRECT(ADDRESS(ROW(NOTA[ID]),COLUMN(NOTA[ID]))&amp;":"&amp;ADDRESS(ROW(),COLUMN(NOTA[ID]))),-1)))</f>
        <v>ATALI MAKMUR</v>
      </c>
      <c r="AI498" s="84" t="str">
        <f ca="1">IF(NOTA[[#This Row],[ID_H]]="","",IF(NOTA[[#This Row],[FAKTUR]]="",INDIRECT(ADDRESS(ROW()-1,COLUMN())),NOTA[[#This Row],[FAKTUR]]))</f>
        <v>ARTO MORO</v>
      </c>
      <c r="AJ498" s="38" t="str">
        <f ca="1">IF(NOTA[[#This Row],[ID]]="","",COUNTIF(NOTA[ID_H],NOTA[[#This Row],[ID_H]]))</f>
        <v/>
      </c>
      <c r="AK498" s="38">
        <f ca="1">IF(NOTA[[#This Row],[TGL.NOTA]]="",IF(NOTA[[#This Row],[SUPPLIER_H]]="","",AK497),MONTH(NOTA[[#This Row],[TGL.NOTA]]))</f>
        <v>1</v>
      </c>
      <c r="AL49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M498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N498" s="184">
        <f>IF(NOTA[[#This Row],[CONCAT1]]="","",MATCH(NOTA[[#This Row],[CONCAT1]],[1]!db[NB NOTA_C],0)+1)</f>
        <v>571</v>
      </c>
    </row>
    <row r="499" spans="1:40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Row],[CEK_EXP]]&lt;D498,"err","")</f>
        <v/>
      </c>
      <c r="D499" s="93">
        <f>IF(NOTA[[#This Row],[TANGGAL]]="",D498,NOTA[[#This Row],[TANGGAL]])</f>
        <v>44944</v>
      </c>
      <c r="E499" s="93">
        <f ca="1">IF(NOTA[[#This Row],[NAMA BARANG]]="","",INDEX(NOTA[ID],MATCH(,INDIRECT(ADDRESS(ROW(NOTA[ID]),COLUMN(NOTA[ID]))&amp;":"&amp;ADDRESS(ROW(),COLUMN(NOTA[ID]))),-1)))</f>
        <v>91</v>
      </c>
      <c r="F499" s="94"/>
      <c r="G499" s="38"/>
      <c r="H499" s="38"/>
      <c r="I499" s="79"/>
      <c r="J499" s="38"/>
      <c r="K499" s="95"/>
      <c r="L499" s="96"/>
      <c r="M499" s="38" t="s">
        <v>632</v>
      </c>
      <c r="N499" s="97"/>
      <c r="O499" s="96">
        <v>24</v>
      </c>
      <c r="P499" s="38" t="s">
        <v>116</v>
      </c>
      <c r="Q499" s="98"/>
      <c r="R499" s="99"/>
      <c r="S499" s="56" t="s">
        <v>633</v>
      </c>
      <c r="T499" s="100"/>
      <c r="U499" s="101"/>
      <c r="V499" s="102"/>
      <c r="W499" s="103" t="s">
        <v>666</v>
      </c>
      <c r="X499" s="87" t="str">
        <f>IF(NOTA[[#This Row],[HARGA/ CTN]]="",NOTA[[#This Row],[JUMLAH_H]],NOTA[[#This Row],[HARGA/ CTN]]*IF(NOTA[[#This Row],[C]]="",0,NOTA[[#This Row],[C]]))</f>
        <v/>
      </c>
      <c r="Y499" s="87" t="str">
        <f>IF(NOTA[[#This Row],[JUMLAH]]="","",NOTA[[#This Row],[JUMLAH]]*NOTA[[#This Row],[DISC 1]])</f>
        <v/>
      </c>
      <c r="Z499" s="87" t="str">
        <f>IF(NOTA[[#This Row],[JUMLAH]]="","",(NOTA[[#This Row],[JUMLAH]]-NOTA[[#This Row],[DISC 1-]])*NOTA[[#This Row],[DISC 2]])</f>
        <v/>
      </c>
      <c r="AA499" s="87" t="str">
        <f>IF(NOTA[[#This Row],[JUMLAH]]="","",NOTA[[#This Row],[DISC 1-]]+NOTA[[#This Row],[DISC 2-]])</f>
        <v/>
      </c>
      <c r="AB499" s="87" t="str">
        <f>IF(NOTA[[#This Row],[JUMLAH]]="","",NOTA[[#This Row],[JUMLAH]]-NOTA[[#This Row],[DISC]])</f>
        <v/>
      </c>
      <c r="AC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1782405</v>
      </c>
      <c r="AD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8779995</v>
      </c>
      <c r="AE499" s="8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99" s="87" t="str">
        <f>IF(OR(NOTA[[#This Row],[QTY]]="",NOTA[[#This Row],[HARGA SATUAN]]="",),"",NOTA[[#This Row],[QTY]]*NOTA[[#This Row],[HARGA SATUAN]])</f>
        <v/>
      </c>
      <c r="AG499" s="81">
        <f ca="1">IF(NOTA[ID_H]="","",INDEX(NOTA[TANGGAL],MATCH(,INDIRECT(ADDRESS(ROW(NOTA[TANGGAL]),COLUMN(NOTA[TANGGAL]))&amp;":"&amp;ADDRESS(ROW(),COLUMN(NOTA[TANGGAL]))),-1)))</f>
        <v>44944</v>
      </c>
      <c r="AH499" s="84" t="str">
        <f ca="1">IF(NOTA[[#This Row],[NAMA BARANG]]="","",INDEX(NOTA[SUPPLIER],MATCH(,INDIRECT(ADDRESS(ROW(NOTA[ID]),COLUMN(NOTA[ID]))&amp;":"&amp;ADDRESS(ROW(),COLUMN(NOTA[ID]))),-1)))</f>
        <v>ATALI MAKMUR</v>
      </c>
      <c r="AI499" s="84" t="str">
        <f ca="1">IF(NOTA[[#This Row],[ID_H]]="","",IF(NOTA[[#This Row],[FAKTUR]]="",INDIRECT(ADDRESS(ROW()-1,COLUMN())),NOTA[[#This Row],[FAKTUR]]))</f>
        <v>ARTO MORO</v>
      </c>
      <c r="AJ499" s="38" t="str">
        <f ca="1">IF(NOTA[[#This Row],[ID]]="","",COUNTIF(NOTA[ID_H],NOTA[[#This Row],[ID_H]]))</f>
        <v/>
      </c>
      <c r="AK499" s="38">
        <f ca="1">IF(NOTA[[#This Row],[TGL.NOTA]]="",IF(NOTA[[#This Row],[SUPPLIER_H]]="","",AK498),MONTH(NOTA[[#This Row],[TGL.NOTA]]))</f>
        <v>1</v>
      </c>
      <c r="AL49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499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N499" s="184">
        <f>IF(NOTA[[#This Row],[CONCAT1]]="","",MATCH(NOTA[[#This Row],[CONCAT1]],[1]!db[NB NOTA_C],0)+1)</f>
        <v>563</v>
      </c>
    </row>
    <row r="500" spans="1:40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Row],[CEK_EXP]]&lt;D499,"err","")</f>
        <v/>
      </c>
      <c r="D500" s="93">
        <f>IF(NOTA[[#This Row],[TANGGAL]]="",D499,NOTA[[#This Row],[TANGGAL]])</f>
        <v>44944</v>
      </c>
      <c r="E500" s="93" t="str">
        <f ca="1">IF(NOTA[[#This Row],[NAMA BARANG]]="","",INDEX(NOTA[ID],MATCH(,INDIRECT(ADDRESS(ROW(NOTA[ID]),COLUMN(NOTA[ID]))&amp;":"&amp;ADDRESS(ROW(),COLUMN(NOTA[ID]))),-1)))</f>
        <v/>
      </c>
      <c r="F500" s="94"/>
      <c r="G500" s="96"/>
      <c r="H500" s="96"/>
      <c r="I500" s="104"/>
      <c r="J500" s="38"/>
      <c r="K500" s="95"/>
      <c r="L500" s="96"/>
      <c r="M500" s="38"/>
      <c r="N500" s="97"/>
      <c r="O500" s="96"/>
      <c r="P500" s="38"/>
      <c r="Q500" s="98"/>
      <c r="R500" s="99"/>
      <c r="S500" s="56"/>
      <c r="T500" s="100"/>
      <c r="U500" s="101"/>
      <c r="V500" s="102"/>
      <c r="W500" s="103"/>
      <c r="X500" s="87" t="str">
        <f>IF(NOTA[[#This Row],[HARGA/ CTN]]="",NOTA[[#This Row],[JUMLAH_H]],NOTA[[#This Row],[HARGA/ CTN]]*IF(NOTA[[#This Row],[C]]="",0,NOTA[[#This Row],[C]]))</f>
        <v/>
      </c>
      <c r="Y500" s="87" t="str">
        <f>IF(NOTA[[#This Row],[JUMLAH]]="","",NOTA[[#This Row],[JUMLAH]]*NOTA[[#This Row],[DISC 1]])</f>
        <v/>
      </c>
      <c r="Z500" s="87" t="str">
        <f>IF(NOTA[[#This Row],[JUMLAH]]="","",(NOTA[[#This Row],[JUMLAH]]-NOTA[[#This Row],[DISC 1-]])*NOTA[[#This Row],[DISC 2]])</f>
        <v/>
      </c>
      <c r="AA500" s="87" t="str">
        <f>IF(NOTA[[#This Row],[JUMLAH]]="","",NOTA[[#This Row],[DISC 1-]]+NOTA[[#This Row],[DISC 2-]])</f>
        <v/>
      </c>
      <c r="AB500" s="87" t="str">
        <f>IF(NOTA[[#This Row],[JUMLAH]]="","",NOTA[[#This Row],[JUMLAH]]-NOTA[[#This Row],[DISC]])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87" t="str">
        <f>IF(OR(NOTA[[#This Row],[QTY]]="",NOTA[[#This Row],[HARGA SATUAN]]="",),"",NOTA[[#This Row],[QTY]]*NOTA[[#This Row],[HARGA SATUAN]])</f>
        <v/>
      </c>
      <c r="AG500" s="81" t="str">
        <f ca="1">IF(NOTA[ID_H]="","",INDEX(NOTA[TANGGAL],MATCH(,INDIRECT(ADDRESS(ROW(NOTA[TANGGAL]),COLUMN(NOTA[TANGGAL]))&amp;":"&amp;ADDRESS(ROW(),COLUMN(NOTA[TANGGAL]))),-1)))</f>
        <v/>
      </c>
      <c r="AH500" s="84" t="str">
        <f ca="1">IF(NOTA[[#This Row],[NAMA BARANG]]="","",INDEX(NOTA[SUPPLIER],MATCH(,INDIRECT(ADDRESS(ROW(NOTA[ID]),COLUMN(NOTA[ID]))&amp;":"&amp;ADDRESS(ROW(),COLUMN(NOTA[ID]))),-1)))</f>
        <v/>
      </c>
      <c r="AI500" s="84" t="str">
        <f ca="1">IF(NOTA[[#This Row],[ID_H]]="","",IF(NOTA[[#This Row],[FAKTUR]]="",INDIRECT(ADDRESS(ROW()-1,COLUMN())),NOTA[[#This Row],[FAKTUR]]))</f>
        <v/>
      </c>
      <c r="AJ500" s="38" t="str">
        <f ca="1">IF(NOTA[[#This Row],[ID]]="","",COUNTIF(NOTA[ID_H],NOTA[[#This Row],[ID_H]]))</f>
        <v/>
      </c>
      <c r="AK500" s="38" t="str">
        <f ca="1">IF(NOTA[[#This Row],[TGL.NOTA]]="",IF(NOTA[[#This Row],[SUPPLIER_H]]="","",AK499),MONTH(NOTA[[#This Row],[TGL.NOTA]]))</f>
        <v/>
      </c>
      <c r="AL500" s="38" t="str">
        <f>LOWER(SUBSTITUTE(SUBSTITUTE(SUBSTITUTE(SUBSTITUTE(SUBSTITUTE(SUBSTITUTE(SUBSTITUTE(SUBSTITUTE(SUBSTITUTE(NOTA[NAMA BARANG]," ",),".",""),"-",""),"(",""),")",""),",",""),"/",""),"""",""),"+",""))</f>
        <v/>
      </c>
      <c r="AM500" s="38" t="str">
        <f>IF(NOTA[C]="",NOTA[[#This Row],[CONCAT1]]&amp;NOTA[[#This Row],[HARGA SATUAN]],NOTA[[#This Row],[CONCAT1]]&amp;NOTA[[#This Row],[HARGA/ CTN_H]]&amp;NOTA[[#This Row],[DISC 1]]&amp;NOTA[[#This Row],[DISC 2]])</f>
        <v/>
      </c>
      <c r="AN500" s="184" t="str">
        <f>IF(NOTA[[#This Row],[CONCAT1]]="","",MATCH(NOTA[[#This Row],[CONCAT1]],[1]!db[NB NOTA_C],0)+1)</f>
        <v/>
      </c>
    </row>
    <row r="501" spans="1:40" ht="20.100000000000001" customHeight="1" x14ac:dyDescent="0.25">
      <c r="A501" s="84">
        <f ca="1">IF(INDIRECT(ADDRESS(ROW()-1,COLUMN(NOTA[[#Headers],[ID]])))="ID",1,IF(NOTA[[#This Row],[FAKTUR]]="","",COUNT(INDIRECT(ADDRESS(ROW(NOTA[ID]),COLUMN(NOTA[ID]))&amp;":"&amp;ADDRESS(ROW()-1,COLUMN(NOTA[ID]))))+1))</f>
        <v>92</v>
      </c>
      <c r="B501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KAL_1801_133-7</v>
      </c>
      <c r="C501" s="93" t="str">
        <f>IF(NOTA[[#This Row],[CEK_EXP]]&lt;D500,"err","")</f>
        <v/>
      </c>
      <c r="D501" s="93">
        <f>IF(NOTA[[#This Row],[TANGGAL]]="",D500,NOTA[[#This Row],[TANGGAL]])</f>
        <v>44944</v>
      </c>
      <c r="E501" s="93">
        <f ca="1">IF(NOTA[[#This Row],[NAMA BARANG]]="","",INDEX(NOTA[ID],MATCH(,INDIRECT(ADDRESS(ROW(NOTA[ID]),COLUMN(NOTA[ID]))&amp;":"&amp;ADDRESS(ROW(),COLUMN(NOTA[ID]))),-1)))</f>
        <v>92</v>
      </c>
      <c r="F501" s="94"/>
      <c r="G501" s="38" t="s">
        <v>52</v>
      </c>
      <c r="H501" s="38" t="s">
        <v>24</v>
      </c>
      <c r="I501" s="79" t="s">
        <v>667</v>
      </c>
      <c r="J501" s="38"/>
      <c r="K501" s="95">
        <v>44939</v>
      </c>
      <c r="L501" s="96"/>
      <c r="M501" s="38" t="s">
        <v>668</v>
      </c>
      <c r="N501" s="97">
        <v>1</v>
      </c>
      <c r="O501" s="96">
        <v>80</v>
      </c>
      <c r="P501" s="38" t="s">
        <v>104</v>
      </c>
      <c r="Q501" s="98">
        <v>55000</v>
      </c>
      <c r="R501" s="99"/>
      <c r="S501" s="56" t="s">
        <v>442</v>
      </c>
      <c r="T501" s="100">
        <v>0.125</v>
      </c>
      <c r="U501" s="101">
        <v>0.05</v>
      </c>
      <c r="V501" s="102"/>
      <c r="W501" s="103"/>
      <c r="X501" s="87">
        <f>IF(NOTA[[#This Row],[HARGA/ CTN]]="",NOTA[[#This Row],[JUMLAH_H]],NOTA[[#This Row],[HARGA/ CTN]]*IF(NOTA[[#This Row],[C]]="",0,NOTA[[#This Row],[C]]))</f>
        <v>4400000</v>
      </c>
      <c r="Y501" s="87">
        <f>IF(NOTA[[#This Row],[JUMLAH]]="","",NOTA[[#This Row],[JUMLAH]]*NOTA[[#This Row],[DISC 1]])</f>
        <v>550000</v>
      </c>
      <c r="Z501" s="87">
        <f>IF(NOTA[[#This Row],[JUMLAH]]="","",(NOTA[[#This Row],[JUMLAH]]-NOTA[[#This Row],[DISC 1-]])*NOTA[[#This Row],[DISC 2]])</f>
        <v>192500</v>
      </c>
      <c r="AA501" s="87">
        <f>IF(NOTA[[#This Row],[JUMLAH]]="","",NOTA[[#This Row],[DISC 1-]]+NOTA[[#This Row],[DISC 2-]])</f>
        <v>742500</v>
      </c>
      <c r="AB501" s="87">
        <f>IF(NOTA[[#This Row],[JUMLAH]]="","",NOTA[[#This Row],[JUMLAH]]-NOTA[[#This Row],[DISC]])</f>
        <v>3657500</v>
      </c>
      <c r="AC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84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501" s="87">
        <f>IF(OR(NOTA[[#This Row],[QTY]]="",NOTA[[#This Row],[HARGA SATUAN]]="",),"",NOTA[[#This Row],[QTY]]*NOTA[[#This Row],[HARGA SATUAN]])</f>
        <v>4400000</v>
      </c>
      <c r="AG501" s="81">
        <f ca="1">IF(NOTA[ID_H]="","",INDEX(NOTA[TANGGAL],MATCH(,INDIRECT(ADDRESS(ROW(NOTA[TANGGAL]),COLUMN(NOTA[TANGGAL]))&amp;":"&amp;ADDRESS(ROW(),COLUMN(NOTA[TANGGAL]))),-1)))</f>
        <v>44944</v>
      </c>
      <c r="AH501" s="84" t="str">
        <f ca="1">IF(NOTA[[#This Row],[NAMA BARANG]]="","",INDEX(NOTA[SUPPLIER],MATCH(,INDIRECT(ADDRESS(ROW(NOTA[ID]),COLUMN(NOTA[ID]))&amp;":"&amp;ADDRESS(ROW(),COLUMN(NOTA[ID]))),-1)))</f>
        <v>KALINDO SUKSES</v>
      </c>
      <c r="AI501" s="84" t="str">
        <f ca="1">IF(NOTA[[#This Row],[ID_H]]="","",IF(NOTA[[#This Row],[FAKTUR]]="",INDIRECT(ADDRESS(ROW()-1,COLUMN())),NOTA[[#This Row],[FAKTUR]]))</f>
        <v>ARTO MORO</v>
      </c>
      <c r="AJ501" s="38">
        <f ca="1">IF(NOTA[[#This Row],[ID]]="","",COUNTIF(NOTA[ID_H],NOTA[[#This Row],[ID_H]]))</f>
        <v>7</v>
      </c>
      <c r="AK501" s="38">
        <f>IF(NOTA[[#This Row],[TGL.NOTA]]="",IF(NOTA[[#This Row],[SUPPLIER_H]]="","",AK500),MONTH(NOTA[[#This Row],[TGL.NOTA]]))</f>
        <v>1</v>
      </c>
      <c r="AL501" s="38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M501" s="38" t="str">
        <f>IF(NOTA[C]="",NOTA[[#This Row],[CONCAT1]]&amp;NOTA[[#This Row],[HARGA SATUAN]],NOTA[[#This Row],[CONCAT1]]&amp;NOTA[[#This Row],[HARGA/ CTN_H]]&amp;NOTA[[#This Row],[DISC 1]]&amp;NOTA[[#This Row],[DISC 2]])</f>
        <v>calculatorjoykocc4044000000.1250.05</v>
      </c>
      <c r="AN501" s="184">
        <f>IF(NOTA[[#This Row],[CONCAT1]]="","",MATCH(NOTA[[#This Row],[CONCAT1]],[1]!db[NB NOTA_C],0)+1)</f>
        <v>408</v>
      </c>
    </row>
    <row r="502" spans="1:40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Row],[CEK_EXP]]&lt;D501,"err","")</f>
        <v/>
      </c>
      <c r="D502" s="93">
        <f>IF(NOTA[[#This Row],[TANGGAL]]="",D501,NOTA[[#This Row],[TANGGAL]])</f>
        <v>44944</v>
      </c>
      <c r="E502" s="93">
        <f ca="1">IF(NOTA[[#This Row],[NAMA BARANG]]="","",INDEX(NOTA[ID],MATCH(,INDIRECT(ADDRESS(ROW(NOTA[ID]),COLUMN(NOTA[ID]))&amp;":"&amp;ADDRESS(ROW(),COLUMN(NOTA[ID]))),-1)))</f>
        <v>92</v>
      </c>
      <c r="F502" s="94"/>
      <c r="G502" s="96"/>
      <c r="H502" s="96"/>
      <c r="I502" s="104"/>
      <c r="J502" s="96"/>
      <c r="K502" s="95"/>
      <c r="L502" s="96"/>
      <c r="M502" s="38" t="s">
        <v>507</v>
      </c>
      <c r="N502" s="97">
        <v>1</v>
      </c>
      <c r="O502" s="96">
        <v>60</v>
      </c>
      <c r="P502" s="38" t="s">
        <v>104</v>
      </c>
      <c r="Q502" s="98">
        <v>74000</v>
      </c>
      <c r="R502" s="99"/>
      <c r="S502" s="56" t="s">
        <v>516</v>
      </c>
      <c r="T502" s="100">
        <v>0.125</v>
      </c>
      <c r="U502" s="101">
        <v>0.05</v>
      </c>
      <c r="V502" s="102"/>
      <c r="W502" s="103"/>
      <c r="X502" s="87">
        <f>IF(NOTA[[#This Row],[HARGA/ CTN]]="",NOTA[[#This Row],[JUMLAH_H]],NOTA[[#This Row],[HARGA/ CTN]]*IF(NOTA[[#This Row],[C]]="",0,NOTA[[#This Row],[C]]))</f>
        <v>4440000</v>
      </c>
      <c r="Y502" s="87">
        <f>IF(NOTA[[#This Row],[JUMLAH]]="","",NOTA[[#This Row],[JUMLAH]]*NOTA[[#This Row],[DISC 1]])</f>
        <v>555000</v>
      </c>
      <c r="Z502" s="87">
        <f>IF(NOTA[[#This Row],[JUMLAH]]="","",(NOTA[[#This Row],[JUMLAH]]-NOTA[[#This Row],[DISC 1-]])*NOTA[[#This Row],[DISC 2]])</f>
        <v>194250</v>
      </c>
      <c r="AA502" s="87">
        <f>IF(NOTA[[#This Row],[JUMLAH]]="","",NOTA[[#This Row],[DISC 1-]]+NOTA[[#This Row],[DISC 2-]])</f>
        <v>749250</v>
      </c>
      <c r="AB502" s="87">
        <f>IF(NOTA[[#This Row],[JUMLAH]]="","",NOTA[[#This Row],[JUMLAH]]-NOTA[[#This Row],[DISC]])</f>
        <v>3690750</v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84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502" s="87">
        <f>IF(OR(NOTA[[#This Row],[QTY]]="",NOTA[[#This Row],[HARGA SATUAN]]="",),"",NOTA[[#This Row],[QTY]]*NOTA[[#This Row],[HARGA SATUAN]])</f>
        <v>4440000</v>
      </c>
      <c r="AG502" s="81">
        <f ca="1">IF(NOTA[ID_H]="","",INDEX(NOTA[TANGGAL],MATCH(,INDIRECT(ADDRESS(ROW(NOTA[TANGGAL]),COLUMN(NOTA[TANGGAL]))&amp;":"&amp;ADDRESS(ROW(),COLUMN(NOTA[TANGGAL]))),-1)))</f>
        <v>44944</v>
      </c>
      <c r="AH502" s="84" t="str">
        <f ca="1">IF(NOTA[[#This Row],[NAMA BARANG]]="","",INDEX(NOTA[SUPPLIER],MATCH(,INDIRECT(ADDRESS(ROW(NOTA[ID]),COLUMN(NOTA[ID]))&amp;":"&amp;ADDRESS(ROW(),COLUMN(NOTA[ID]))),-1)))</f>
        <v>KALINDO SUKSES</v>
      </c>
      <c r="AI502" s="84" t="str">
        <f ca="1">IF(NOTA[[#This Row],[ID_H]]="","",IF(NOTA[[#This Row],[FAKTUR]]="",INDIRECT(ADDRESS(ROW()-1,COLUMN())),NOTA[[#This Row],[FAKTUR]]))</f>
        <v>ARTO MORO</v>
      </c>
      <c r="AJ502" s="38" t="str">
        <f ca="1">IF(NOTA[[#This Row],[ID]]="","",COUNTIF(NOTA[ID_H],NOTA[[#This Row],[ID_H]]))</f>
        <v/>
      </c>
      <c r="AK502" s="38">
        <f ca="1">IF(NOTA[[#This Row],[TGL.NOTA]]="",IF(NOTA[[#This Row],[SUPPLIER_H]]="","",AK501),MONTH(NOTA[[#This Row],[TGL.NOTA]]))</f>
        <v>1</v>
      </c>
      <c r="AL502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502" s="38" t="str">
        <f>IF(NOTA[C]="",NOTA[[#This Row],[CONCAT1]]&amp;NOTA[[#This Row],[HARGA SATUAN]],NOTA[[#This Row],[CONCAT1]]&amp;NOTA[[#This Row],[HARGA/ CTN_H]]&amp;NOTA[[#This Row],[DISC 1]]&amp;NOTA[[#This Row],[DISC 2]])</f>
        <v>calculatorjoykocc4144400000.1250.05</v>
      </c>
      <c r="AN502" s="184">
        <f>IF(NOTA[[#This Row],[CONCAT1]]="","",MATCH(NOTA[[#This Row],[CONCAT1]],[1]!db[NB NOTA_C],0)+1)</f>
        <v>409</v>
      </c>
    </row>
    <row r="503" spans="1:40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Row],[CEK_EXP]]&lt;D502,"err","")</f>
        <v/>
      </c>
      <c r="D503" s="93">
        <f>IF(NOTA[[#This Row],[TANGGAL]]="",D502,NOTA[[#This Row],[TANGGAL]])</f>
        <v>44944</v>
      </c>
      <c r="E503" s="93">
        <f ca="1">IF(NOTA[[#This Row],[NAMA BARANG]]="","",INDEX(NOTA[ID],MATCH(,INDIRECT(ADDRESS(ROW(NOTA[ID]),COLUMN(NOTA[ID]))&amp;":"&amp;ADDRESS(ROW(),COLUMN(NOTA[ID]))),-1)))</f>
        <v>92</v>
      </c>
      <c r="F503" s="94"/>
      <c r="G503" s="38"/>
      <c r="H503" s="38"/>
      <c r="I503" s="79"/>
      <c r="J503" s="96"/>
      <c r="K503" s="95"/>
      <c r="L503" s="96"/>
      <c r="M503" s="38" t="s">
        <v>669</v>
      </c>
      <c r="N503" s="97"/>
      <c r="O503" s="96">
        <v>40</v>
      </c>
      <c r="P503" s="38" t="s">
        <v>104</v>
      </c>
      <c r="Q503" s="90">
        <v>32500</v>
      </c>
      <c r="R503" s="105"/>
      <c r="S503" s="166" t="s">
        <v>517</v>
      </c>
      <c r="T503" s="100">
        <v>0.125</v>
      </c>
      <c r="U503" s="101">
        <v>0.05</v>
      </c>
      <c r="V503" s="102"/>
      <c r="W503" s="103"/>
      <c r="X503" s="87">
        <f>IF(NOTA[[#This Row],[HARGA/ CTN]]="",NOTA[[#This Row],[JUMLAH_H]],NOTA[[#This Row],[HARGA/ CTN]]*IF(NOTA[[#This Row],[C]]="",0,NOTA[[#This Row],[C]]))</f>
        <v>1300000</v>
      </c>
      <c r="Y503" s="87">
        <f>IF(NOTA[[#This Row],[JUMLAH]]="","",NOTA[[#This Row],[JUMLAH]]*NOTA[[#This Row],[DISC 1]])</f>
        <v>162500</v>
      </c>
      <c r="Z503" s="87">
        <f>IF(NOTA[[#This Row],[JUMLAH]]="","",(NOTA[[#This Row],[JUMLAH]]-NOTA[[#This Row],[DISC 1-]])*NOTA[[#This Row],[DISC 2]])</f>
        <v>56875</v>
      </c>
      <c r="AA503" s="87">
        <f>IF(NOTA[[#This Row],[JUMLAH]]="","",NOTA[[#This Row],[DISC 1-]]+NOTA[[#This Row],[DISC 2-]])</f>
        <v>219375</v>
      </c>
      <c r="AB503" s="87">
        <f>IF(NOTA[[#This Row],[JUMLAH]]="","",NOTA[[#This Row],[JUMLAH]]-NOTA[[#This Row],[DISC]])</f>
        <v>1080625</v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503" s="87">
        <f>IF(OR(NOTA[[#This Row],[QTY]]="",NOTA[[#This Row],[HARGA SATUAN]]="",),"",NOTA[[#This Row],[QTY]]*NOTA[[#This Row],[HARGA SATUAN]])</f>
        <v>1300000</v>
      </c>
      <c r="AG503" s="81">
        <f ca="1">IF(NOTA[ID_H]="","",INDEX(NOTA[TANGGAL],MATCH(,INDIRECT(ADDRESS(ROW(NOTA[TANGGAL]),COLUMN(NOTA[TANGGAL]))&amp;":"&amp;ADDRESS(ROW(),COLUMN(NOTA[TANGGAL]))),-1)))</f>
        <v>44944</v>
      </c>
      <c r="AH503" s="84" t="str">
        <f ca="1">IF(NOTA[[#This Row],[NAMA BARANG]]="","",INDEX(NOTA[SUPPLIER],MATCH(,INDIRECT(ADDRESS(ROW(NOTA[ID]),COLUMN(NOTA[ID]))&amp;":"&amp;ADDRESS(ROW(),COLUMN(NOTA[ID]))),-1)))</f>
        <v>KALINDO SUKSES</v>
      </c>
      <c r="AI503" s="84" t="str">
        <f ca="1">IF(NOTA[[#This Row],[ID_H]]="","",IF(NOTA[[#This Row],[FAKTUR]]="",INDIRECT(ADDRESS(ROW()-1,COLUMN())),NOTA[[#This Row],[FAKTUR]]))</f>
        <v>ARTO MORO</v>
      </c>
      <c r="AJ503" s="38" t="str">
        <f ca="1">IF(NOTA[[#This Row],[ID]]="","",COUNTIF(NOTA[ID_H],NOTA[[#This Row],[ID_H]]))</f>
        <v/>
      </c>
      <c r="AK503" s="38">
        <f ca="1">IF(NOTA[[#This Row],[TGL.NOTA]]="",IF(NOTA[[#This Row],[SUPPLIER_H]]="","",AK502),MONTH(NOTA[[#This Row],[TGL.NOTA]]))</f>
        <v>1</v>
      </c>
      <c r="AL503" s="38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M503" s="38" t="str">
        <f>IF(NOTA[C]="",NOTA[[#This Row],[CONCAT1]]&amp;NOTA[[#This Row],[HARGA SATUAN]],NOTA[[#This Row],[CONCAT1]]&amp;NOTA[[#This Row],[HARGA/ CTN_H]]&amp;NOTA[[#This Row],[DISC 1]]&amp;NOTA[[#This Row],[DISC 2]])</f>
        <v>calculatorjoykocc47coblue32500</v>
      </c>
      <c r="AN503" s="184">
        <f>IF(NOTA[[#This Row],[CONCAT1]]="","",MATCH(NOTA[[#This Row],[CONCAT1]],[1]!db[NB NOTA_C],0)+1)</f>
        <v>412</v>
      </c>
    </row>
    <row r="504" spans="1:40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Row],[CEK_EXP]]&lt;D503,"err","")</f>
        <v/>
      </c>
      <c r="D504" s="93">
        <f>IF(NOTA[[#This Row],[TANGGAL]]="",D503,NOTA[[#This Row],[TANGGAL]])</f>
        <v>44944</v>
      </c>
      <c r="E504" s="93">
        <f ca="1">IF(NOTA[[#This Row],[NAMA BARANG]]="","",INDEX(NOTA[ID],MATCH(,INDIRECT(ADDRESS(ROW(NOTA[ID]),COLUMN(NOTA[ID]))&amp;":"&amp;ADDRESS(ROW(),COLUMN(NOTA[ID]))),-1)))</f>
        <v>92</v>
      </c>
      <c r="F504" s="94"/>
      <c r="G504" s="38"/>
      <c r="H504" s="38"/>
      <c r="I504" s="79"/>
      <c r="J504" s="96"/>
      <c r="K504" s="95"/>
      <c r="L504" s="96"/>
      <c r="M504" s="38" t="s">
        <v>670</v>
      </c>
      <c r="N504" s="97"/>
      <c r="O504" s="96">
        <v>40</v>
      </c>
      <c r="P504" s="38" t="s">
        <v>104</v>
      </c>
      <c r="Q504" s="98">
        <v>32500</v>
      </c>
      <c r="R504" s="99"/>
      <c r="S504" s="56" t="s">
        <v>517</v>
      </c>
      <c r="T504" s="100">
        <v>0.125</v>
      </c>
      <c r="U504" s="101">
        <v>0.05</v>
      </c>
      <c r="V504" s="102"/>
      <c r="W504" s="103"/>
      <c r="X504" s="87">
        <f>IF(NOTA[[#This Row],[HARGA/ CTN]]="",NOTA[[#This Row],[JUMLAH_H]],NOTA[[#This Row],[HARGA/ CTN]]*IF(NOTA[[#This Row],[C]]="",0,NOTA[[#This Row],[C]]))</f>
        <v>1300000</v>
      </c>
      <c r="Y504" s="87">
        <f>IF(NOTA[[#This Row],[JUMLAH]]="","",NOTA[[#This Row],[JUMLAH]]*NOTA[[#This Row],[DISC 1]])</f>
        <v>162500</v>
      </c>
      <c r="Z504" s="87">
        <f>IF(NOTA[[#This Row],[JUMLAH]]="","",(NOTA[[#This Row],[JUMLAH]]-NOTA[[#This Row],[DISC 1-]])*NOTA[[#This Row],[DISC 2]])</f>
        <v>56875</v>
      </c>
      <c r="AA504" s="87">
        <f>IF(NOTA[[#This Row],[JUMLAH]]="","",NOTA[[#This Row],[DISC 1-]]+NOTA[[#This Row],[DISC 2-]])</f>
        <v>219375</v>
      </c>
      <c r="AB504" s="87">
        <f>IF(NOTA[[#This Row],[JUMLAH]]="","",NOTA[[#This Row],[JUMLAH]]-NOTA[[#This Row],[DISC]])</f>
        <v>1080625</v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504" s="87">
        <f>IF(OR(NOTA[[#This Row],[QTY]]="",NOTA[[#This Row],[HARGA SATUAN]]="",),"",NOTA[[#This Row],[QTY]]*NOTA[[#This Row],[HARGA SATUAN]])</f>
        <v>1300000</v>
      </c>
      <c r="AG504" s="81">
        <f ca="1">IF(NOTA[ID_H]="","",INDEX(NOTA[TANGGAL],MATCH(,INDIRECT(ADDRESS(ROW(NOTA[TANGGAL]),COLUMN(NOTA[TANGGAL]))&amp;":"&amp;ADDRESS(ROW(),COLUMN(NOTA[TANGGAL]))),-1)))</f>
        <v>44944</v>
      </c>
      <c r="AH504" s="84" t="str">
        <f ca="1">IF(NOTA[[#This Row],[NAMA BARANG]]="","",INDEX(NOTA[SUPPLIER],MATCH(,INDIRECT(ADDRESS(ROW(NOTA[ID]),COLUMN(NOTA[ID]))&amp;":"&amp;ADDRESS(ROW(),COLUMN(NOTA[ID]))),-1)))</f>
        <v>KALINDO SUKSES</v>
      </c>
      <c r="AI504" s="84" t="str">
        <f ca="1">IF(NOTA[[#This Row],[ID_H]]="","",IF(NOTA[[#This Row],[FAKTUR]]="",INDIRECT(ADDRESS(ROW()-1,COLUMN())),NOTA[[#This Row],[FAKTUR]]))</f>
        <v>ARTO MORO</v>
      </c>
      <c r="AJ504" s="38" t="str">
        <f ca="1">IF(NOTA[[#This Row],[ID]]="","",COUNTIF(NOTA[ID_H],NOTA[[#This Row],[ID_H]]))</f>
        <v/>
      </c>
      <c r="AK504" s="38">
        <f ca="1">IF(NOTA[[#This Row],[TGL.NOTA]]="",IF(NOTA[[#This Row],[SUPPLIER_H]]="","",AK503),MONTH(NOTA[[#This Row],[TGL.NOTA]]))</f>
        <v>1</v>
      </c>
      <c r="AL504" s="38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M504" s="38" t="str">
        <f>IF(NOTA[C]="",NOTA[[#This Row],[CONCAT1]]&amp;NOTA[[#This Row],[HARGA SATUAN]],NOTA[[#This Row],[CONCAT1]]&amp;NOTA[[#This Row],[HARGA/ CTN_H]]&amp;NOTA[[#This Row],[DISC 1]]&amp;NOTA[[#This Row],[DISC 2]])</f>
        <v>calculatorjoykocc47cogreen32500</v>
      </c>
      <c r="AN504" s="184">
        <f>IF(NOTA[[#This Row],[CONCAT1]]="","",MATCH(NOTA[[#This Row],[CONCAT1]],[1]!db[NB NOTA_C],0)+1)</f>
        <v>413</v>
      </c>
    </row>
    <row r="505" spans="1:40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Row],[CEK_EXP]]&lt;D504,"err","")</f>
        <v/>
      </c>
      <c r="D505" s="93">
        <f>IF(NOTA[[#This Row],[TANGGAL]]="",D504,NOTA[[#This Row],[TANGGAL]])</f>
        <v>44944</v>
      </c>
      <c r="E505" s="93">
        <f ca="1">IF(NOTA[[#This Row],[NAMA BARANG]]="","",INDEX(NOTA[ID],MATCH(,INDIRECT(ADDRESS(ROW(NOTA[ID]),COLUMN(NOTA[ID]))&amp;":"&amp;ADDRESS(ROW(),COLUMN(NOTA[ID]))),-1)))</f>
        <v>92</v>
      </c>
      <c r="F505" s="94"/>
      <c r="G505" s="96"/>
      <c r="H505" s="96"/>
      <c r="I505" s="104"/>
      <c r="J505" s="96"/>
      <c r="K505" s="95"/>
      <c r="L505" s="96"/>
      <c r="M505" s="38" t="s">
        <v>671</v>
      </c>
      <c r="N505" s="97"/>
      <c r="O505" s="96">
        <v>40</v>
      </c>
      <c r="P505" s="38" t="s">
        <v>104</v>
      </c>
      <c r="Q505" s="98">
        <v>32500</v>
      </c>
      <c r="R505" s="99"/>
      <c r="S505" s="56" t="s">
        <v>517</v>
      </c>
      <c r="T505" s="100">
        <v>0.125</v>
      </c>
      <c r="U505" s="101">
        <v>0.05</v>
      </c>
      <c r="V505" s="102"/>
      <c r="W505" s="103"/>
      <c r="X505" s="87">
        <f>IF(NOTA[[#This Row],[HARGA/ CTN]]="",NOTA[[#This Row],[JUMLAH_H]],NOTA[[#This Row],[HARGA/ CTN]]*IF(NOTA[[#This Row],[C]]="",0,NOTA[[#This Row],[C]]))</f>
        <v>1300000</v>
      </c>
      <c r="Y505" s="87">
        <f>IF(NOTA[[#This Row],[JUMLAH]]="","",NOTA[[#This Row],[JUMLAH]]*NOTA[[#This Row],[DISC 1]])</f>
        <v>162500</v>
      </c>
      <c r="Z505" s="87">
        <f>IF(NOTA[[#This Row],[JUMLAH]]="","",(NOTA[[#This Row],[JUMLAH]]-NOTA[[#This Row],[DISC 1-]])*NOTA[[#This Row],[DISC 2]])</f>
        <v>56875</v>
      </c>
      <c r="AA505" s="87">
        <f>IF(NOTA[[#This Row],[JUMLAH]]="","",NOTA[[#This Row],[DISC 1-]]+NOTA[[#This Row],[DISC 2-]])</f>
        <v>219375</v>
      </c>
      <c r="AB505" s="87">
        <f>IF(NOTA[[#This Row],[JUMLAH]]="","",NOTA[[#This Row],[JUMLAH]]-NOTA[[#This Row],[DISC]])</f>
        <v>1080625</v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84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505" s="87">
        <f>IF(OR(NOTA[[#This Row],[QTY]]="",NOTA[[#This Row],[HARGA SATUAN]]="",),"",NOTA[[#This Row],[QTY]]*NOTA[[#This Row],[HARGA SATUAN]])</f>
        <v>1300000</v>
      </c>
      <c r="AG505" s="81">
        <f ca="1">IF(NOTA[ID_H]="","",INDEX(NOTA[TANGGAL],MATCH(,INDIRECT(ADDRESS(ROW(NOTA[TANGGAL]),COLUMN(NOTA[TANGGAL]))&amp;":"&amp;ADDRESS(ROW(),COLUMN(NOTA[TANGGAL]))),-1)))</f>
        <v>44944</v>
      </c>
      <c r="AH505" s="84" t="str">
        <f ca="1">IF(NOTA[[#This Row],[NAMA BARANG]]="","",INDEX(NOTA[SUPPLIER],MATCH(,INDIRECT(ADDRESS(ROW(NOTA[ID]),COLUMN(NOTA[ID]))&amp;":"&amp;ADDRESS(ROW(),COLUMN(NOTA[ID]))),-1)))</f>
        <v>KALINDO SUKSES</v>
      </c>
      <c r="AI505" s="84" t="str">
        <f ca="1">IF(NOTA[[#This Row],[ID_H]]="","",IF(NOTA[[#This Row],[FAKTUR]]="",INDIRECT(ADDRESS(ROW()-1,COLUMN())),NOTA[[#This Row],[FAKTUR]]))</f>
        <v>ARTO MORO</v>
      </c>
      <c r="AJ505" s="38" t="str">
        <f ca="1">IF(NOTA[[#This Row],[ID]]="","",COUNTIF(NOTA[ID_H],NOTA[[#This Row],[ID_H]]))</f>
        <v/>
      </c>
      <c r="AK505" s="38">
        <f ca="1">IF(NOTA[[#This Row],[TGL.NOTA]]="",IF(NOTA[[#This Row],[SUPPLIER_H]]="","",AK504),MONTH(NOTA[[#This Row],[TGL.NOTA]]))</f>
        <v>1</v>
      </c>
      <c r="AL505" s="38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M505" s="38" t="str">
        <f>IF(NOTA[C]="",NOTA[[#This Row],[CONCAT1]]&amp;NOTA[[#This Row],[HARGA SATUAN]],NOTA[[#This Row],[CONCAT1]]&amp;NOTA[[#This Row],[HARGA/ CTN_H]]&amp;NOTA[[#This Row],[DISC 1]]&amp;NOTA[[#This Row],[DISC 2]])</f>
        <v>calculatorjoykocc47cored32500</v>
      </c>
      <c r="AN505" s="184">
        <f>IF(NOTA[[#This Row],[CONCAT1]]="","",MATCH(NOTA[[#This Row],[CONCAT1]],[1]!db[NB NOTA_C],0)+1)</f>
        <v>414</v>
      </c>
    </row>
    <row r="506" spans="1:40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Row],[CEK_EXP]]&lt;D505,"err","")</f>
        <v/>
      </c>
      <c r="D506" s="93">
        <f>IF(NOTA[[#This Row],[TANGGAL]]="",D505,NOTA[[#This Row],[TANGGAL]])</f>
        <v>44944</v>
      </c>
      <c r="E506" s="93">
        <f ca="1">IF(NOTA[[#This Row],[NAMA BARANG]]="","",INDEX(NOTA[ID],MATCH(,INDIRECT(ADDRESS(ROW(NOTA[ID]),COLUMN(NOTA[ID]))&amp;":"&amp;ADDRESS(ROW(),COLUMN(NOTA[ID]))),-1)))</f>
        <v>92</v>
      </c>
      <c r="F506" s="94"/>
      <c r="G506" s="38"/>
      <c r="H506" s="38"/>
      <c r="I506" s="79"/>
      <c r="J506" s="96"/>
      <c r="K506" s="95"/>
      <c r="L506" s="38"/>
      <c r="M506" s="38" t="s">
        <v>672</v>
      </c>
      <c r="N506" s="97">
        <v>1</v>
      </c>
      <c r="O506" s="96">
        <v>120</v>
      </c>
      <c r="P506" s="38" t="s">
        <v>104</v>
      </c>
      <c r="Q506" s="98">
        <v>52000</v>
      </c>
      <c r="R506" s="99"/>
      <c r="S506" s="56" t="s">
        <v>517</v>
      </c>
      <c r="T506" s="100">
        <v>0.125</v>
      </c>
      <c r="U506" s="101">
        <v>0.05</v>
      </c>
      <c r="V506" s="102"/>
      <c r="W506" s="103"/>
      <c r="X506" s="87">
        <f>IF(NOTA[[#This Row],[HARGA/ CTN]]="",NOTA[[#This Row],[JUMLAH_H]],NOTA[[#This Row],[HARGA/ CTN]]*IF(NOTA[[#This Row],[C]]="",0,NOTA[[#This Row],[C]]))</f>
        <v>6240000</v>
      </c>
      <c r="Y506" s="87">
        <f>IF(NOTA[[#This Row],[JUMLAH]]="","",NOTA[[#This Row],[JUMLAH]]*NOTA[[#This Row],[DISC 1]])</f>
        <v>780000</v>
      </c>
      <c r="Z506" s="87">
        <f>IF(NOTA[[#This Row],[JUMLAH]]="","",(NOTA[[#This Row],[JUMLAH]]-NOTA[[#This Row],[DISC 1-]])*NOTA[[#This Row],[DISC 2]])</f>
        <v>273000</v>
      </c>
      <c r="AA506" s="87">
        <f>IF(NOTA[[#This Row],[JUMLAH]]="","",NOTA[[#This Row],[DISC 1-]]+NOTA[[#This Row],[DISC 2-]])</f>
        <v>1053000</v>
      </c>
      <c r="AB506" s="87">
        <f>IF(NOTA[[#This Row],[JUMLAH]]="","",NOTA[[#This Row],[JUMLAH]]-NOTA[[#This Row],[DISC]])</f>
        <v>5187000</v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84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F506" s="87">
        <f>IF(OR(NOTA[[#This Row],[QTY]]="",NOTA[[#This Row],[HARGA SATUAN]]="",),"",NOTA[[#This Row],[QTY]]*NOTA[[#This Row],[HARGA SATUAN]])</f>
        <v>6240000</v>
      </c>
      <c r="AG506" s="81">
        <f ca="1">IF(NOTA[ID_H]="","",INDEX(NOTA[TANGGAL],MATCH(,INDIRECT(ADDRESS(ROW(NOTA[TANGGAL]),COLUMN(NOTA[TANGGAL]))&amp;":"&amp;ADDRESS(ROW(),COLUMN(NOTA[TANGGAL]))),-1)))</f>
        <v>44944</v>
      </c>
      <c r="AH506" s="84" t="str">
        <f ca="1">IF(NOTA[[#This Row],[NAMA BARANG]]="","",INDEX(NOTA[SUPPLIER],MATCH(,INDIRECT(ADDRESS(ROW(NOTA[ID]),COLUMN(NOTA[ID]))&amp;":"&amp;ADDRESS(ROW(),COLUMN(NOTA[ID]))),-1)))</f>
        <v>KALINDO SUKSES</v>
      </c>
      <c r="AI506" s="84" t="str">
        <f ca="1">IF(NOTA[[#This Row],[ID_H]]="","",IF(NOTA[[#This Row],[FAKTUR]]="",INDIRECT(ADDRESS(ROW()-1,COLUMN())),NOTA[[#This Row],[FAKTUR]]))</f>
        <v>ARTO MORO</v>
      </c>
      <c r="AJ506" s="38" t="str">
        <f ca="1">IF(NOTA[[#This Row],[ID]]="","",COUNTIF(NOTA[ID_H],NOTA[[#This Row],[ID_H]]))</f>
        <v/>
      </c>
      <c r="AK506" s="38">
        <f ca="1">IF(NOTA[[#This Row],[TGL.NOTA]]="",IF(NOTA[[#This Row],[SUPPLIER_H]]="","",AK505),MONTH(NOTA[[#This Row],[TGL.NOTA]]))</f>
        <v>1</v>
      </c>
      <c r="AL506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M506" s="38" t="str">
        <f>IF(NOTA[C]="",NOTA[[#This Row],[CONCAT1]]&amp;NOTA[[#This Row],[HARGA SATUAN]],NOTA[[#This Row],[CONCAT1]]&amp;NOTA[[#This Row],[HARGA/ CTN_H]]&amp;NOTA[[#This Row],[DISC 1]]&amp;NOTA[[#This Row],[DISC 2]])</f>
        <v>calculatorjoykocc4662400000.1250.05</v>
      </c>
      <c r="AN506" s="184">
        <f>IF(NOTA[[#This Row],[CONCAT1]]="","",MATCH(NOTA[[#This Row],[CONCAT1]],[1]!db[NB NOTA_C],0)+1)</f>
        <v>410</v>
      </c>
    </row>
    <row r="507" spans="1:40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Row],[CEK_EXP]]&lt;D506,"err","")</f>
        <v/>
      </c>
      <c r="D507" s="93">
        <f>IF(NOTA[[#This Row],[TANGGAL]]="",D506,NOTA[[#This Row],[TANGGAL]])</f>
        <v>44944</v>
      </c>
      <c r="E507" s="93">
        <f ca="1">IF(NOTA[[#This Row],[NAMA BARANG]]="","",INDEX(NOTA[ID],MATCH(,INDIRECT(ADDRESS(ROW(NOTA[ID]),COLUMN(NOTA[ID]))&amp;":"&amp;ADDRESS(ROW(),COLUMN(NOTA[ID]))),-1)))</f>
        <v>92</v>
      </c>
      <c r="F507" s="94"/>
      <c r="G507" s="38"/>
      <c r="H507" s="38"/>
      <c r="I507" s="79"/>
      <c r="J507" s="96"/>
      <c r="K507" s="95"/>
      <c r="L507" s="96"/>
      <c r="M507" s="38" t="s">
        <v>673</v>
      </c>
      <c r="N507" s="97">
        <v>1</v>
      </c>
      <c r="O507" s="96">
        <v>60</v>
      </c>
      <c r="P507" s="38" t="s">
        <v>104</v>
      </c>
      <c r="Q507" s="98">
        <v>82000</v>
      </c>
      <c r="R507" s="99"/>
      <c r="S507" s="56" t="s">
        <v>516</v>
      </c>
      <c r="T507" s="100">
        <v>0.125</v>
      </c>
      <c r="U507" s="101">
        <v>0.05</v>
      </c>
      <c r="V507" s="102"/>
      <c r="W507" s="103"/>
      <c r="X507" s="87">
        <f>IF(NOTA[[#This Row],[HARGA/ CTN]]="",NOTA[[#This Row],[JUMLAH_H]],NOTA[[#This Row],[HARGA/ CTN]]*IF(NOTA[[#This Row],[C]]="",0,NOTA[[#This Row],[C]]))</f>
        <v>4920000</v>
      </c>
      <c r="Y507" s="87">
        <f>IF(NOTA[[#This Row],[JUMLAH]]="","",NOTA[[#This Row],[JUMLAH]]*NOTA[[#This Row],[DISC 1]])</f>
        <v>615000</v>
      </c>
      <c r="Z507" s="87">
        <f>IF(NOTA[[#This Row],[JUMLAH]]="","",(NOTA[[#This Row],[JUMLAH]]-NOTA[[#This Row],[DISC 1-]])*NOTA[[#This Row],[DISC 2]])</f>
        <v>215250</v>
      </c>
      <c r="AA507" s="87">
        <f>IF(NOTA[[#This Row],[JUMLAH]]="","",NOTA[[#This Row],[DISC 1-]]+NOTA[[#This Row],[DISC 2-]])</f>
        <v>830250</v>
      </c>
      <c r="AB507" s="87">
        <f>IF(NOTA[[#This Row],[JUMLAH]]="","",NOTA[[#This Row],[JUMLAH]]-NOTA[[#This Row],[DISC]])</f>
        <v>4089750</v>
      </c>
      <c r="AC50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4033125</v>
      </c>
      <c r="AD50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19866875</v>
      </c>
      <c r="AE507" s="84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507" s="87">
        <f>IF(OR(NOTA[[#This Row],[QTY]]="",NOTA[[#This Row],[HARGA SATUAN]]="",),"",NOTA[[#This Row],[QTY]]*NOTA[[#This Row],[HARGA SATUAN]])</f>
        <v>4920000</v>
      </c>
      <c r="AG507" s="81">
        <f ca="1">IF(NOTA[ID_H]="","",INDEX(NOTA[TANGGAL],MATCH(,INDIRECT(ADDRESS(ROW(NOTA[TANGGAL]),COLUMN(NOTA[TANGGAL]))&amp;":"&amp;ADDRESS(ROW(),COLUMN(NOTA[TANGGAL]))),-1)))</f>
        <v>44944</v>
      </c>
      <c r="AH507" s="84" t="str">
        <f ca="1">IF(NOTA[[#This Row],[NAMA BARANG]]="","",INDEX(NOTA[SUPPLIER],MATCH(,INDIRECT(ADDRESS(ROW(NOTA[ID]),COLUMN(NOTA[ID]))&amp;":"&amp;ADDRESS(ROW(),COLUMN(NOTA[ID]))),-1)))</f>
        <v>KALINDO SUKSES</v>
      </c>
      <c r="AI507" s="84" t="str">
        <f ca="1">IF(NOTA[[#This Row],[ID_H]]="","",IF(NOTA[[#This Row],[FAKTUR]]="",INDIRECT(ADDRESS(ROW()-1,COLUMN())),NOTA[[#This Row],[FAKTUR]]))</f>
        <v>ARTO MORO</v>
      </c>
      <c r="AJ507" s="38" t="str">
        <f ca="1">IF(NOTA[[#This Row],[ID]]="","",COUNTIF(NOTA[ID_H],NOTA[[#This Row],[ID_H]]))</f>
        <v/>
      </c>
      <c r="AK507" s="38">
        <f ca="1">IF(NOTA[[#This Row],[TGL.NOTA]]="",IF(NOTA[[#This Row],[SUPPLIER_H]]="","",AK506),MONTH(NOTA[[#This Row],[TGL.NOTA]]))</f>
        <v>1</v>
      </c>
      <c r="AL507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M507" s="38" t="str">
        <f>IF(NOTA[C]="",NOTA[[#This Row],[CONCAT1]]&amp;NOTA[[#This Row],[HARGA SATUAN]],NOTA[[#This Row],[CONCAT1]]&amp;NOTA[[#This Row],[HARGA/ CTN_H]]&amp;NOTA[[#This Row],[DISC 1]]&amp;NOTA[[#This Row],[DISC 2]])</f>
        <v>calculatorjoykocc810ch49200000.1250.05</v>
      </c>
      <c r="AN507" s="184">
        <f>IF(NOTA[[#This Row],[CONCAT1]]="","",MATCH(NOTA[[#This Row],[CONCAT1]],[1]!db[NB NOTA_C],0)+1)</f>
        <v>420</v>
      </c>
    </row>
    <row r="508" spans="1:40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Row],[CEK_EXP]]&lt;D507,"err","")</f>
        <v/>
      </c>
      <c r="D508" s="93">
        <f>IF(NOTA[[#This Row],[TANGGAL]]="",D507,NOTA[[#This Row],[TANGGAL]])</f>
        <v>44944</v>
      </c>
      <c r="E508" s="93" t="str">
        <f ca="1">IF(NOTA[[#This Row],[NAMA BARANG]]="","",INDEX(NOTA[ID],MATCH(,INDIRECT(ADDRESS(ROW(NOTA[ID]),COLUMN(NOTA[ID]))&amp;":"&amp;ADDRESS(ROW(),COLUMN(NOTA[ID]))),-1)))</f>
        <v/>
      </c>
      <c r="F508" s="94"/>
      <c r="G508" s="38"/>
      <c r="H508" s="38"/>
      <c r="I508" s="79"/>
      <c r="J508" s="96"/>
      <c r="K508" s="95"/>
      <c r="L508" s="96"/>
      <c r="M508" s="38"/>
      <c r="N508" s="97"/>
      <c r="O508" s="96"/>
      <c r="P508" s="38"/>
      <c r="Q508" s="98"/>
      <c r="R508" s="99"/>
      <c r="S508" s="56"/>
      <c r="T508" s="100"/>
      <c r="U508" s="101"/>
      <c r="V508" s="102"/>
      <c r="W508" s="103"/>
      <c r="X508" s="87" t="str">
        <f>IF(NOTA[[#This Row],[HARGA/ CTN]]="",NOTA[[#This Row],[JUMLAH_H]],NOTA[[#This Row],[HARGA/ CTN]]*IF(NOTA[[#This Row],[C]]="",0,NOTA[[#This Row],[C]]))</f>
        <v/>
      </c>
      <c r="Y508" s="87" t="str">
        <f>IF(NOTA[[#This Row],[JUMLAH]]="","",NOTA[[#This Row],[JUMLAH]]*NOTA[[#This Row],[DISC 1]])</f>
        <v/>
      </c>
      <c r="Z508" s="87" t="str">
        <f>IF(NOTA[[#This Row],[JUMLAH]]="","",(NOTA[[#This Row],[JUMLAH]]-NOTA[[#This Row],[DISC 1-]])*NOTA[[#This Row],[DISC 2]])</f>
        <v/>
      </c>
      <c r="AA508" s="87" t="str">
        <f>IF(NOTA[[#This Row],[JUMLAH]]="","",NOTA[[#This Row],[DISC 1-]]+NOTA[[#This Row],[DISC 2-]])</f>
        <v/>
      </c>
      <c r="AB508" s="87" t="str">
        <f>IF(NOTA[[#This Row],[JUMLAH]]="","",NOTA[[#This Row],[JUMLAH]]-NOTA[[#This Row],[DISC]])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8" s="87" t="str">
        <f>IF(OR(NOTA[[#This Row],[QTY]]="",NOTA[[#This Row],[HARGA SATUAN]]="",),"",NOTA[[#This Row],[QTY]]*NOTA[[#This Row],[HARGA SATUAN]])</f>
        <v/>
      </c>
      <c r="AG508" s="81" t="str">
        <f ca="1">IF(NOTA[ID_H]="","",INDEX(NOTA[TANGGAL],MATCH(,INDIRECT(ADDRESS(ROW(NOTA[TANGGAL]),COLUMN(NOTA[TANGGAL]))&amp;":"&amp;ADDRESS(ROW(),COLUMN(NOTA[TANGGAL]))),-1)))</f>
        <v/>
      </c>
      <c r="AH508" s="84" t="str">
        <f ca="1">IF(NOTA[[#This Row],[NAMA BARANG]]="","",INDEX(NOTA[SUPPLIER],MATCH(,INDIRECT(ADDRESS(ROW(NOTA[ID]),COLUMN(NOTA[ID]))&amp;":"&amp;ADDRESS(ROW(),COLUMN(NOTA[ID]))),-1)))</f>
        <v/>
      </c>
      <c r="AI508" s="84" t="str">
        <f ca="1">IF(NOTA[[#This Row],[ID_H]]="","",IF(NOTA[[#This Row],[FAKTUR]]="",INDIRECT(ADDRESS(ROW()-1,COLUMN())),NOTA[[#This Row],[FAKTUR]]))</f>
        <v/>
      </c>
      <c r="AJ508" s="38" t="str">
        <f ca="1">IF(NOTA[[#This Row],[ID]]="","",COUNTIF(NOTA[ID_H],NOTA[[#This Row],[ID_H]]))</f>
        <v/>
      </c>
      <c r="AK508" s="38" t="str">
        <f ca="1">IF(NOTA[[#This Row],[TGL.NOTA]]="",IF(NOTA[[#This Row],[SUPPLIER_H]]="","",AK507),MONTH(NOTA[[#This Row],[TGL.NOTA]]))</f>
        <v/>
      </c>
      <c r="AL508" s="38" t="str">
        <f>LOWER(SUBSTITUTE(SUBSTITUTE(SUBSTITUTE(SUBSTITUTE(SUBSTITUTE(SUBSTITUTE(SUBSTITUTE(SUBSTITUTE(SUBSTITUTE(NOTA[NAMA BARANG]," ",),".",""),"-",""),"(",""),")",""),",",""),"/",""),"""",""),"+",""))</f>
        <v/>
      </c>
      <c r="AM508" s="38" t="str">
        <f>IF(NOTA[C]="",NOTA[[#This Row],[CONCAT1]]&amp;NOTA[[#This Row],[HARGA SATUAN]],NOTA[[#This Row],[CONCAT1]]&amp;NOTA[[#This Row],[HARGA/ CTN_H]]&amp;NOTA[[#This Row],[DISC 1]]&amp;NOTA[[#This Row],[DISC 2]])</f>
        <v/>
      </c>
      <c r="AN508" s="184" t="str">
        <f>IF(NOTA[[#This Row],[CONCAT1]]="","",MATCH(NOTA[[#This Row],[CONCAT1]],[1]!db[NB NOTA_C],0)+1)</f>
        <v/>
      </c>
    </row>
    <row r="509" spans="1:40" ht="20.100000000000001" customHeight="1" x14ac:dyDescent="0.25">
      <c r="A509" s="84">
        <f ca="1">IF(INDIRECT(ADDRESS(ROW()-1,COLUMN(NOTA[[#Headers],[ID]])))="ID",1,IF(NOTA[[#This Row],[FAKTUR]]="","",COUNT(INDIRECT(ADDRESS(ROW(NOTA[ID]),COLUMN(NOTA[ID]))&amp;":"&amp;ADDRESS(ROW()-1,COLUMN(NOTA[ID]))))+1))</f>
        <v>93</v>
      </c>
      <c r="B50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ATA_1801_904-4</v>
      </c>
      <c r="C509" s="93" t="str">
        <f>IF(NOTA[[#This Row],[CEK_EXP]]&lt;D508,"err","")</f>
        <v/>
      </c>
      <c r="D509" s="93">
        <f>IF(NOTA[[#This Row],[TANGGAL]]="",D508,NOTA[[#This Row],[TANGGAL]])</f>
        <v>44944</v>
      </c>
      <c r="E509" s="93">
        <f ca="1">IF(NOTA[[#This Row],[NAMA BARANG]]="","",INDEX(NOTA[ID],MATCH(,INDIRECT(ADDRESS(ROW(NOTA[ID]),COLUMN(NOTA[ID]))&amp;":"&amp;ADDRESS(ROW(),COLUMN(NOTA[ID]))),-1)))</f>
        <v>93</v>
      </c>
      <c r="F509" s="94"/>
      <c r="G509" s="38" t="s">
        <v>25</v>
      </c>
      <c r="H509" s="38" t="s">
        <v>24</v>
      </c>
      <c r="I509" s="79" t="s">
        <v>674</v>
      </c>
      <c r="J509" s="96"/>
      <c r="K509" s="95">
        <v>44940</v>
      </c>
      <c r="L509" s="96"/>
      <c r="M509" s="38" t="s">
        <v>429</v>
      </c>
      <c r="N509" s="97">
        <v>2</v>
      </c>
      <c r="O509" s="96">
        <v>288</v>
      </c>
      <c r="P509" s="38" t="s">
        <v>128</v>
      </c>
      <c r="Q509" s="98">
        <v>23900</v>
      </c>
      <c r="R509" s="99"/>
      <c r="S509" s="56" t="s">
        <v>271</v>
      </c>
      <c r="T509" s="100">
        <v>0.125</v>
      </c>
      <c r="U509" s="101">
        <v>0.05</v>
      </c>
      <c r="V509" s="102"/>
      <c r="W509" s="103"/>
      <c r="X509" s="87">
        <f>IF(NOTA[[#This Row],[HARGA/ CTN]]="",NOTA[[#This Row],[JUMLAH_H]],NOTA[[#This Row],[HARGA/ CTN]]*IF(NOTA[[#This Row],[C]]="",0,NOTA[[#This Row],[C]]))</f>
        <v>6883200</v>
      </c>
      <c r="Y509" s="87">
        <f>IF(NOTA[[#This Row],[JUMLAH]]="","",NOTA[[#This Row],[JUMLAH]]*NOTA[[#This Row],[DISC 1]])</f>
        <v>860400</v>
      </c>
      <c r="Z509" s="87">
        <f>IF(NOTA[[#This Row],[JUMLAH]]="","",(NOTA[[#This Row],[JUMLAH]]-NOTA[[#This Row],[DISC 1-]])*NOTA[[#This Row],[DISC 2]])</f>
        <v>301140</v>
      </c>
      <c r="AA509" s="87">
        <f>IF(NOTA[[#This Row],[JUMLAH]]="","",NOTA[[#This Row],[DISC 1-]]+NOTA[[#This Row],[DISC 2-]])</f>
        <v>1161540</v>
      </c>
      <c r="AB509" s="87">
        <f>IF(NOTA[[#This Row],[JUMLAH]]="","",NOTA[[#This Row],[JUMLAH]]-NOTA[[#This Row],[DISC]])</f>
        <v>5721660</v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8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09" s="87">
        <f>IF(OR(NOTA[[#This Row],[QTY]]="",NOTA[[#This Row],[HARGA SATUAN]]="",),"",NOTA[[#This Row],[QTY]]*NOTA[[#This Row],[HARGA SATUAN]])</f>
        <v>6883200</v>
      </c>
      <c r="AG509" s="81">
        <f ca="1">IF(NOTA[ID_H]="","",INDEX(NOTA[TANGGAL],MATCH(,INDIRECT(ADDRESS(ROW(NOTA[TANGGAL]),COLUMN(NOTA[TANGGAL]))&amp;":"&amp;ADDRESS(ROW(),COLUMN(NOTA[TANGGAL]))),-1)))</f>
        <v>44944</v>
      </c>
      <c r="AH509" s="84" t="str">
        <f ca="1">IF(NOTA[[#This Row],[NAMA BARANG]]="","",INDEX(NOTA[SUPPLIER],MATCH(,INDIRECT(ADDRESS(ROW(NOTA[ID]),COLUMN(NOTA[ID]))&amp;":"&amp;ADDRESS(ROW(),COLUMN(NOTA[ID]))),-1)))</f>
        <v>ATALI MAKMUR</v>
      </c>
      <c r="AI509" s="84" t="str">
        <f ca="1">IF(NOTA[[#This Row],[ID_H]]="","",IF(NOTA[[#This Row],[FAKTUR]]="",INDIRECT(ADDRESS(ROW()-1,COLUMN())),NOTA[[#This Row],[FAKTUR]]))</f>
        <v>ARTO MORO</v>
      </c>
      <c r="AJ509" s="38">
        <f ca="1">IF(NOTA[[#This Row],[ID]]="","",COUNTIF(NOTA[ID_H],NOTA[[#This Row],[ID_H]]))</f>
        <v>4</v>
      </c>
      <c r="AK509" s="38">
        <f>IF(NOTA[[#This Row],[TGL.NOTA]]="",IF(NOTA[[#This Row],[SUPPLIER_H]]="","",AK508),MONTH(NOTA[[#This Row],[TGL.NOTA]]))</f>
        <v>1</v>
      </c>
      <c r="AL50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509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N509" s="184">
        <f>IF(NOTA[[#This Row],[CONCAT1]]="","",MATCH(NOTA[[#This Row],[CONCAT1]],[1]!db[NB NOTA_C],0)+1)</f>
        <v>553</v>
      </c>
    </row>
    <row r="510" spans="1:40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Row],[CEK_EXP]]&lt;D509,"err","")</f>
        <v/>
      </c>
      <c r="D510" s="93">
        <f>IF(NOTA[[#This Row],[TANGGAL]]="",D509,NOTA[[#This Row],[TANGGAL]])</f>
        <v>44944</v>
      </c>
      <c r="E510" s="93">
        <f ca="1">IF(NOTA[[#This Row],[NAMA BARANG]]="","",INDEX(NOTA[ID],MATCH(,INDIRECT(ADDRESS(ROW(NOTA[ID]),COLUMN(NOTA[ID]))&amp;":"&amp;ADDRESS(ROW(),COLUMN(NOTA[ID]))),-1)))</f>
        <v>93</v>
      </c>
      <c r="F510" s="94"/>
      <c r="G510" s="38"/>
      <c r="H510" s="38"/>
      <c r="I510" s="79"/>
      <c r="J510" s="96"/>
      <c r="K510" s="95"/>
      <c r="L510" s="96"/>
      <c r="M510" s="38" t="s">
        <v>675</v>
      </c>
      <c r="N510" s="97">
        <v>2</v>
      </c>
      <c r="O510" s="96">
        <v>288</v>
      </c>
      <c r="P510" s="38" t="s">
        <v>128</v>
      </c>
      <c r="Q510" s="98">
        <v>18600</v>
      </c>
      <c r="R510" s="99"/>
      <c r="S510" s="56" t="s">
        <v>264</v>
      </c>
      <c r="T510" s="100">
        <v>0.125</v>
      </c>
      <c r="U510" s="101">
        <v>0.05</v>
      </c>
      <c r="V510" s="102"/>
      <c r="W510" s="103"/>
      <c r="X510" s="87">
        <f>IF(NOTA[[#This Row],[HARGA/ CTN]]="",NOTA[[#This Row],[JUMLAH_H]],NOTA[[#This Row],[HARGA/ CTN]]*IF(NOTA[[#This Row],[C]]="",0,NOTA[[#This Row],[C]]))</f>
        <v>5356800</v>
      </c>
      <c r="Y510" s="87">
        <f>IF(NOTA[[#This Row],[JUMLAH]]="","",NOTA[[#This Row],[JUMLAH]]*NOTA[[#This Row],[DISC 1]])</f>
        <v>669600</v>
      </c>
      <c r="Z510" s="87">
        <f>IF(NOTA[[#This Row],[JUMLAH]]="","",(NOTA[[#This Row],[JUMLAH]]-NOTA[[#This Row],[DISC 1-]])*NOTA[[#This Row],[DISC 2]])</f>
        <v>234360</v>
      </c>
      <c r="AA510" s="87">
        <f>IF(NOTA[[#This Row],[JUMLAH]]="","",NOTA[[#This Row],[DISC 1-]]+NOTA[[#This Row],[DISC 2-]])</f>
        <v>903960</v>
      </c>
      <c r="AB510" s="87">
        <f>IF(NOTA[[#This Row],[JUMLAH]]="","",NOTA[[#This Row],[JUMLAH]]-NOTA[[#This Row],[DISC]])</f>
        <v>4452840</v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8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10" s="87">
        <f>IF(OR(NOTA[[#This Row],[QTY]]="",NOTA[[#This Row],[HARGA SATUAN]]="",),"",NOTA[[#This Row],[QTY]]*NOTA[[#This Row],[HARGA SATUAN]])</f>
        <v>5356800</v>
      </c>
      <c r="AG510" s="81">
        <f ca="1">IF(NOTA[ID_H]="","",INDEX(NOTA[TANGGAL],MATCH(,INDIRECT(ADDRESS(ROW(NOTA[TANGGAL]),COLUMN(NOTA[TANGGAL]))&amp;":"&amp;ADDRESS(ROW(),COLUMN(NOTA[TANGGAL]))),-1)))</f>
        <v>44944</v>
      </c>
      <c r="AH510" s="84" t="str">
        <f ca="1">IF(NOTA[[#This Row],[NAMA BARANG]]="","",INDEX(NOTA[SUPPLIER],MATCH(,INDIRECT(ADDRESS(ROW(NOTA[ID]),COLUMN(NOTA[ID]))&amp;":"&amp;ADDRESS(ROW(),COLUMN(NOTA[ID]))),-1)))</f>
        <v>ATALI MAKMUR</v>
      </c>
      <c r="AI510" s="84" t="str">
        <f ca="1">IF(NOTA[[#This Row],[ID_H]]="","",IF(NOTA[[#This Row],[FAKTUR]]="",INDIRECT(ADDRESS(ROW()-1,COLUMN())),NOTA[[#This Row],[FAKTUR]]))</f>
        <v>ARTO MORO</v>
      </c>
      <c r="AJ510" s="38" t="str">
        <f ca="1">IF(NOTA[[#This Row],[ID]]="","",COUNTIF(NOTA[ID_H],NOTA[[#This Row],[ID_H]]))</f>
        <v/>
      </c>
      <c r="AK510" s="38">
        <f ca="1">IF(NOTA[[#This Row],[TGL.NOTA]]="",IF(NOTA[[#This Row],[SUPPLIER_H]]="","",AK509),MONTH(NOTA[[#This Row],[TGL.NOTA]]))</f>
        <v>1</v>
      </c>
      <c r="AL51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10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N510" s="184">
        <f>IF(NOTA[[#This Row],[CONCAT1]]="","",MATCH(NOTA[[#This Row],[CONCAT1]],[1]!db[NB NOTA_C],0)+1)</f>
        <v>552</v>
      </c>
    </row>
    <row r="511" spans="1:40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Row],[CEK_EXP]]&lt;D510,"err","")</f>
        <v/>
      </c>
      <c r="D511" s="93">
        <f>IF(NOTA[[#This Row],[TANGGAL]]="",D510,NOTA[[#This Row],[TANGGAL]])</f>
        <v>44944</v>
      </c>
      <c r="E511" s="93">
        <f ca="1">IF(NOTA[[#This Row],[NAMA BARANG]]="","",INDEX(NOTA[ID],MATCH(,INDIRECT(ADDRESS(ROW(NOTA[ID]),COLUMN(NOTA[ID]))&amp;":"&amp;ADDRESS(ROW(),COLUMN(NOTA[ID]))),-1)))</f>
        <v>93</v>
      </c>
      <c r="F511" s="94"/>
      <c r="G511" s="96"/>
      <c r="H511" s="96"/>
      <c r="I511" s="104"/>
      <c r="J511" s="96"/>
      <c r="K511" s="95"/>
      <c r="L511" s="96"/>
      <c r="M511" s="38" t="s">
        <v>676</v>
      </c>
      <c r="N511" s="97">
        <v>5</v>
      </c>
      <c r="O511" s="96">
        <v>720</v>
      </c>
      <c r="P511" s="38" t="s">
        <v>128</v>
      </c>
      <c r="Q511" s="98">
        <v>11900</v>
      </c>
      <c r="R511" s="99"/>
      <c r="S511" s="56" t="s">
        <v>264</v>
      </c>
      <c r="T511" s="100">
        <v>0.125</v>
      </c>
      <c r="U511" s="101">
        <v>0.05</v>
      </c>
      <c r="V511" s="102"/>
      <c r="W511" s="103"/>
      <c r="X511" s="87">
        <f>IF(NOTA[[#This Row],[HARGA/ CTN]]="",NOTA[[#This Row],[JUMLAH_H]],NOTA[[#This Row],[HARGA/ CTN]]*IF(NOTA[[#This Row],[C]]="",0,NOTA[[#This Row],[C]]))</f>
        <v>8568000</v>
      </c>
      <c r="Y511" s="87">
        <f>IF(NOTA[[#This Row],[JUMLAH]]="","",NOTA[[#This Row],[JUMLAH]]*NOTA[[#This Row],[DISC 1]])</f>
        <v>1071000</v>
      </c>
      <c r="Z511" s="87">
        <f>IF(NOTA[[#This Row],[JUMLAH]]="","",(NOTA[[#This Row],[JUMLAH]]-NOTA[[#This Row],[DISC 1-]])*NOTA[[#This Row],[DISC 2]])</f>
        <v>374850</v>
      </c>
      <c r="AA511" s="87">
        <f>IF(NOTA[[#This Row],[JUMLAH]]="","",NOTA[[#This Row],[DISC 1-]]+NOTA[[#This Row],[DISC 2-]])</f>
        <v>1445850</v>
      </c>
      <c r="AB511" s="87">
        <f>IF(NOTA[[#This Row],[JUMLAH]]="","",NOTA[[#This Row],[JUMLAH]]-NOTA[[#This Row],[DISC]])</f>
        <v>7122150</v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8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11" s="87">
        <f>IF(OR(NOTA[[#This Row],[QTY]]="",NOTA[[#This Row],[HARGA SATUAN]]="",),"",NOTA[[#This Row],[QTY]]*NOTA[[#This Row],[HARGA SATUAN]])</f>
        <v>8568000</v>
      </c>
      <c r="AG511" s="81">
        <f ca="1">IF(NOTA[ID_H]="","",INDEX(NOTA[TANGGAL],MATCH(,INDIRECT(ADDRESS(ROW(NOTA[TANGGAL]),COLUMN(NOTA[TANGGAL]))&amp;":"&amp;ADDRESS(ROW(),COLUMN(NOTA[TANGGAL]))),-1)))</f>
        <v>44944</v>
      </c>
      <c r="AH511" s="84" t="str">
        <f ca="1">IF(NOTA[[#This Row],[NAMA BARANG]]="","",INDEX(NOTA[SUPPLIER],MATCH(,INDIRECT(ADDRESS(ROW(NOTA[ID]),COLUMN(NOTA[ID]))&amp;":"&amp;ADDRESS(ROW(),COLUMN(NOTA[ID]))),-1)))</f>
        <v>ATALI MAKMUR</v>
      </c>
      <c r="AI511" s="84" t="str">
        <f ca="1">IF(NOTA[[#This Row],[ID_H]]="","",IF(NOTA[[#This Row],[FAKTUR]]="",INDIRECT(ADDRESS(ROW()-1,COLUMN())),NOTA[[#This Row],[FAKTUR]]))</f>
        <v>ARTO MORO</v>
      </c>
      <c r="AJ511" s="38" t="str">
        <f ca="1">IF(NOTA[[#This Row],[ID]]="","",COUNTIF(NOTA[ID_H],NOTA[[#This Row],[ID_H]]))</f>
        <v/>
      </c>
      <c r="AK511" s="38">
        <f ca="1">IF(NOTA[[#This Row],[TGL.NOTA]]="",IF(NOTA[[#This Row],[SUPPLIER_H]]="","",AK510),MONTH(NOTA[[#This Row],[TGL.NOTA]]))</f>
        <v>1</v>
      </c>
      <c r="AL5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11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N511" s="184">
        <f>IF(NOTA[[#This Row],[CONCAT1]]="","",MATCH(NOTA[[#This Row],[CONCAT1]],[1]!db[NB NOTA_C],0)+1)</f>
        <v>1559</v>
      </c>
    </row>
    <row r="512" spans="1:40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Row],[CEK_EXP]]&lt;D511,"err","")</f>
        <v/>
      </c>
      <c r="D512" s="93">
        <f>IF(NOTA[[#This Row],[TANGGAL]]="",D511,NOTA[[#This Row],[TANGGAL]])</f>
        <v>44944</v>
      </c>
      <c r="E512" s="93">
        <f ca="1">IF(NOTA[[#This Row],[NAMA BARANG]]="","",INDEX(NOTA[ID],MATCH(,INDIRECT(ADDRESS(ROW(NOTA[ID]),COLUMN(NOTA[ID]))&amp;":"&amp;ADDRESS(ROW(),COLUMN(NOTA[ID]))),-1)))</f>
        <v>93</v>
      </c>
      <c r="F512" s="94"/>
      <c r="G512" s="38"/>
      <c r="H512" s="38"/>
      <c r="I512" s="79"/>
      <c r="J512" s="38"/>
      <c r="K512" s="95"/>
      <c r="L512" s="96"/>
      <c r="M512" s="38" t="s">
        <v>275</v>
      </c>
      <c r="N512" s="97"/>
      <c r="O512" s="96">
        <v>60</v>
      </c>
      <c r="P512" s="38" t="s">
        <v>104</v>
      </c>
      <c r="Q512" s="98">
        <v>2350</v>
      </c>
      <c r="R512" s="99"/>
      <c r="S512" s="56" t="s">
        <v>276</v>
      </c>
      <c r="T512" s="100">
        <v>0.1</v>
      </c>
      <c r="U512" s="101">
        <v>0.05</v>
      </c>
      <c r="V512" s="102">
        <v>120555</v>
      </c>
      <c r="W512" s="103" t="s">
        <v>677</v>
      </c>
      <c r="X512" s="87">
        <f>IF(NOTA[[#This Row],[HARGA/ CTN]]="",NOTA[[#This Row],[JUMLAH_H]],NOTA[[#This Row],[HARGA/ CTN]]*IF(NOTA[[#This Row],[C]]="",0,NOTA[[#This Row],[C]]))</f>
        <v>141000</v>
      </c>
      <c r="Y512" s="87">
        <f>IF(NOTA[[#This Row],[JUMLAH]]="","",NOTA[[#This Row],[JUMLAH]]*NOTA[[#This Row],[DISC 1]])</f>
        <v>14100</v>
      </c>
      <c r="Z512" s="87">
        <f>IF(NOTA[[#This Row],[JUMLAH]]="","",(NOTA[[#This Row],[JUMLAH]]-NOTA[[#This Row],[DISC 1-]])*NOTA[[#This Row],[DISC 2]])</f>
        <v>6345</v>
      </c>
      <c r="AA512" s="87">
        <f>IF(NOTA[[#This Row],[JUMLAH]]="","",NOTA[[#This Row],[DISC 1-]]+NOTA[[#This Row],[DISC 2-]])</f>
        <v>20445</v>
      </c>
      <c r="AB512" s="87">
        <f>IF(NOTA[[#This Row],[JUMLAH]]="","",NOTA[[#This Row],[JUMLAH]]-NOTA[[#This Row],[DISC]])</f>
        <v>120555</v>
      </c>
      <c r="AC51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3652350</v>
      </c>
      <c r="AD51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17296650</v>
      </c>
      <c r="AE512" s="84">
        <f>IF(NOTA[[#This Row],[NAMA BARANG]]="","",IF(NOTA[[#This Row],[JUMLAH_H]]="",NOTA[[#This Row],[HARGA/ CTN]],NOTA[[#This Row],[QTY]]*NOTA[[#This Row],[HARGA SATUAN]]/IF(ISNUMBER(NOTA[[#This Row],[C]]),NOTA[[#This Row],[C]],1)))</f>
        <v>141000</v>
      </c>
      <c r="AF512" s="87">
        <f>IF(OR(NOTA[[#This Row],[QTY]]="",NOTA[[#This Row],[HARGA SATUAN]]="",),"",NOTA[[#This Row],[QTY]]*NOTA[[#This Row],[HARGA SATUAN]])</f>
        <v>141000</v>
      </c>
      <c r="AG512" s="81">
        <f ca="1">IF(NOTA[ID_H]="","",INDEX(NOTA[TANGGAL],MATCH(,INDIRECT(ADDRESS(ROW(NOTA[TANGGAL]),COLUMN(NOTA[TANGGAL]))&amp;":"&amp;ADDRESS(ROW(),COLUMN(NOTA[TANGGAL]))),-1)))</f>
        <v>44944</v>
      </c>
      <c r="AH512" s="84" t="str">
        <f ca="1">IF(NOTA[[#This Row],[NAMA BARANG]]="","",INDEX(NOTA[SUPPLIER],MATCH(,INDIRECT(ADDRESS(ROW(NOTA[ID]),COLUMN(NOTA[ID]))&amp;":"&amp;ADDRESS(ROW(),COLUMN(NOTA[ID]))),-1)))</f>
        <v>ATALI MAKMUR</v>
      </c>
      <c r="AI512" s="84" t="str">
        <f ca="1">IF(NOTA[[#This Row],[ID_H]]="","",IF(NOTA[[#This Row],[FAKTUR]]="",INDIRECT(ADDRESS(ROW()-1,COLUMN())),NOTA[[#This Row],[FAKTUR]]))</f>
        <v>ARTO MORO</v>
      </c>
      <c r="AJ512" s="38" t="str">
        <f ca="1">IF(NOTA[[#This Row],[ID]]="","",COUNTIF(NOTA[ID_H],NOTA[[#This Row],[ID_H]]))</f>
        <v/>
      </c>
      <c r="AK512" s="38">
        <f ca="1">IF(NOTA[[#This Row],[TGL.NOTA]]="",IF(NOTA[[#This Row],[SUPPLIER_H]]="","",AK511),MONTH(NOTA[[#This Row],[TGL.NOTA]]))</f>
        <v>1</v>
      </c>
      <c r="AL512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M512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N512" s="184">
        <f>IF(NOTA[[#This Row],[CONCAT1]]="","",MATCH(NOTA[[#This Row],[CONCAT1]],[1]!db[NB NOTA_C],0)+1)</f>
        <v>1834</v>
      </c>
    </row>
    <row r="513" spans="1:40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Row],[CEK_EXP]]&lt;D512,"err","")</f>
        <v/>
      </c>
      <c r="D513" s="93">
        <f>IF(NOTA[[#This Row],[TANGGAL]]="",D512,NOTA[[#This Row],[TANGGAL]])</f>
        <v>44944</v>
      </c>
      <c r="E513" s="93" t="str">
        <f ca="1">IF(NOTA[[#This Row],[NAMA BARANG]]="","",INDEX(NOTA[ID],MATCH(,INDIRECT(ADDRESS(ROW(NOTA[ID]),COLUMN(NOTA[ID]))&amp;":"&amp;ADDRESS(ROW(),COLUMN(NOTA[ID]))),-1)))</f>
        <v/>
      </c>
      <c r="F513" s="94"/>
      <c r="G513" s="38"/>
      <c r="H513" s="38"/>
      <c r="I513" s="79"/>
      <c r="J513" s="96"/>
      <c r="K513" s="95"/>
      <c r="L513" s="96"/>
      <c r="M513" s="38"/>
      <c r="N513" s="97"/>
      <c r="O513" s="96"/>
      <c r="P513" s="38"/>
      <c r="Q513" s="98"/>
      <c r="R513" s="99"/>
      <c r="S513" s="56"/>
      <c r="T513" s="100"/>
      <c r="U513" s="101"/>
      <c r="V513" s="102"/>
      <c r="W513" s="103"/>
      <c r="X513" s="87" t="str">
        <f>IF(NOTA[[#This Row],[HARGA/ CTN]]="",NOTA[[#This Row],[JUMLAH_H]],NOTA[[#This Row],[HARGA/ CTN]]*IF(NOTA[[#This Row],[C]]="",0,NOTA[[#This Row],[C]]))</f>
        <v/>
      </c>
      <c r="Y513" s="87" t="str">
        <f>IF(NOTA[[#This Row],[JUMLAH]]="","",NOTA[[#This Row],[JUMLAH]]*NOTA[[#This Row],[DISC 1]])</f>
        <v/>
      </c>
      <c r="Z513" s="87" t="str">
        <f>IF(NOTA[[#This Row],[JUMLAH]]="","",(NOTA[[#This Row],[JUMLAH]]-NOTA[[#This Row],[DISC 1-]])*NOTA[[#This Row],[DISC 2]])</f>
        <v/>
      </c>
      <c r="AA513" s="87" t="str">
        <f>IF(NOTA[[#This Row],[JUMLAH]]="","",NOTA[[#This Row],[DISC 1-]]+NOTA[[#This Row],[DISC 2-]])</f>
        <v/>
      </c>
      <c r="AB513" s="87" t="str">
        <f>IF(NOTA[[#This Row],[JUMLAH]]="","",NOTA[[#This Row],[JUMLAH]]-NOTA[[#This Row],[DISC]])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3" s="87" t="str">
        <f>IF(OR(NOTA[[#This Row],[QTY]]="",NOTA[[#This Row],[HARGA SATUAN]]="",),"",NOTA[[#This Row],[QTY]]*NOTA[[#This Row],[HARGA SATUAN]])</f>
        <v/>
      </c>
      <c r="AG513" s="81" t="str">
        <f ca="1">IF(NOTA[ID_H]="","",INDEX(NOTA[TANGGAL],MATCH(,INDIRECT(ADDRESS(ROW(NOTA[TANGGAL]),COLUMN(NOTA[TANGGAL]))&amp;":"&amp;ADDRESS(ROW(),COLUMN(NOTA[TANGGAL]))),-1)))</f>
        <v/>
      </c>
      <c r="AH513" s="84" t="str">
        <f ca="1">IF(NOTA[[#This Row],[NAMA BARANG]]="","",INDEX(NOTA[SUPPLIER],MATCH(,INDIRECT(ADDRESS(ROW(NOTA[ID]),COLUMN(NOTA[ID]))&amp;":"&amp;ADDRESS(ROW(),COLUMN(NOTA[ID]))),-1)))</f>
        <v/>
      </c>
      <c r="AI513" s="84" t="str">
        <f ca="1">IF(NOTA[[#This Row],[ID_H]]="","",IF(NOTA[[#This Row],[FAKTUR]]="",INDIRECT(ADDRESS(ROW()-1,COLUMN())),NOTA[[#This Row],[FAKTUR]]))</f>
        <v/>
      </c>
      <c r="AJ513" s="38" t="str">
        <f ca="1">IF(NOTA[[#This Row],[ID]]="","",COUNTIF(NOTA[ID_H],NOTA[[#This Row],[ID_H]]))</f>
        <v/>
      </c>
      <c r="AK513" s="38" t="str">
        <f ca="1">IF(NOTA[[#This Row],[TGL.NOTA]]="",IF(NOTA[[#This Row],[SUPPLIER_H]]="","",AK512),MONTH(NOTA[[#This Row],[TGL.NOTA]]))</f>
        <v/>
      </c>
      <c r="AL513" s="38" t="str">
        <f>LOWER(SUBSTITUTE(SUBSTITUTE(SUBSTITUTE(SUBSTITUTE(SUBSTITUTE(SUBSTITUTE(SUBSTITUTE(SUBSTITUTE(SUBSTITUTE(NOTA[NAMA BARANG]," ",),".",""),"-",""),"(",""),")",""),",",""),"/",""),"""",""),"+",""))</f>
        <v/>
      </c>
      <c r="AM513" s="38" t="str">
        <f>IF(NOTA[C]="",NOTA[[#This Row],[CONCAT1]]&amp;NOTA[[#This Row],[HARGA SATUAN]],NOTA[[#This Row],[CONCAT1]]&amp;NOTA[[#This Row],[HARGA/ CTN_H]]&amp;NOTA[[#This Row],[DISC 1]]&amp;NOTA[[#This Row],[DISC 2]])</f>
        <v/>
      </c>
      <c r="AN513" s="184" t="str">
        <f>IF(NOTA[[#This Row],[CONCAT1]]="","",MATCH(NOTA[[#This Row],[CONCAT1]],[1]!db[NB NOTA_C],0)+1)</f>
        <v/>
      </c>
    </row>
    <row r="514" spans="1:40" ht="20.100000000000001" customHeight="1" x14ac:dyDescent="0.25">
      <c r="A514" s="84">
        <f ca="1">IF(INDIRECT(ADDRESS(ROW()-1,COLUMN(NOTA[[#Headers],[ID]])))="ID",1,IF(NOTA[[#This Row],[FAKTUR]]="","",COUNT(INDIRECT(ADDRESS(ROW(NOTA[ID]),COLUMN(NOTA[ID]))&amp;":"&amp;ADDRESS(ROW()-1,COLUMN(NOTA[ID]))))+1))</f>
        <v>94</v>
      </c>
      <c r="B514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ATA_1801_903-8</v>
      </c>
      <c r="C514" s="93" t="str">
        <f>IF(NOTA[[#This Row],[CEK_EXP]]&lt;D513,"err","")</f>
        <v/>
      </c>
      <c r="D514" s="93">
        <f>IF(NOTA[[#This Row],[TANGGAL]]="",D513,NOTA[[#This Row],[TANGGAL]])</f>
        <v>44944</v>
      </c>
      <c r="E514" s="93">
        <f ca="1">IF(NOTA[[#This Row],[NAMA BARANG]]="","",INDEX(NOTA[ID],MATCH(,INDIRECT(ADDRESS(ROW(NOTA[ID]),COLUMN(NOTA[ID]))&amp;":"&amp;ADDRESS(ROW(),COLUMN(NOTA[ID]))),-1)))</f>
        <v>94</v>
      </c>
      <c r="F514" s="94"/>
      <c r="G514" s="38" t="s">
        <v>25</v>
      </c>
      <c r="H514" s="38" t="s">
        <v>24</v>
      </c>
      <c r="I514" s="79" t="s">
        <v>678</v>
      </c>
      <c r="J514" s="96"/>
      <c r="K514" s="95">
        <v>44940</v>
      </c>
      <c r="L514" s="96"/>
      <c r="M514" s="38" t="s">
        <v>270</v>
      </c>
      <c r="N514" s="97">
        <v>2</v>
      </c>
      <c r="O514" s="96">
        <v>288</v>
      </c>
      <c r="P514" s="38" t="s">
        <v>104</v>
      </c>
      <c r="Q514" s="98">
        <v>4350</v>
      </c>
      <c r="R514" s="99"/>
      <c r="S514" s="56" t="s">
        <v>271</v>
      </c>
      <c r="T514" s="100">
        <v>0.125</v>
      </c>
      <c r="U514" s="101">
        <v>0.05</v>
      </c>
      <c r="V514" s="102"/>
      <c r="W514" s="103"/>
      <c r="X514" s="87">
        <f>IF(NOTA[[#This Row],[HARGA/ CTN]]="",NOTA[[#This Row],[JUMLAH_H]],NOTA[[#This Row],[HARGA/ CTN]]*IF(NOTA[[#This Row],[C]]="",0,NOTA[[#This Row],[C]]))</f>
        <v>1252800</v>
      </c>
      <c r="Y514" s="87">
        <f>IF(NOTA[[#This Row],[JUMLAH]]="","",NOTA[[#This Row],[JUMLAH]]*NOTA[[#This Row],[DISC 1]])</f>
        <v>156600</v>
      </c>
      <c r="Z514" s="87">
        <f>IF(NOTA[[#This Row],[JUMLAH]]="","",(NOTA[[#This Row],[JUMLAH]]-NOTA[[#This Row],[DISC 1-]])*NOTA[[#This Row],[DISC 2]])</f>
        <v>54810</v>
      </c>
      <c r="AA514" s="87">
        <f>IF(NOTA[[#This Row],[JUMLAH]]="","",NOTA[[#This Row],[DISC 1-]]+NOTA[[#This Row],[DISC 2-]])</f>
        <v>211410</v>
      </c>
      <c r="AB514" s="87">
        <f>IF(NOTA[[#This Row],[JUMLAH]]="","",NOTA[[#This Row],[JUMLAH]]-NOTA[[#This Row],[DISC]])</f>
        <v>1041390</v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8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4" s="87">
        <f>IF(OR(NOTA[[#This Row],[QTY]]="",NOTA[[#This Row],[HARGA SATUAN]]="",),"",NOTA[[#This Row],[QTY]]*NOTA[[#This Row],[HARGA SATUAN]])</f>
        <v>1252800</v>
      </c>
      <c r="AG514" s="81">
        <f ca="1">IF(NOTA[ID_H]="","",INDEX(NOTA[TANGGAL],MATCH(,INDIRECT(ADDRESS(ROW(NOTA[TANGGAL]),COLUMN(NOTA[TANGGAL]))&amp;":"&amp;ADDRESS(ROW(),COLUMN(NOTA[TANGGAL]))),-1)))</f>
        <v>44944</v>
      </c>
      <c r="AH514" s="84" t="str">
        <f ca="1">IF(NOTA[[#This Row],[NAMA BARANG]]="","",INDEX(NOTA[SUPPLIER],MATCH(,INDIRECT(ADDRESS(ROW(NOTA[ID]),COLUMN(NOTA[ID]))&amp;":"&amp;ADDRESS(ROW(),COLUMN(NOTA[ID]))),-1)))</f>
        <v>ATALI MAKMUR</v>
      </c>
      <c r="AI514" s="84" t="str">
        <f ca="1">IF(NOTA[[#This Row],[ID_H]]="","",IF(NOTA[[#This Row],[FAKTUR]]="",INDIRECT(ADDRESS(ROW()-1,COLUMN())),NOTA[[#This Row],[FAKTUR]]))</f>
        <v>ARTO MORO</v>
      </c>
      <c r="AJ514" s="38">
        <f ca="1">IF(NOTA[[#This Row],[ID]]="","",COUNTIF(NOTA[ID_H],NOTA[[#This Row],[ID_H]]))</f>
        <v>8</v>
      </c>
      <c r="AK514" s="38">
        <f>IF(NOTA[[#This Row],[TGL.NOTA]]="",IF(NOTA[[#This Row],[SUPPLIER_H]]="","",AK513),MONTH(NOTA[[#This Row],[TGL.NOTA]]))</f>
        <v>1</v>
      </c>
      <c r="AL51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M51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N514" s="184">
        <f>IF(NOTA[[#This Row],[CONCAT1]]="","",MATCH(NOTA[[#This Row],[CONCAT1]],[1]!db[NB NOTA_C],0)+1)</f>
        <v>1920</v>
      </c>
    </row>
    <row r="515" spans="1:40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Row],[CEK_EXP]]&lt;D514,"err","")</f>
        <v/>
      </c>
      <c r="D515" s="93">
        <f>IF(NOTA[[#This Row],[TANGGAL]]="",D514,NOTA[[#This Row],[TANGGAL]])</f>
        <v>44944</v>
      </c>
      <c r="E515" s="93">
        <f ca="1">IF(NOTA[[#This Row],[NAMA BARANG]]="","",INDEX(NOTA[ID],MATCH(,INDIRECT(ADDRESS(ROW(NOTA[ID]),COLUMN(NOTA[ID]))&amp;":"&amp;ADDRESS(ROW(),COLUMN(NOTA[ID]))),-1)))</f>
        <v>94</v>
      </c>
      <c r="F515" s="94"/>
      <c r="G515" s="38"/>
      <c r="H515" s="38"/>
      <c r="I515" s="79"/>
      <c r="J515" s="96"/>
      <c r="K515" s="95"/>
      <c r="L515" s="96"/>
      <c r="M515" s="38" t="s">
        <v>291</v>
      </c>
      <c r="N515" s="97">
        <v>2</v>
      </c>
      <c r="O515" s="96">
        <v>288</v>
      </c>
      <c r="P515" s="38" t="s">
        <v>104</v>
      </c>
      <c r="Q515" s="98">
        <v>6500</v>
      </c>
      <c r="R515" s="99"/>
      <c r="S515" s="56" t="s">
        <v>271</v>
      </c>
      <c r="T515" s="100">
        <v>0.125</v>
      </c>
      <c r="U515" s="101">
        <v>0.05</v>
      </c>
      <c r="V515" s="102"/>
      <c r="W515" s="103"/>
      <c r="X515" s="87">
        <f>IF(NOTA[[#This Row],[HARGA/ CTN]]="",NOTA[[#This Row],[JUMLAH_H]],NOTA[[#This Row],[HARGA/ CTN]]*IF(NOTA[[#This Row],[C]]="",0,NOTA[[#This Row],[C]]))</f>
        <v>1872000</v>
      </c>
      <c r="Y515" s="87">
        <f>IF(NOTA[[#This Row],[JUMLAH]]="","",NOTA[[#This Row],[JUMLAH]]*NOTA[[#This Row],[DISC 1]])</f>
        <v>234000</v>
      </c>
      <c r="Z515" s="87">
        <f>IF(NOTA[[#This Row],[JUMLAH]]="","",(NOTA[[#This Row],[JUMLAH]]-NOTA[[#This Row],[DISC 1-]])*NOTA[[#This Row],[DISC 2]])</f>
        <v>81900</v>
      </c>
      <c r="AA515" s="87">
        <f>IF(NOTA[[#This Row],[JUMLAH]]="","",NOTA[[#This Row],[DISC 1-]]+NOTA[[#This Row],[DISC 2-]])</f>
        <v>315900</v>
      </c>
      <c r="AB515" s="87">
        <f>IF(NOTA[[#This Row],[JUMLAH]]="","",NOTA[[#This Row],[JUMLAH]]-NOTA[[#This Row],[DISC]])</f>
        <v>1556100</v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84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515" s="87">
        <f>IF(OR(NOTA[[#This Row],[QTY]]="",NOTA[[#This Row],[HARGA SATUAN]]="",),"",NOTA[[#This Row],[QTY]]*NOTA[[#This Row],[HARGA SATUAN]])</f>
        <v>1872000</v>
      </c>
      <c r="AG515" s="81">
        <f ca="1">IF(NOTA[ID_H]="","",INDEX(NOTA[TANGGAL],MATCH(,INDIRECT(ADDRESS(ROW(NOTA[TANGGAL]),COLUMN(NOTA[TANGGAL]))&amp;":"&amp;ADDRESS(ROW(),COLUMN(NOTA[TANGGAL]))),-1)))</f>
        <v>44944</v>
      </c>
      <c r="AH515" s="84" t="str">
        <f ca="1">IF(NOTA[[#This Row],[NAMA BARANG]]="","",INDEX(NOTA[SUPPLIER],MATCH(,INDIRECT(ADDRESS(ROW(NOTA[ID]),COLUMN(NOTA[ID]))&amp;":"&amp;ADDRESS(ROW(),COLUMN(NOTA[ID]))),-1)))</f>
        <v>ATALI MAKMUR</v>
      </c>
      <c r="AI515" s="84" t="str">
        <f ca="1">IF(NOTA[[#This Row],[ID_H]]="","",IF(NOTA[[#This Row],[FAKTUR]]="",INDIRECT(ADDRESS(ROW()-1,COLUMN())),NOTA[[#This Row],[FAKTUR]]))</f>
        <v>ARTO MORO</v>
      </c>
      <c r="AJ515" s="38" t="str">
        <f ca="1">IF(NOTA[[#This Row],[ID]]="","",COUNTIF(NOTA[ID_H],NOTA[[#This Row],[ID_H]]))</f>
        <v/>
      </c>
      <c r="AK515" s="38">
        <f ca="1">IF(NOTA[[#This Row],[TGL.NOTA]]="",IF(NOTA[[#This Row],[SUPPLIER_H]]="","",AK514),MONTH(NOTA[[#This Row],[TGL.NOTA]]))</f>
        <v>1</v>
      </c>
      <c r="AL515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M515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N515" s="184">
        <f>IF(NOTA[[#This Row],[CONCAT1]]="","",MATCH(NOTA[[#This Row],[CONCAT1]],[1]!db[NB NOTA_C],0)+1)</f>
        <v>1922</v>
      </c>
    </row>
    <row r="516" spans="1:40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Row],[CEK_EXP]]&lt;D515,"err","")</f>
        <v/>
      </c>
      <c r="D516" s="93">
        <f>IF(NOTA[[#This Row],[TANGGAL]]="",D515,NOTA[[#This Row],[TANGGAL]])</f>
        <v>44944</v>
      </c>
      <c r="E516" s="93">
        <f ca="1">IF(NOTA[[#This Row],[NAMA BARANG]]="","",INDEX(NOTA[ID],MATCH(,INDIRECT(ADDRESS(ROW(NOTA[ID]),COLUMN(NOTA[ID]))&amp;":"&amp;ADDRESS(ROW(),COLUMN(NOTA[ID]))),-1)))</f>
        <v>94</v>
      </c>
      <c r="F516" s="94"/>
      <c r="G516" s="38"/>
      <c r="H516" s="38"/>
      <c r="I516" s="79"/>
      <c r="J516" s="96"/>
      <c r="K516" s="95"/>
      <c r="L516" s="96"/>
      <c r="M516" s="38" t="s">
        <v>272</v>
      </c>
      <c r="N516" s="97">
        <v>2</v>
      </c>
      <c r="O516" s="96">
        <v>288</v>
      </c>
      <c r="P516" s="38" t="s">
        <v>104</v>
      </c>
      <c r="Q516" s="98">
        <v>9750</v>
      </c>
      <c r="R516" s="99"/>
      <c r="S516" s="56" t="s">
        <v>271</v>
      </c>
      <c r="T516" s="100">
        <v>0.125</v>
      </c>
      <c r="U516" s="101">
        <v>0.05</v>
      </c>
      <c r="V516" s="102"/>
      <c r="W516" s="103"/>
      <c r="X516" s="87">
        <f>IF(NOTA[[#This Row],[HARGA/ CTN]]="",NOTA[[#This Row],[JUMLAH_H]],NOTA[[#This Row],[HARGA/ CTN]]*IF(NOTA[[#This Row],[C]]="",0,NOTA[[#This Row],[C]]))</f>
        <v>2808000</v>
      </c>
      <c r="Y516" s="87">
        <f>IF(NOTA[[#This Row],[JUMLAH]]="","",NOTA[[#This Row],[JUMLAH]]*NOTA[[#This Row],[DISC 1]])</f>
        <v>351000</v>
      </c>
      <c r="Z516" s="87">
        <f>IF(NOTA[[#This Row],[JUMLAH]]="","",(NOTA[[#This Row],[JUMLAH]]-NOTA[[#This Row],[DISC 1-]])*NOTA[[#This Row],[DISC 2]])</f>
        <v>122850</v>
      </c>
      <c r="AA516" s="87">
        <f>IF(NOTA[[#This Row],[JUMLAH]]="","",NOTA[[#This Row],[DISC 1-]]+NOTA[[#This Row],[DISC 2-]])</f>
        <v>473850</v>
      </c>
      <c r="AB516" s="87">
        <f>IF(NOTA[[#This Row],[JUMLAH]]="","",NOTA[[#This Row],[JUMLAH]]-NOTA[[#This Row],[DISC]])</f>
        <v>2334150</v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8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16" s="87">
        <f>IF(OR(NOTA[[#This Row],[QTY]]="",NOTA[[#This Row],[HARGA SATUAN]]="",),"",NOTA[[#This Row],[QTY]]*NOTA[[#This Row],[HARGA SATUAN]])</f>
        <v>2808000</v>
      </c>
      <c r="AG516" s="81">
        <f ca="1">IF(NOTA[ID_H]="","",INDEX(NOTA[TANGGAL],MATCH(,INDIRECT(ADDRESS(ROW(NOTA[TANGGAL]),COLUMN(NOTA[TANGGAL]))&amp;":"&amp;ADDRESS(ROW(),COLUMN(NOTA[TANGGAL]))),-1)))</f>
        <v>44944</v>
      </c>
      <c r="AH516" s="84" t="str">
        <f ca="1">IF(NOTA[[#This Row],[NAMA BARANG]]="","",INDEX(NOTA[SUPPLIER],MATCH(,INDIRECT(ADDRESS(ROW(NOTA[ID]),COLUMN(NOTA[ID]))&amp;":"&amp;ADDRESS(ROW(),COLUMN(NOTA[ID]))),-1)))</f>
        <v>ATALI MAKMUR</v>
      </c>
      <c r="AI516" s="84" t="str">
        <f ca="1">IF(NOTA[[#This Row],[ID_H]]="","",IF(NOTA[[#This Row],[FAKTUR]]="",INDIRECT(ADDRESS(ROW()-1,COLUMN())),NOTA[[#This Row],[FAKTUR]]))</f>
        <v>ARTO MORO</v>
      </c>
      <c r="AJ516" s="38" t="str">
        <f ca="1">IF(NOTA[[#This Row],[ID]]="","",COUNTIF(NOTA[ID_H],NOTA[[#This Row],[ID_H]]))</f>
        <v/>
      </c>
      <c r="AK516" s="38">
        <f ca="1">IF(NOTA[[#This Row],[TGL.NOTA]]="",IF(NOTA[[#This Row],[SUPPLIER_H]]="","",AK515),MONTH(NOTA[[#This Row],[TGL.NOTA]]))</f>
        <v>1</v>
      </c>
      <c r="AL516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M516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N516" s="184">
        <f>IF(NOTA[[#This Row],[CONCAT1]]="","",MATCH(NOTA[[#This Row],[CONCAT1]],[1]!db[NB NOTA_C],0)+1)</f>
        <v>1924</v>
      </c>
    </row>
    <row r="517" spans="1:40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Row],[CEK_EXP]]&lt;D516,"err","")</f>
        <v/>
      </c>
      <c r="D517" s="93">
        <f>IF(NOTA[[#This Row],[TANGGAL]]="",D516,NOTA[[#This Row],[TANGGAL]])</f>
        <v>44944</v>
      </c>
      <c r="E517" s="93">
        <f ca="1">IF(NOTA[[#This Row],[NAMA BARANG]]="","",INDEX(NOTA[ID],MATCH(,INDIRECT(ADDRESS(ROW(NOTA[ID]),COLUMN(NOTA[ID]))&amp;":"&amp;ADDRESS(ROW(),COLUMN(NOTA[ID]))),-1)))</f>
        <v>94</v>
      </c>
      <c r="F517" s="94"/>
      <c r="G517" s="38"/>
      <c r="H517" s="38"/>
      <c r="I517" s="79"/>
      <c r="J517" s="38"/>
      <c r="K517" s="78"/>
      <c r="L517" s="78"/>
      <c r="M517" s="38" t="s">
        <v>278</v>
      </c>
      <c r="N517" s="97">
        <v>2</v>
      </c>
      <c r="O517" s="96">
        <v>100</v>
      </c>
      <c r="P517" s="38" t="s">
        <v>131</v>
      </c>
      <c r="Q517" s="98">
        <v>28300</v>
      </c>
      <c r="R517" s="99"/>
      <c r="S517" s="56" t="s">
        <v>279</v>
      </c>
      <c r="T517" s="106">
        <v>0.125</v>
      </c>
      <c r="U517" s="101">
        <v>0.05</v>
      </c>
      <c r="V517" s="102"/>
      <c r="W517" s="103"/>
      <c r="X517" s="87">
        <f>IF(NOTA[[#This Row],[HARGA/ CTN]]="",NOTA[[#This Row],[JUMLAH_H]],NOTA[[#This Row],[HARGA/ CTN]]*IF(NOTA[[#This Row],[C]]="",0,NOTA[[#This Row],[C]]))</f>
        <v>2830000</v>
      </c>
      <c r="Y517" s="87">
        <f>IF(NOTA[[#This Row],[JUMLAH]]="","",NOTA[[#This Row],[JUMLAH]]*NOTA[[#This Row],[DISC 1]])</f>
        <v>353750</v>
      </c>
      <c r="Z517" s="87">
        <f>IF(NOTA[[#This Row],[JUMLAH]]="","",(NOTA[[#This Row],[JUMLAH]]-NOTA[[#This Row],[DISC 1-]])*NOTA[[#This Row],[DISC 2]])</f>
        <v>123812.5</v>
      </c>
      <c r="AA517" s="87">
        <f>IF(NOTA[[#This Row],[JUMLAH]]="","",NOTA[[#This Row],[DISC 1-]]+NOTA[[#This Row],[DISC 2-]])</f>
        <v>477562.5</v>
      </c>
      <c r="AB517" s="87">
        <f>IF(NOTA[[#This Row],[JUMLAH]]="","",NOTA[[#This Row],[JUMLAH]]-NOTA[[#This Row],[DISC]])</f>
        <v>2352437.5</v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8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87">
        <f>IF(OR(NOTA[[#This Row],[QTY]]="",NOTA[[#This Row],[HARGA SATUAN]]="",),"",NOTA[[#This Row],[QTY]]*NOTA[[#This Row],[HARGA SATUAN]])</f>
        <v>2830000</v>
      </c>
      <c r="AG517" s="81">
        <f ca="1">IF(NOTA[ID_H]="","",INDEX(NOTA[TANGGAL],MATCH(,INDIRECT(ADDRESS(ROW(NOTA[TANGGAL]),COLUMN(NOTA[TANGGAL]))&amp;":"&amp;ADDRESS(ROW(),COLUMN(NOTA[TANGGAL]))),-1)))</f>
        <v>44944</v>
      </c>
      <c r="AH517" s="84" t="str">
        <f ca="1">IF(NOTA[[#This Row],[NAMA BARANG]]="","",INDEX(NOTA[SUPPLIER],MATCH(,INDIRECT(ADDRESS(ROW(NOTA[ID]),COLUMN(NOTA[ID]))&amp;":"&amp;ADDRESS(ROW(),COLUMN(NOTA[ID]))),-1)))</f>
        <v>ATALI MAKMUR</v>
      </c>
      <c r="AI517" s="84" t="str">
        <f ca="1">IF(NOTA[[#This Row],[ID_H]]="","",IF(NOTA[[#This Row],[FAKTUR]]="",INDIRECT(ADDRESS(ROW()-1,COLUMN())),NOTA[[#This Row],[FAKTUR]]))</f>
        <v>ARTO MORO</v>
      </c>
      <c r="AJ517" s="38" t="str">
        <f ca="1">IF(NOTA[[#This Row],[ID]]="","",COUNTIF(NOTA[ID_H],NOTA[[#This Row],[ID_H]]))</f>
        <v/>
      </c>
      <c r="AK517" s="38">
        <f ca="1">IF(NOTA[[#This Row],[TGL.NOTA]]="",IF(NOTA[[#This Row],[SUPPLIER_H]]="","",AK516),MONTH(NOTA[[#This Row],[TGL.NOTA]]))</f>
        <v>1</v>
      </c>
      <c r="AL51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517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517" s="184">
        <f>IF(NOTA[[#This Row],[CONCAT1]]="","",MATCH(NOTA[[#This Row],[CONCAT1]],[1]!db[NB NOTA_C],0)+1)</f>
        <v>680</v>
      </c>
    </row>
    <row r="518" spans="1:40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Row],[CEK_EXP]]&lt;D517,"err","")</f>
        <v/>
      </c>
      <c r="D518" s="93">
        <f>IF(NOTA[[#This Row],[TANGGAL]]="",D517,NOTA[[#This Row],[TANGGAL]])</f>
        <v>44944</v>
      </c>
      <c r="E518" s="93">
        <f ca="1">IF(NOTA[[#This Row],[NAMA BARANG]]="","",INDEX(NOTA[ID],MATCH(,INDIRECT(ADDRESS(ROW(NOTA[ID]),COLUMN(NOTA[ID]))&amp;":"&amp;ADDRESS(ROW(),COLUMN(NOTA[ID]))),-1)))</f>
        <v>94</v>
      </c>
      <c r="F518" s="94"/>
      <c r="G518" s="38"/>
      <c r="H518" s="38"/>
      <c r="I518" s="79"/>
      <c r="J518" s="96"/>
      <c r="K518" s="95"/>
      <c r="L518" s="96"/>
      <c r="M518" s="38" t="s">
        <v>280</v>
      </c>
      <c r="N518" s="97">
        <v>2</v>
      </c>
      <c r="O518" s="96">
        <v>100</v>
      </c>
      <c r="P518" s="38" t="s">
        <v>131</v>
      </c>
      <c r="Q518" s="98">
        <v>34100</v>
      </c>
      <c r="R518" s="99"/>
      <c r="S518" s="56" t="s">
        <v>281</v>
      </c>
      <c r="T518" s="100">
        <v>0.125</v>
      </c>
      <c r="U518" s="101">
        <v>0.05</v>
      </c>
      <c r="V518" s="102"/>
      <c r="W518" s="103"/>
      <c r="X518" s="87">
        <f>IF(NOTA[[#This Row],[HARGA/ CTN]]="",NOTA[[#This Row],[JUMLAH_H]],NOTA[[#This Row],[HARGA/ CTN]]*IF(NOTA[[#This Row],[C]]="",0,NOTA[[#This Row],[C]]))</f>
        <v>3410000</v>
      </c>
      <c r="Y518" s="87">
        <f>IF(NOTA[[#This Row],[JUMLAH]]="","",NOTA[[#This Row],[JUMLAH]]*NOTA[[#This Row],[DISC 1]])</f>
        <v>426250</v>
      </c>
      <c r="Z518" s="87">
        <f>IF(NOTA[[#This Row],[JUMLAH]]="","",(NOTA[[#This Row],[JUMLAH]]-NOTA[[#This Row],[DISC 1-]])*NOTA[[#This Row],[DISC 2]])</f>
        <v>149187.5</v>
      </c>
      <c r="AA518" s="87">
        <f>IF(NOTA[[#This Row],[JUMLAH]]="","",NOTA[[#This Row],[DISC 1-]]+NOTA[[#This Row],[DISC 2-]])</f>
        <v>575437.5</v>
      </c>
      <c r="AB518" s="87">
        <f>IF(NOTA[[#This Row],[JUMLAH]]="","",NOTA[[#This Row],[JUMLAH]]-NOTA[[#This Row],[DISC]])</f>
        <v>2834562.5</v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8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8" s="87">
        <f>IF(OR(NOTA[[#This Row],[QTY]]="",NOTA[[#This Row],[HARGA SATUAN]]="",),"",NOTA[[#This Row],[QTY]]*NOTA[[#This Row],[HARGA SATUAN]])</f>
        <v>3410000</v>
      </c>
      <c r="AG518" s="81">
        <f ca="1">IF(NOTA[ID_H]="","",INDEX(NOTA[TANGGAL],MATCH(,INDIRECT(ADDRESS(ROW(NOTA[TANGGAL]),COLUMN(NOTA[TANGGAL]))&amp;":"&amp;ADDRESS(ROW(),COLUMN(NOTA[TANGGAL]))),-1)))</f>
        <v>44944</v>
      </c>
      <c r="AH518" s="84" t="str">
        <f ca="1">IF(NOTA[[#This Row],[NAMA BARANG]]="","",INDEX(NOTA[SUPPLIER],MATCH(,INDIRECT(ADDRESS(ROW(NOTA[ID]),COLUMN(NOTA[ID]))&amp;":"&amp;ADDRESS(ROW(),COLUMN(NOTA[ID]))),-1)))</f>
        <v>ATALI MAKMUR</v>
      </c>
      <c r="AI518" s="84" t="str">
        <f ca="1">IF(NOTA[[#This Row],[ID_H]]="","",IF(NOTA[[#This Row],[FAKTUR]]="",INDIRECT(ADDRESS(ROW()-1,COLUMN())),NOTA[[#This Row],[FAKTUR]]))</f>
        <v>ARTO MORO</v>
      </c>
      <c r="AJ518" s="38" t="str">
        <f ca="1">IF(NOTA[[#This Row],[ID]]="","",COUNTIF(NOTA[ID_H],NOTA[[#This Row],[ID_H]]))</f>
        <v/>
      </c>
      <c r="AK518" s="38">
        <f ca="1">IF(NOTA[[#This Row],[TGL.NOTA]]="",IF(NOTA[[#This Row],[SUPPLIER_H]]="","",AK517),MONTH(NOTA[[#This Row],[TGL.NOTA]]))</f>
        <v>1</v>
      </c>
      <c r="AL51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M518" s="38" t="str">
        <f>IF(NOTA[C]="",NOTA[[#This Row],[CONCAT1]]&amp;NOTA[[#This Row],[HARGA SATUAN]],NOTA[[#This Row],[CONCAT1]]&amp;NOTA[[#This Row],[HARGA/ CTN_H]]&amp;NOTA[[#This Row],[DISC 1]]&amp;NOTA[[#This Row],[DISC 2]])</f>
        <v>eraser526b20jk17050000.1250.05</v>
      </c>
      <c r="AN518" s="184">
        <f>IF(NOTA[[#This Row],[CONCAT1]]="","",MATCH(NOTA[[#This Row],[CONCAT1]],[1]!db[NB NOTA_C],0)+1)</f>
        <v>678</v>
      </c>
    </row>
    <row r="519" spans="1:40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Row],[CEK_EXP]]&lt;D518,"err","")</f>
        <v/>
      </c>
      <c r="D519" s="93">
        <f>IF(NOTA[[#This Row],[TANGGAL]]="",D518,NOTA[[#This Row],[TANGGAL]])</f>
        <v>44944</v>
      </c>
      <c r="E519" s="93">
        <f ca="1">IF(NOTA[[#This Row],[NAMA BARANG]]="","",INDEX(NOTA[ID],MATCH(,INDIRECT(ADDRESS(ROW(NOTA[ID]),COLUMN(NOTA[ID]))&amp;":"&amp;ADDRESS(ROW(),COLUMN(NOTA[ID]))),-1)))</f>
        <v>94</v>
      </c>
      <c r="F519" s="94"/>
      <c r="G519" s="38"/>
      <c r="H519" s="38"/>
      <c r="I519" s="79"/>
      <c r="J519" s="38"/>
      <c r="K519" s="95"/>
      <c r="L519" s="96"/>
      <c r="M519" s="38" t="s">
        <v>648</v>
      </c>
      <c r="N519" s="97">
        <v>2</v>
      </c>
      <c r="O519" s="96">
        <v>288</v>
      </c>
      <c r="P519" s="38" t="s">
        <v>128</v>
      </c>
      <c r="Q519" s="98">
        <v>10600</v>
      </c>
      <c r="R519" s="99"/>
      <c r="S519" s="56" t="s">
        <v>264</v>
      </c>
      <c r="T519" s="100">
        <v>0.125</v>
      </c>
      <c r="U519" s="101">
        <v>0.05</v>
      </c>
      <c r="V519" s="102"/>
      <c r="W519" s="103"/>
      <c r="X519" s="87">
        <f>IF(NOTA[[#This Row],[HARGA/ CTN]]="",NOTA[[#This Row],[JUMLAH_H]],NOTA[[#This Row],[HARGA/ CTN]]*IF(NOTA[[#This Row],[C]]="",0,NOTA[[#This Row],[C]]))</f>
        <v>3052800</v>
      </c>
      <c r="Y519" s="87">
        <f>IF(NOTA[[#This Row],[JUMLAH]]="","",NOTA[[#This Row],[JUMLAH]]*NOTA[[#This Row],[DISC 1]])</f>
        <v>381600</v>
      </c>
      <c r="Z519" s="87">
        <f>IF(NOTA[[#This Row],[JUMLAH]]="","",(NOTA[[#This Row],[JUMLAH]]-NOTA[[#This Row],[DISC 1-]])*NOTA[[#This Row],[DISC 2]])</f>
        <v>133560</v>
      </c>
      <c r="AA519" s="87">
        <f>IF(NOTA[[#This Row],[JUMLAH]]="","",NOTA[[#This Row],[DISC 1-]]+NOTA[[#This Row],[DISC 2-]])</f>
        <v>515160</v>
      </c>
      <c r="AB519" s="87">
        <f>IF(NOTA[[#This Row],[JUMLAH]]="","",NOTA[[#This Row],[JUMLAH]]-NOTA[[#This Row],[DISC]])</f>
        <v>2537640</v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8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19" s="87">
        <f>IF(OR(NOTA[[#This Row],[QTY]]="",NOTA[[#This Row],[HARGA SATUAN]]="",),"",NOTA[[#This Row],[QTY]]*NOTA[[#This Row],[HARGA SATUAN]])</f>
        <v>3052800</v>
      </c>
      <c r="AG519" s="81">
        <f ca="1">IF(NOTA[ID_H]="","",INDEX(NOTA[TANGGAL],MATCH(,INDIRECT(ADDRESS(ROW(NOTA[TANGGAL]),COLUMN(NOTA[TANGGAL]))&amp;":"&amp;ADDRESS(ROW(),COLUMN(NOTA[TANGGAL]))),-1)))</f>
        <v>44944</v>
      </c>
      <c r="AH519" s="84" t="str">
        <f ca="1">IF(NOTA[[#This Row],[NAMA BARANG]]="","",INDEX(NOTA[SUPPLIER],MATCH(,INDIRECT(ADDRESS(ROW(NOTA[ID]),COLUMN(NOTA[ID]))&amp;":"&amp;ADDRESS(ROW(),COLUMN(NOTA[ID]))),-1)))</f>
        <v>ATALI MAKMUR</v>
      </c>
      <c r="AI519" s="84" t="str">
        <f ca="1">IF(NOTA[[#This Row],[ID_H]]="","",IF(NOTA[[#This Row],[FAKTUR]]="",INDIRECT(ADDRESS(ROW()-1,COLUMN())),NOTA[[#This Row],[FAKTUR]]))</f>
        <v>ARTO MORO</v>
      </c>
      <c r="AJ519" s="38" t="str">
        <f ca="1">IF(NOTA[[#This Row],[ID]]="","",COUNTIF(NOTA[ID_H],NOTA[[#This Row],[ID_H]]))</f>
        <v/>
      </c>
      <c r="AK519" s="38">
        <f ca="1">IF(NOTA[[#This Row],[TGL.NOTA]]="",IF(NOTA[[#This Row],[SUPPLIER_H]]="","",AK518),MONTH(NOTA[[#This Row],[TGL.NOTA]]))</f>
        <v>1</v>
      </c>
      <c r="AL5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519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N519" s="184">
        <f>IF(NOTA[[#This Row],[CONCAT1]]="","",MATCH(NOTA[[#This Row],[CONCAT1]],[1]!db[NB NOTA_C],0)+1)</f>
        <v>488</v>
      </c>
    </row>
    <row r="520" spans="1:40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Row],[CEK_EXP]]&lt;D519,"err","")</f>
        <v/>
      </c>
      <c r="D520" s="93">
        <f>IF(NOTA[[#This Row],[TANGGAL]]="",D519,NOTA[[#This Row],[TANGGAL]])</f>
        <v>44944</v>
      </c>
      <c r="E520" s="93">
        <f ca="1">IF(NOTA[[#This Row],[NAMA BARANG]]="","",INDEX(NOTA[ID],MATCH(,INDIRECT(ADDRESS(ROW(NOTA[ID]),COLUMN(NOTA[ID]))&amp;":"&amp;ADDRESS(ROW(),COLUMN(NOTA[ID]))),-1)))</f>
        <v>94</v>
      </c>
      <c r="F520" s="94"/>
      <c r="G520" s="38"/>
      <c r="H520" s="38"/>
      <c r="I520" s="79"/>
      <c r="J520" s="38"/>
      <c r="K520" s="78"/>
      <c r="L520" s="95"/>
      <c r="M520" s="38" t="s">
        <v>679</v>
      </c>
      <c r="N520" s="97">
        <v>2</v>
      </c>
      <c r="O520" s="96">
        <v>288</v>
      </c>
      <c r="P520" s="38" t="s">
        <v>116</v>
      </c>
      <c r="Q520" s="98">
        <v>14100</v>
      </c>
      <c r="R520" s="99"/>
      <c r="S520" s="56" t="s">
        <v>129</v>
      </c>
      <c r="T520" s="100">
        <v>0.125</v>
      </c>
      <c r="U520" s="101">
        <v>0.05</v>
      </c>
      <c r="V520" s="102"/>
      <c r="W520" s="103"/>
      <c r="X520" s="87">
        <f>IF(NOTA[[#This Row],[HARGA/ CTN]]="",NOTA[[#This Row],[JUMLAH_H]],NOTA[[#This Row],[HARGA/ CTN]]*IF(NOTA[[#This Row],[C]]="",0,NOTA[[#This Row],[C]]))</f>
        <v>4060800</v>
      </c>
      <c r="Y520" s="87">
        <f>IF(NOTA[[#This Row],[JUMLAH]]="","",NOTA[[#This Row],[JUMLAH]]*NOTA[[#This Row],[DISC 1]])</f>
        <v>507600</v>
      </c>
      <c r="Z520" s="87">
        <f>IF(NOTA[[#This Row],[JUMLAH]]="","",(NOTA[[#This Row],[JUMLAH]]-NOTA[[#This Row],[DISC 1-]])*NOTA[[#This Row],[DISC 2]])</f>
        <v>177660</v>
      </c>
      <c r="AA520" s="87">
        <f>IF(NOTA[[#This Row],[JUMLAH]]="","",NOTA[[#This Row],[DISC 1-]]+NOTA[[#This Row],[DISC 2-]])</f>
        <v>685260</v>
      </c>
      <c r="AB520" s="87">
        <f>IF(NOTA[[#This Row],[JUMLAH]]="","",NOTA[[#This Row],[JUMLAH]]-NOTA[[#This Row],[DISC]])</f>
        <v>3375540</v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8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520" s="87">
        <f>IF(OR(NOTA[[#This Row],[QTY]]="",NOTA[[#This Row],[HARGA SATUAN]]="",),"",NOTA[[#This Row],[QTY]]*NOTA[[#This Row],[HARGA SATUAN]])</f>
        <v>4060800</v>
      </c>
      <c r="AG520" s="81">
        <f ca="1">IF(NOTA[ID_H]="","",INDEX(NOTA[TANGGAL],MATCH(,INDIRECT(ADDRESS(ROW(NOTA[TANGGAL]),COLUMN(NOTA[TANGGAL]))&amp;":"&amp;ADDRESS(ROW(),COLUMN(NOTA[TANGGAL]))),-1)))</f>
        <v>44944</v>
      </c>
      <c r="AH520" s="84" t="str">
        <f ca="1">IF(NOTA[[#This Row],[NAMA BARANG]]="","",INDEX(NOTA[SUPPLIER],MATCH(,INDIRECT(ADDRESS(ROW(NOTA[ID]),COLUMN(NOTA[ID]))&amp;":"&amp;ADDRESS(ROW(),COLUMN(NOTA[ID]))),-1)))</f>
        <v>ATALI MAKMUR</v>
      </c>
      <c r="AI520" s="84" t="str">
        <f ca="1">IF(NOTA[[#This Row],[ID_H]]="","",IF(NOTA[[#This Row],[FAKTUR]]="",INDIRECT(ADDRESS(ROW()-1,COLUMN())),NOTA[[#This Row],[FAKTUR]]))</f>
        <v>ARTO MORO</v>
      </c>
      <c r="AJ520" s="38" t="str">
        <f ca="1">IF(NOTA[[#This Row],[ID]]="","",COUNTIF(NOTA[ID_H],NOTA[[#This Row],[ID_H]]))</f>
        <v/>
      </c>
      <c r="AK520" s="38">
        <f ca="1">IF(NOTA[[#This Row],[TGL.NOTA]]="",IF(NOTA[[#This Row],[SUPPLIER_H]]="","",AK519),MONTH(NOTA[[#This Row],[TGL.NOTA]]))</f>
        <v>1</v>
      </c>
      <c r="AL520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520" s="38" t="str">
        <f>IF(NOTA[C]="",NOTA[[#This Row],[CONCAT1]]&amp;NOTA[[#This Row],[HARGA SATUAN]],NOTA[[#This Row],[CONCAT1]]&amp;NOTA[[#This Row],[HARGA/ CTN_H]]&amp;NOTA[[#This Row],[DISC 1]]&amp;NOTA[[#This Row],[DISC 2]])</f>
        <v>gelpengp330blackjk20304000.1250.05</v>
      </c>
      <c r="AN520" s="184">
        <f>IF(NOTA[[#This Row],[CONCAT1]]="","",MATCH(NOTA[[#This Row],[CONCAT1]],[1]!db[NB NOTA_C],0)+1)</f>
        <v>736</v>
      </c>
    </row>
    <row r="521" spans="1:40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Row],[CEK_EXP]]&lt;D520,"err","")</f>
        <v/>
      </c>
      <c r="D521" s="93">
        <f>IF(NOTA[[#This Row],[TANGGAL]]="",D520,NOTA[[#This Row],[TANGGAL]])</f>
        <v>44944</v>
      </c>
      <c r="E521" s="93">
        <f ca="1">IF(NOTA[[#This Row],[NAMA BARANG]]="","",INDEX(NOTA[ID],MATCH(,INDIRECT(ADDRESS(ROW(NOTA[ID]),COLUMN(NOTA[ID]))&amp;":"&amp;ADDRESS(ROW(),COLUMN(NOTA[ID]))),-1)))</f>
        <v>94</v>
      </c>
      <c r="F521" s="94"/>
      <c r="G521" s="38"/>
      <c r="H521" s="38"/>
      <c r="I521" s="79"/>
      <c r="J521" s="38"/>
      <c r="K521" s="95"/>
      <c r="L521" s="96"/>
      <c r="M521" s="38" t="s">
        <v>680</v>
      </c>
      <c r="N521" s="97">
        <v>2</v>
      </c>
      <c r="O521" s="96">
        <v>1728</v>
      </c>
      <c r="P521" s="38" t="s">
        <v>104</v>
      </c>
      <c r="Q521" s="98">
        <v>2100</v>
      </c>
      <c r="R521" s="99"/>
      <c r="S521" s="56" t="s">
        <v>681</v>
      </c>
      <c r="T521" s="100">
        <v>0.125</v>
      </c>
      <c r="U521" s="101">
        <v>0.05</v>
      </c>
      <c r="V521" s="102"/>
      <c r="W521" s="103"/>
      <c r="X521" s="87">
        <f>IF(NOTA[[#This Row],[HARGA/ CTN]]="",NOTA[[#This Row],[JUMLAH_H]],NOTA[[#This Row],[HARGA/ CTN]]*IF(NOTA[[#This Row],[C]]="",0,NOTA[[#This Row],[C]]))</f>
        <v>3628800</v>
      </c>
      <c r="Y521" s="87">
        <f>IF(NOTA[[#This Row],[JUMLAH]]="","",NOTA[[#This Row],[JUMLAH]]*NOTA[[#This Row],[DISC 1]])</f>
        <v>453600</v>
      </c>
      <c r="Z521" s="87">
        <f>IF(NOTA[[#This Row],[JUMLAH]]="","",(NOTA[[#This Row],[JUMLAH]]-NOTA[[#This Row],[DISC 1-]])*NOTA[[#This Row],[DISC 2]])</f>
        <v>158760</v>
      </c>
      <c r="AA521" s="87">
        <f>IF(NOTA[[#This Row],[JUMLAH]]="","",NOTA[[#This Row],[DISC 1-]]+NOTA[[#This Row],[DISC 2-]])</f>
        <v>612360</v>
      </c>
      <c r="AB521" s="87">
        <f>IF(NOTA[[#This Row],[JUMLAH]]="","",NOTA[[#This Row],[JUMLAH]]-NOTA[[#This Row],[DISC]])</f>
        <v>3016440</v>
      </c>
      <c r="AC52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3866940</v>
      </c>
      <c r="AD52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19048260</v>
      </c>
      <c r="AE521" s="84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21" s="87">
        <f>IF(OR(NOTA[[#This Row],[QTY]]="",NOTA[[#This Row],[HARGA SATUAN]]="",),"",NOTA[[#This Row],[QTY]]*NOTA[[#This Row],[HARGA SATUAN]])</f>
        <v>3628800</v>
      </c>
      <c r="AG521" s="81">
        <f ca="1">IF(NOTA[ID_H]="","",INDEX(NOTA[TANGGAL],MATCH(,INDIRECT(ADDRESS(ROW(NOTA[TANGGAL]),COLUMN(NOTA[TANGGAL]))&amp;":"&amp;ADDRESS(ROW(),COLUMN(NOTA[TANGGAL]))),-1)))</f>
        <v>44944</v>
      </c>
      <c r="AH521" s="84" t="str">
        <f ca="1">IF(NOTA[[#This Row],[NAMA BARANG]]="","",INDEX(NOTA[SUPPLIER],MATCH(,INDIRECT(ADDRESS(ROW(NOTA[ID]),COLUMN(NOTA[ID]))&amp;":"&amp;ADDRESS(ROW(),COLUMN(NOTA[ID]))),-1)))</f>
        <v>ATALI MAKMUR</v>
      </c>
      <c r="AI521" s="84" t="str">
        <f ca="1">IF(NOTA[[#This Row],[ID_H]]="","",IF(NOTA[[#This Row],[FAKTUR]]="",INDIRECT(ADDRESS(ROW()-1,COLUMN())),NOTA[[#This Row],[FAKTUR]]))</f>
        <v>ARTO MORO</v>
      </c>
      <c r="AJ521" s="38" t="str">
        <f ca="1">IF(NOTA[[#This Row],[ID]]="","",COUNTIF(NOTA[ID_H],NOTA[[#This Row],[ID_H]]))</f>
        <v/>
      </c>
      <c r="AK521" s="38">
        <f ca="1">IF(NOTA[[#This Row],[TGL.NOTA]]="",IF(NOTA[[#This Row],[SUPPLIER_H]]="","",AK520),MONTH(NOTA[[#This Row],[TGL.NOTA]]))</f>
        <v>1</v>
      </c>
      <c r="AL52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21" s="38" t="str">
        <f>IF(NOTA[C]="",NOTA[[#This Row],[CONCAT1]]&amp;NOTA[[#This Row],[HARGA SATUAN]],NOTA[[#This Row],[CONCAT1]]&amp;NOTA[[#This Row],[HARGA/ CTN_H]]&amp;NOTA[[#This Row],[DISC 1]]&amp;NOTA[[#This Row],[DISC 2]])</f>
        <v>gluestickgs1008gramjk18144000.1250.05</v>
      </c>
      <c r="AN521" s="184">
        <f>IF(NOTA[[#This Row],[CONCAT1]]="","",MATCH(NOTA[[#This Row],[CONCAT1]],[1]!db[NB NOTA_C],0)+1)</f>
        <v>928</v>
      </c>
    </row>
    <row r="522" spans="1:40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Row],[CEK_EXP]]&lt;D521,"err","")</f>
        <v/>
      </c>
      <c r="D522" s="93">
        <f>IF(NOTA[[#This Row],[TANGGAL]]="",D521,NOTA[[#This Row],[TANGGAL]])</f>
        <v>44944</v>
      </c>
      <c r="E522" s="93" t="str">
        <f ca="1">IF(NOTA[[#This Row],[NAMA BARANG]]="","",INDEX(NOTA[ID],MATCH(,INDIRECT(ADDRESS(ROW(NOTA[ID]),COLUMN(NOTA[ID]))&amp;":"&amp;ADDRESS(ROW(),COLUMN(NOTA[ID]))),-1)))</f>
        <v/>
      </c>
      <c r="F522" s="94"/>
      <c r="G522" s="38"/>
      <c r="H522" s="38"/>
      <c r="I522" s="79"/>
      <c r="J522" s="38"/>
      <c r="K522" s="95"/>
      <c r="L522" s="96"/>
      <c r="M522" s="38"/>
      <c r="N522" s="97"/>
      <c r="O522" s="96"/>
      <c r="P522" s="38"/>
      <c r="Q522" s="98"/>
      <c r="R522" s="99"/>
      <c r="S522" s="56"/>
      <c r="T522" s="100"/>
      <c r="U522" s="101"/>
      <c r="V522" s="102"/>
      <c r="W522" s="103"/>
      <c r="X522" s="87" t="str">
        <f>IF(NOTA[[#This Row],[HARGA/ CTN]]="",NOTA[[#This Row],[JUMLAH_H]],NOTA[[#This Row],[HARGA/ CTN]]*IF(NOTA[[#This Row],[C]]="",0,NOTA[[#This Row],[C]]))</f>
        <v/>
      </c>
      <c r="Y522" s="87" t="str">
        <f>IF(NOTA[[#This Row],[JUMLAH]]="","",NOTA[[#This Row],[JUMLAH]]*NOTA[[#This Row],[DISC 1]])</f>
        <v/>
      </c>
      <c r="Z522" s="87" t="str">
        <f>IF(NOTA[[#This Row],[JUMLAH]]="","",(NOTA[[#This Row],[JUMLAH]]-NOTA[[#This Row],[DISC 1-]])*NOTA[[#This Row],[DISC 2]])</f>
        <v/>
      </c>
      <c r="AA522" s="87" t="str">
        <f>IF(NOTA[[#This Row],[JUMLAH]]="","",NOTA[[#This Row],[DISC 1-]]+NOTA[[#This Row],[DISC 2-]])</f>
        <v/>
      </c>
      <c r="AB522" s="87" t="str">
        <f>IF(NOTA[[#This Row],[JUMLAH]]="","",NOTA[[#This Row],[JUMLAH]]-NOTA[[#This Row],[DISC]])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2" s="87" t="str">
        <f>IF(OR(NOTA[[#This Row],[QTY]]="",NOTA[[#This Row],[HARGA SATUAN]]="",),"",NOTA[[#This Row],[QTY]]*NOTA[[#This Row],[HARGA SATUAN]])</f>
        <v/>
      </c>
      <c r="AG522" s="81" t="str">
        <f ca="1">IF(NOTA[ID_H]="","",INDEX(NOTA[TANGGAL],MATCH(,INDIRECT(ADDRESS(ROW(NOTA[TANGGAL]),COLUMN(NOTA[TANGGAL]))&amp;":"&amp;ADDRESS(ROW(),COLUMN(NOTA[TANGGAL]))),-1)))</f>
        <v/>
      </c>
      <c r="AH522" s="84" t="str">
        <f ca="1">IF(NOTA[[#This Row],[NAMA BARANG]]="","",INDEX(NOTA[SUPPLIER],MATCH(,INDIRECT(ADDRESS(ROW(NOTA[ID]),COLUMN(NOTA[ID]))&amp;":"&amp;ADDRESS(ROW(),COLUMN(NOTA[ID]))),-1)))</f>
        <v/>
      </c>
      <c r="AI522" s="84" t="str">
        <f ca="1">IF(NOTA[[#This Row],[ID_H]]="","",IF(NOTA[[#This Row],[FAKTUR]]="",INDIRECT(ADDRESS(ROW()-1,COLUMN())),NOTA[[#This Row],[FAKTUR]]))</f>
        <v/>
      </c>
      <c r="AJ522" s="38" t="str">
        <f ca="1">IF(NOTA[[#This Row],[ID]]="","",COUNTIF(NOTA[ID_H],NOTA[[#This Row],[ID_H]]))</f>
        <v/>
      </c>
      <c r="AK522" s="38" t="str">
        <f ca="1">IF(NOTA[[#This Row],[TGL.NOTA]]="",IF(NOTA[[#This Row],[SUPPLIER_H]]="","",AK521),MONTH(NOTA[[#This Row],[TGL.NOTA]]))</f>
        <v/>
      </c>
      <c r="AL522" s="38" t="str">
        <f>LOWER(SUBSTITUTE(SUBSTITUTE(SUBSTITUTE(SUBSTITUTE(SUBSTITUTE(SUBSTITUTE(SUBSTITUTE(SUBSTITUTE(SUBSTITUTE(NOTA[NAMA BARANG]," ",),".",""),"-",""),"(",""),")",""),",",""),"/",""),"""",""),"+",""))</f>
        <v/>
      </c>
      <c r="AM522" s="38" t="str">
        <f>IF(NOTA[C]="",NOTA[[#This Row],[CONCAT1]]&amp;NOTA[[#This Row],[HARGA SATUAN]],NOTA[[#This Row],[CONCAT1]]&amp;NOTA[[#This Row],[HARGA/ CTN_H]]&amp;NOTA[[#This Row],[DISC 1]]&amp;NOTA[[#This Row],[DISC 2]])</f>
        <v/>
      </c>
      <c r="AN522" s="184" t="str">
        <f>IF(NOTA[[#This Row],[CONCAT1]]="","",MATCH(NOTA[[#This Row],[CONCAT1]],[1]!db[NB NOTA_C],0)+1)</f>
        <v/>
      </c>
    </row>
    <row r="523" spans="1:40" ht="20.100000000000001" customHeight="1" x14ac:dyDescent="0.25">
      <c r="A523" s="84">
        <f ca="1">IF(INDIRECT(ADDRESS(ROW()-1,COLUMN(NOTA[[#Headers],[ID]])))="ID",1,IF(NOTA[[#This Row],[FAKTUR]]="","",COUNT(INDIRECT(ADDRESS(ROW(NOTA[ID]),COLUMN(NOTA[ID]))&amp;":"&amp;ADDRESS(ROW()-1,COLUMN(NOTA[ID]))))+1))</f>
        <v>95</v>
      </c>
      <c r="B52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KEN_1801_110-2</v>
      </c>
      <c r="C523" s="93" t="str">
        <f>IF(NOTA[[#This Row],[CEK_EXP]]&lt;D522,"err","")</f>
        <v/>
      </c>
      <c r="D523" s="93">
        <f>IF(NOTA[[#This Row],[TANGGAL]]="",D522,NOTA[[#This Row],[TANGGAL]])</f>
        <v>44944</v>
      </c>
      <c r="E523" s="93">
        <f ca="1">IF(NOTA[[#This Row],[NAMA BARANG]]="","",INDEX(NOTA[ID],MATCH(,INDIRECT(ADDRESS(ROW(NOTA[ID]),COLUMN(NOTA[ID]))&amp;":"&amp;ADDRESS(ROW(),COLUMN(NOTA[ID]))),-1)))</f>
        <v>95</v>
      </c>
      <c r="F523" s="94"/>
      <c r="G523" s="38" t="s">
        <v>23</v>
      </c>
      <c r="H523" s="38" t="s">
        <v>24</v>
      </c>
      <c r="I523" s="79" t="s">
        <v>682</v>
      </c>
      <c r="J523" s="38" t="s">
        <v>684</v>
      </c>
      <c r="K523" s="95">
        <v>44942</v>
      </c>
      <c r="L523" s="96"/>
      <c r="M523" s="38" t="s">
        <v>549</v>
      </c>
      <c r="N523" s="97">
        <v>2</v>
      </c>
      <c r="O523" s="96"/>
      <c r="P523" s="38"/>
      <c r="Q523" s="98"/>
      <c r="R523" s="99">
        <v>3024000</v>
      </c>
      <c r="S523" s="56"/>
      <c r="T523" s="100">
        <v>0.17</v>
      </c>
      <c r="U523" s="101"/>
      <c r="V523" s="102"/>
      <c r="W523" s="103"/>
      <c r="X523" s="87">
        <f>IF(NOTA[[#This Row],[HARGA/ CTN]]="",NOTA[[#This Row],[JUMLAH_H]],NOTA[[#This Row],[HARGA/ CTN]]*IF(NOTA[[#This Row],[C]]="",0,NOTA[[#This Row],[C]]))</f>
        <v>6048000</v>
      </c>
      <c r="Y523" s="87">
        <f>IF(NOTA[[#This Row],[JUMLAH]]="","",NOTA[[#This Row],[JUMLAH]]*NOTA[[#This Row],[DISC 1]])</f>
        <v>1028160.0000000001</v>
      </c>
      <c r="Z523" s="87">
        <f>IF(NOTA[[#This Row],[JUMLAH]]="","",(NOTA[[#This Row],[JUMLAH]]-NOTA[[#This Row],[DISC 1-]])*NOTA[[#This Row],[DISC 2]])</f>
        <v>0</v>
      </c>
      <c r="AA523" s="87">
        <f>IF(NOTA[[#This Row],[JUMLAH]]="","",NOTA[[#This Row],[DISC 1-]]+NOTA[[#This Row],[DISC 2-]])</f>
        <v>1028160.0000000001</v>
      </c>
      <c r="AB523" s="87">
        <f>IF(NOTA[[#This Row],[JUMLAH]]="","",NOTA[[#This Row],[JUMLAH]]-NOTA[[#This Row],[DISC]])</f>
        <v>5019840</v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84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23" s="87" t="str">
        <f>IF(OR(NOTA[[#This Row],[QTY]]="",NOTA[[#This Row],[HARGA SATUAN]]="",),"",NOTA[[#This Row],[QTY]]*NOTA[[#This Row],[HARGA SATUAN]])</f>
        <v/>
      </c>
      <c r="AG523" s="81">
        <f ca="1">IF(NOTA[ID_H]="","",INDEX(NOTA[TANGGAL],MATCH(,INDIRECT(ADDRESS(ROW(NOTA[TANGGAL]),COLUMN(NOTA[TANGGAL]))&amp;":"&amp;ADDRESS(ROW(),COLUMN(NOTA[TANGGAL]))),-1)))</f>
        <v>44944</v>
      </c>
      <c r="AH523" s="84" t="str">
        <f ca="1">IF(NOTA[[#This Row],[NAMA BARANG]]="","",INDEX(NOTA[SUPPLIER],MATCH(,INDIRECT(ADDRESS(ROW(NOTA[ID]),COLUMN(NOTA[ID]))&amp;":"&amp;ADDRESS(ROW(),COLUMN(NOTA[ID]))),-1)))</f>
        <v>KENKO SINAR INDONESIA</v>
      </c>
      <c r="AI523" s="84" t="str">
        <f ca="1">IF(NOTA[[#This Row],[ID_H]]="","",IF(NOTA[[#This Row],[FAKTUR]]="",INDIRECT(ADDRESS(ROW()-1,COLUMN())),NOTA[[#This Row],[FAKTUR]]))</f>
        <v>ARTO MORO</v>
      </c>
      <c r="AJ523" s="38">
        <f ca="1">IF(NOTA[[#This Row],[ID]]="","",COUNTIF(NOTA[ID_H],NOTA[[#This Row],[ID_H]]))</f>
        <v>2</v>
      </c>
      <c r="AK523" s="38">
        <f>IF(NOTA[[#This Row],[TGL.NOTA]]="",IF(NOTA[[#This Row],[SUPPLIER_H]]="","",AK522),MONTH(NOTA[[#This Row],[TGL.NOTA]]))</f>
        <v>1</v>
      </c>
      <c r="AL523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M523" s="38" t="str">
        <f>IF(NOTA[C]="",NOTA[[#This Row],[CONCAT1]]&amp;NOTA[[#This Row],[HARGA SATUAN]],NOTA[[#This Row],[CONCAT1]]&amp;NOTA[[#This Row],[HARGA/ CTN_H]]&amp;NOTA[[#This Row],[DISC 1]]&amp;NOTA[[#This Row],[DISC 2]])</f>
        <v>kenkocorrectiontapect90312mx5mm30240000.17</v>
      </c>
      <c r="AN523" s="184">
        <f>IF(NOTA[[#This Row],[CONCAT1]]="","",MATCH(NOTA[[#This Row],[CONCAT1]],[1]!db[NB NOTA_C],0)+1)</f>
        <v>1127</v>
      </c>
    </row>
    <row r="524" spans="1:40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Row],[CEK_EXP]]&lt;D523,"err","")</f>
        <v/>
      </c>
      <c r="D524" s="93">
        <f>IF(NOTA[[#This Row],[TANGGAL]]="",D523,NOTA[[#This Row],[TANGGAL]])</f>
        <v>44944</v>
      </c>
      <c r="E524" s="93">
        <f ca="1">IF(NOTA[[#This Row],[NAMA BARANG]]="","",INDEX(NOTA[ID],MATCH(,INDIRECT(ADDRESS(ROW(NOTA[ID]),COLUMN(NOTA[ID]))&amp;":"&amp;ADDRESS(ROW(),COLUMN(NOTA[ID]))),-1)))</f>
        <v>95</v>
      </c>
      <c r="F524" s="139"/>
      <c r="G524" s="38"/>
      <c r="H524" s="38"/>
      <c r="I524" s="79"/>
      <c r="J524" s="38"/>
      <c r="K524" s="95"/>
      <c r="L524" s="96"/>
      <c r="M524" s="38" t="s">
        <v>547</v>
      </c>
      <c r="N524" s="97">
        <v>2</v>
      </c>
      <c r="O524" s="96"/>
      <c r="P524" s="38"/>
      <c r="Q524" s="98"/>
      <c r="R524" s="99">
        <v>3758400</v>
      </c>
      <c r="S524" s="56"/>
      <c r="T524" s="100">
        <v>0.17</v>
      </c>
      <c r="U524" s="101"/>
      <c r="V524" s="102"/>
      <c r="W524" s="103"/>
      <c r="X524" s="87">
        <f>IF(NOTA[[#This Row],[HARGA/ CTN]]="",NOTA[[#This Row],[JUMLAH_H]],NOTA[[#This Row],[HARGA/ CTN]]*IF(NOTA[[#This Row],[C]]="",0,NOTA[[#This Row],[C]]))</f>
        <v>7516800</v>
      </c>
      <c r="Y524" s="87">
        <f>IF(NOTA[[#This Row],[JUMLAH]]="","",NOTA[[#This Row],[JUMLAH]]*NOTA[[#This Row],[DISC 1]])</f>
        <v>1277856</v>
      </c>
      <c r="Z524" s="87">
        <f>IF(NOTA[[#This Row],[JUMLAH]]="","",(NOTA[[#This Row],[JUMLAH]]-NOTA[[#This Row],[DISC 1-]])*NOTA[[#This Row],[DISC 2]])</f>
        <v>0</v>
      </c>
      <c r="AA524" s="87">
        <f>IF(NOTA[[#This Row],[JUMLAH]]="","",NOTA[[#This Row],[DISC 1-]]+NOTA[[#This Row],[DISC 2-]])</f>
        <v>1277856</v>
      </c>
      <c r="AB524" s="87">
        <f>IF(NOTA[[#This Row],[JUMLAH]]="","",NOTA[[#This Row],[JUMLAH]]-NOTA[[#This Row],[DISC]])</f>
        <v>6238944</v>
      </c>
      <c r="AC52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2306016</v>
      </c>
      <c r="AD52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11258784</v>
      </c>
      <c r="AE524" s="84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24" s="87" t="str">
        <f>IF(OR(NOTA[[#This Row],[QTY]]="",NOTA[[#This Row],[HARGA SATUAN]]="",),"",NOTA[[#This Row],[QTY]]*NOTA[[#This Row],[HARGA SATUAN]])</f>
        <v/>
      </c>
      <c r="AG524" s="81">
        <f ca="1">IF(NOTA[ID_H]="","",INDEX(NOTA[TANGGAL],MATCH(,INDIRECT(ADDRESS(ROW(NOTA[TANGGAL]),COLUMN(NOTA[TANGGAL]))&amp;":"&amp;ADDRESS(ROW(),COLUMN(NOTA[TANGGAL]))),-1)))</f>
        <v>44944</v>
      </c>
      <c r="AH524" s="84" t="str">
        <f ca="1">IF(NOTA[[#This Row],[NAMA BARANG]]="","",INDEX(NOTA[SUPPLIER],MATCH(,INDIRECT(ADDRESS(ROW(NOTA[ID]),COLUMN(NOTA[ID]))&amp;":"&amp;ADDRESS(ROW(),COLUMN(NOTA[ID]))),-1)))</f>
        <v>KENKO SINAR INDONESIA</v>
      </c>
      <c r="AI524" s="84" t="str">
        <f ca="1">IF(NOTA[[#This Row],[ID_H]]="","",IF(NOTA[[#This Row],[FAKTUR]]="",INDIRECT(ADDRESS(ROW()-1,COLUMN())),NOTA[[#This Row],[FAKTUR]]))</f>
        <v>ARTO MORO</v>
      </c>
      <c r="AJ524" s="38" t="str">
        <f ca="1">IF(NOTA[[#This Row],[ID]]="","",COUNTIF(NOTA[ID_H],NOTA[[#This Row],[ID_H]]))</f>
        <v/>
      </c>
      <c r="AK524" s="38">
        <f ca="1">IF(NOTA[[#This Row],[TGL.NOTA]]="",IF(NOTA[[#This Row],[SUPPLIER_H]]="","",AK523),MONTH(NOTA[[#This Row],[TGL.NOTA]]))</f>
        <v>1</v>
      </c>
      <c r="AL52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24" s="38" t="str">
        <f>IF(NOTA[C]="",NOTA[[#This Row],[CONCAT1]]&amp;NOTA[[#This Row],[HARGA SATUAN]],NOTA[[#This Row],[CONCAT1]]&amp;NOTA[[#This Row],[HARGA/ CTN_H]]&amp;NOTA[[#This Row],[DISC 1]]&amp;NOTA[[#This Row],[DISC 2]])</f>
        <v>kenkogelpeneasygelblack37584000.17</v>
      </c>
      <c r="AN524" s="184">
        <f>IF(NOTA[[#This Row],[CONCAT1]]="","",MATCH(NOTA[[#This Row],[CONCAT1]],[1]!db[NB NOTA_C],0)+1)</f>
        <v>1148</v>
      </c>
    </row>
    <row r="525" spans="1:40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Row],[CEK_EXP]]&lt;D524,"err","")</f>
        <v/>
      </c>
      <c r="D525" s="93">
        <f>IF(NOTA[[#This Row],[TANGGAL]]="",D524,NOTA[[#This Row],[TANGGAL]])</f>
        <v>44944</v>
      </c>
      <c r="E525" s="93" t="str">
        <f ca="1">IF(NOTA[[#This Row],[NAMA BARANG]]="","",INDEX(NOTA[ID],MATCH(,INDIRECT(ADDRESS(ROW(NOTA[ID]),COLUMN(NOTA[ID]))&amp;":"&amp;ADDRESS(ROW(),COLUMN(NOTA[ID]))),-1)))</f>
        <v/>
      </c>
      <c r="F525" s="94"/>
      <c r="G525" s="96"/>
      <c r="H525" s="96"/>
      <c r="I525" s="104"/>
      <c r="J525" s="38"/>
      <c r="K525" s="95"/>
      <c r="L525" s="96"/>
      <c r="M525" s="38"/>
      <c r="N525" s="97"/>
      <c r="O525" s="96"/>
      <c r="P525" s="38"/>
      <c r="Q525" s="98"/>
      <c r="R525" s="99"/>
      <c r="S525" s="56"/>
      <c r="T525" s="100"/>
      <c r="U525" s="101"/>
      <c r="V525" s="102"/>
      <c r="W525" s="103"/>
      <c r="X525" s="87" t="str">
        <f>IF(NOTA[[#This Row],[HARGA/ CTN]]="",NOTA[[#This Row],[JUMLAH_H]],NOTA[[#This Row],[HARGA/ CTN]]*IF(NOTA[[#This Row],[C]]="",0,NOTA[[#This Row],[C]]))</f>
        <v/>
      </c>
      <c r="Y525" s="87" t="str">
        <f>IF(NOTA[[#This Row],[JUMLAH]]="","",NOTA[[#This Row],[JUMLAH]]*NOTA[[#This Row],[DISC 1]])</f>
        <v/>
      </c>
      <c r="Z525" s="87" t="str">
        <f>IF(NOTA[[#This Row],[JUMLAH]]="","",(NOTA[[#This Row],[JUMLAH]]-NOTA[[#This Row],[DISC 1-]])*NOTA[[#This Row],[DISC 2]])</f>
        <v/>
      </c>
      <c r="AA525" s="87" t="str">
        <f>IF(NOTA[[#This Row],[JUMLAH]]="","",NOTA[[#This Row],[DISC 1-]]+NOTA[[#This Row],[DISC 2-]])</f>
        <v/>
      </c>
      <c r="AB525" s="87" t="str">
        <f>IF(NOTA[[#This Row],[JUMLAH]]="","",NOTA[[#This Row],[JUMLAH]]-NOTA[[#This Row],[DISC]])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87" t="str">
        <f>IF(OR(NOTA[[#This Row],[QTY]]="",NOTA[[#This Row],[HARGA SATUAN]]="",),"",NOTA[[#This Row],[QTY]]*NOTA[[#This Row],[HARGA SATUAN]])</f>
        <v/>
      </c>
      <c r="AG525" s="81" t="str">
        <f ca="1">IF(NOTA[ID_H]="","",INDEX(NOTA[TANGGAL],MATCH(,INDIRECT(ADDRESS(ROW(NOTA[TANGGAL]),COLUMN(NOTA[TANGGAL]))&amp;":"&amp;ADDRESS(ROW(),COLUMN(NOTA[TANGGAL]))),-1)))</f>
        <v/>
      </c>
      <c r="AH525" s="84" t="str">
        <f ca="1">IF(NOTA[[#This Row],[NAMA BARANG]]="","",INDEX(NOTA[SUPPLIER],MATCH(,INDIRECT(ADDRESS(ROW(NOTA[ID]),COLUMN(NOTA[ID]))&amp;":"&amp;ADDRESS(ROW(),COLUMN(NOTA[ID]))),-1)))</f>
        <v/>
      </c>
      <c r="AI525" s="84" t="str">
        <f ca="1">IF(NOTA[[#This Row],[ID_H]]="","",IF(NOTA[[#This Row],[FAKTUR]]="",INDIRECT(ADDRESS(ROW()-1,COLUMN())),NOTA[[#This Row],[FAKTUR]]))</f>
        <v/>
      </c>
      <c r="AJ525" s="38" t="str">
        <f ca="1">IF(NOTA[[#This Row],[ID]]="","",COUNTIF(NOTA[ID_H],NOTA[[#This Row],[ID_H]]))</f>
        <v/>
      </c>
      <c r="AK525" s="38" t="str">
        <f ca="1">IF(NOTA[[#This Row],[TGL.NOTA]]="",IF(NOTA[[#This Row],[SUPPLIER_H]]="","",AK524),MONTH(NOTA[[#This Row],[TGL.NOTA]]))</f>
        <v/>
      </c>
      <c r="AL525" s="38" t="str">
        <f>LOWER(SUBSTITUTE(SUBSTITUTE(SUBSTITUTE(SUBSTITUTE(SUBSTITUTE(SUBSTITUTE(SUBSTITUTE(SUBSTITUTE(SUBSTITUTE(NOTA[NAMA BARANG]," ",),".",""),"-",""),"(",""),")",""),",",""),"/",""),"""",""),"+",""))</f>
        <v/>
      </c>
      <c r="AM525" s="38" t="str">
        <f>IF(NOTA[C]="",NOTA[[#This Row],[CONCAT1]]&amp;NOTA[[#This Row],[HARGA SATUAN]],NOTA[[#This Row],[CONCAT1]]&amp;NOTA[[#This Row],[HARGA/ CTN_H]]&amp;NOTA[[#This Row],[DISC 1]]&amp;NOTA[[#This Row],[DISC 2]])</f>
        <v/>
      </c>
      <c r="AN525" s="184" t="str">
        <f>IF(NOTA[[#This Row],[CONCAT1]]="","",MATCH(NOTA[[#This Row],[CONCAT1]],[1]!db[NB NOTA_C],0)+1)</f>
        <v/>
      </c>
    </row>
    <row r="526" spans="1:40" ht="20.100000000000001" customHeight="1" x14ac:dyDescent="0.25">
      <c r="A526" s="84">
        <f ca="1">IF(INDIRECT(ADDRESS(ROW()-1,COLUMN(NOTA[[#Headers],[ID]])))="ID",1,IF(NOTA[[#This Row],[FAKTUR]]="","",COUNT(INDIRECT(ADDRESS(ROW(NOTA[ID]),COLUMN(NOTA[ID]))&amp;":"&amp;ADDRESS(ROW()-1,COLUMN(NOTA[ID]))))+1))</f>
        <v>96</v>
      </c>
      <c r="B52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JEF_1801_-1</v>
      </c>
      <c r="C526" s="93" t="str">
        <f>IF(NOTA[[#This Row],[CEK_EXP]]&lt;D525,"err","")</f>
        <v/>
      </c>
      <c r="D526" s="93">
        <f>IF(NOTA[[#This Row],[TANGGAL]]="",D525,NOTA[[#This Row],[TANGGAL]])</f>
        <v>44944</v>
      </c>
      <c r="E526" s="93">
        <f ca="1">IF(NOTA[[#This Row],[NAMA BARANG]]="","",INDEX(NOTA[ID],MATCH(,INDIRECT(ADDRESS(ROW(NOTA[ID]),COLUMN(NOTA[ID]))&amp;":"&amp;ADDRESS(ROW(),COLUMN(NOTA[ID]))),-1)))</f>
        <v>96</v>
      </c>
      <c r="F526" s="94"/>
      <c r="G526" s="38" t="s">
        <v>688</v>
      </c>
      <c r="H526" s="38" t="s">
        <v>87</v>
      </c>
      <c r="I526" s="79"/>
      <c r="J526" s="38"/>
      <c r="K526" s="95">
        <v>44944</v>
      </c>
      <c r="L526" s="96"/>
      <c r="M526" s="38" t="s">
        <v>685</v>
      </c>
      <c r="N526" s="97">
        <v>5</v>
      </c>
      <c r="O526" s="96">
        <v>3000</v>
      </c>
      <c r="P526" s="38" t="s">
        <v>131</v>
      </c>
      <c r="Q526" s="98">
        <v>4900</v>
      </c>
      <c r="R526" s="99"/>
      <c r="S526" s="56" t="s">
        <v>687</v>
      </c>
      <c r="T526" s="100">
        <v>0.05</v>
      </c>
      <c r="U526" s="101"/>
      <c r="V526" s="102"/>
      <c r="W526" s="103" t="s">
        <v>686</v>
      </c>
      <c r="X526" s="87">
        <f>IF(NOTA[[#This Row],[HARGA/ CTN]]="",NOTA[[#This Row],[JUMLAH_H]],NOTA[[#This Row],[HARGA/ CTN]]*IF(NOTA[[#This Row],[C]]="",0,NOTA[[#This Row],[C]]))</f>
        <v>14700000</v>
      </c>
      <c r="Y526" s="87">
        <f>IF(NOTA[[#This Row],[JUMLAH]]="","",NOTA[[#This Row],[JUMLAH]]*NOTA[[#This Row],[DISC 1]])</f>
        <v>735000</v>
      </c>
      <c r="Z526" s="87">
        <f>IF(NOTA[[#This Row],[JUMLAH]]="","",(NOTA[[#This Row],[JUMLAH]]-NOTA[[#This Row],[DISC 1-]])*NOTA[[#This Row],[DISC 2]])</f>
        <v>0</v>
      </c>
      <c r="AA526" s="87">
        <f>IF(NOTA[[#This Row],[JUMLAH]]="","",NOTA[[#This Row],[DISC 1-]]+NOTA[[#This Row],[DISC 2-]])</f>
        <v>735000</v>
      </c>
      <c r="AB526" s="87">
        <f>IF(NOTA[[#This Row],[JUMLAH]]="","",NOTA[[#This Row],[JUMLAH]]-NOTA[[#This Row],[DISC]])</f>
        <v>13965000</v>
      </c>
      <c r="AC52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735000</v>
      </c>
      <c r="AD52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13965000</v>
      </c>
      <c r="AE526" s="84">
        <f>IF(NOTA[[#This Row],[NAMA BARANG]]="","",IF(NOTA[[#This Row],[JUMLAH_H]]="",NOTA[[#This Row],[HARGA/ CTN]],NOTA[[#This Row],[QTY]]*NOTA[[#This Row],[HARGA SATUAN]]/IF(ISNUMBER(NOTA[[#This Row],[C]]),NOTA[[#This Row],[C]],1)))</f>
        <v>2940000</v>
      </c>
      <c r="AF526" s="87">
        <f>IF(OR(NOTA[[#This Row],[QTY]]="",NOTA[[#This Row],[HARGA SATUAN]]="",),"",NOTA[[#This Row],[QTY]]*NOTA[[#This Row],[HARGA SATUAN]])</f>
        <v>14700000</v>
      </c>
      <c r="AG526" s="81">
        <f ca="1">IF(NOTA[ID_H]="","",INDEX(NOTA[TANGGAL],MATCH(,INDIRECT(ADDRESS(ROW(NOTA[TANGGAL]),COLUMN(NOTA[TANGGAL]))&amp;":"&amp;ADDRESS(ROW(),COLUMN(NOTA[TANGGAL]))),-1)))</f>
        <v>44944</v>
      </c>
      <c r="AH526" s="84" t="str">
        <f ca="1">IF(NOTA[[#This Row],[NAMA BARANG]]="","",INDEX(NOTA[SUPPLIER],MATCH(,INDIRECT(ADDRESS(ROW(NOTA[ID]),COLUMN(NOTA[ID]))&amp;":"&amp;ADDRESS(ROW(),COLUMN(NOTA[ID]))),-1)))</f>
        <v>JEFFRY</v>
      </c>
      <c r="AI526" s="84" t="str">
        <f ca="1">IF(NOTA[[#This Row],[ID_H]]="","",IF(NOTA[[#This Row],[FAKTUR]]="",INDIRECT(ADDRESS(ROW()-1,COLUMN())),NOTA[[#This Row],[FAKTUR]]))</f>
        <v>UNTANA</v>
      </c>
      <c r="AJ526" s="38">
        <f ca="1">IF(NOTA[[#This Row],[ID]]="","",COUNTIF(NOTA[ID_H],NOTA[[#This Row],[ID_H]]))</f>
        <v>1</v>
      </c>
      <c r="AK526" s="38">
        <f>IF(NOTA[[#This Row],[TGL.NOTA]]="",IF(NOTA[[#This Row],[SUPPLIER_H]]="","",AK525),MONTH(NOTA[[#This Row],[TGL.NOTA]]))</f>
        <v>1</v>
      </c>
      <c r="AL526" s="38" t="str">
        <f>LOWER(SUBSTITUTE(SUBSTITUTE(SUBSTITUTE(SUBSTITUTE(SUBSTITUTE(SUBSTITUTE(SUBSTITUTE(SUBSTITUTE(SUBSTITUTE(NOTA[NAMA BARANG]," ",),".",""),"-",""),"(",""),")",""),",",""),"/",""),"""",""),"+",""))</f>
        <v>karetpentilsuperlegenda</v>
      </c>
      <c r="AM526" s="38" t="str">
        <f>IF(NOTA[C]="",NOTA[[#This Row],[CONCAT1]]&amp;NOTA[[#This Row],[HARGA SATUAN]],NOTA[[#This Row],[CONCAT1]]&amp;NOTA[[#This Row],[HARGA/ CTN_H]]&amp;NOTA[[#This Row],[DISC 1]]&amp;NOTA[[#This Row],[DISC 2]])</f>
        <v>karetpentilsuperlegenda29400000.05</v>
      </c>
      <c r="AN526" s="184">
        <f>IF(NOTA[[#This Row],[CONCAT1]]="","",MATCH(NOTA[[#This Row],[CONCAT1]],[1]!db[NB NOTA_C],0)+1)</f>
        <v>2234</v>
      </c>
    </row>
    <row r="527" spans="1:40" s="48" customFormat="1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Row],[CEK_EXP]]&lt;D526,"err","")</f>
        <v/>
      </c>
      <c r="D527" s="93">
        <f>IF(NOTA[[#This Row],[TANGGAL]]="",D526,NOTA[[#This Row],[TANGGAL]])</f>
        <v>44944</v>
      </c>
      <c r="E527" s="93" t="str">
        <f ca="1">IF(NOTA[[#This Row],[NAMA BARANG]]="","",INDEX(NOTA[ID],MATCH(,INDIRECT(ADDRESS(ROW(NOTA[ID]),COLUMN(NOTA[ID]))&amp;":"&amp;ADDRESS(ROW(),COLUMN(NOTA[ID]))),-1)))</f>
        <v/>
      </c>
      <c r="F527" s="94"/>
      <c r="G527" s="96"/>
      <c r="H527" s="96"/>
      <c r="I527" s="104"/>
      <c r="J527" s="38"/>
      <c r="K527" s="95"/>
      <c r="L527" s="96"/>
      <c r="M527" s="38"/>
      <c r="N527" s="97"/>
      <c r="O527" s="96"/>
      <c r="P527" s="38"/>
      <c r="Q527" s="98"/>
      <c r="R527" s="99"/>
      <c r="S527" s="56"/>
      <c r="T527" s="100"/>
      <c r="U527" s="101"/>
      <c r="V527" s="102"/>
      <c r="W527" s="103"/>
      <c r="X527" s="87" t="str">
        <f>IF(NOTA[[#This Row],[HARGA/ CTN]]="",NOTA[[#This Row],[JUMLAH_H]],NOTA[[#This Row],[HARGA/ CTN]]*IF(NOTA[[#This Row],[C]]="",0,NOTA[[#This Row],[C]]))</f>
        <v/>
      </c>
      <c r="Y527" s="87" t="str">
        <f>IF(NOTA[[#This Row],[JUMLAH]]="","",NOTA[[#This Row],[JUMLAH]]*NOTA[[#This Row],[DISC 1]])</f>
        <v/>
      </c>
      <c r="Z527" s="87" t="str">
        <f>IF(NOTA[[#This Row],[JUMLAH]]="","",(NOTA[[#This Row],[JUMLAH]]-NOTA[[#This Row],[DISC 1-]])*NOTA[[#This Row],[DISC 2]])</f>
        <v/>
      </c>
      <c r="AA527" s="87" t="str">
        <f>IF(NOTA[[#This Row],[JUMLAH]]="","",NOTA[[#This Row],[DISC 1-]]+NOTA[[#This Row],[DISC 2-]])</f>
        <v/>
      </c>
      <c r="AB527" s="87" t="str">
        <f>IF(NOTA[[#This Row],[JUMLAH]]="","",NOTA[[#This Row],[JUMLAH]]-NOTA[[#This Row],[DISC]])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7" s="87" t="str">
        <f>IF(OR(NOTA[[#This Row],[QTY]]="",NOTA[[#This Row],[HARGA SATUAN]]="",),"",NOTA[[#This Row],[QTY]]*NOTA[[#This Row],[HARGA SATUAN]])</f>
        <v/>
      </c>
      <c r="AG527" s="81" t="str">
        <f ca="1">IF(NOTA[ID_H]="","",INDEX(NOTA[TANGGAL],MATCH(,INDIRECT(ADDRESS(ROW(NOTA[TANGGAL]),COLUMN(NOTA[TANGGAL]))&amp;":"&amp;ADDRESS(ROW(),COLUMN(NOTA[TANGGAL]))),-1)))</f>
        <v/>
      </c>
      <c r="AH527" s="84" t="str">
        <f ca="1">IF(NOTA[[#This Row],[NAMA BARANG]]="","",INDEX(NOTA[SUPPLIER],MATCH(,INDIRECT(ADDRESS(ROW(NOTA[ID]),COLUMN(NOTA[ID]))&amp;":"&amp;ADDRESS(ROW(),COLUMN(NOTA[ID]))),-1)))</f>
        <v/>
      </c>
      <c r="AI527" s="84" t="str">
        <f ca="1">IF(NOTA[[#This Row],[ID_H]]="","",IF(NOTA[[#This Row],[FAKTUR]]="",INDIRECT(ADDRESS(ROW()-1,COLUMN())),NOTA[[#This Row],[FAKTUR]]))</f>
        <v/>
      </c>
      <c r="AJ527" s="38" t="str">
        <f ca="1">IF(NOTA[[#This Row],[ID]]="","",COUNTIF(NOTA[ID_H],NOTA[[#This Row],[ID_H]]))</f>
        <v/>
      </c>
      <c r="AK527" s="38" t="str">
        <f ca="1">IF(NOTA[[#This Row],[TGL.NOTA]]="",IF(NOTA[[#This Row],[SUPPLIER_H]]="","",AK526),MONTH(NOTA[[#This Row],[TGL.NOTA]]))</f>
        <v/>
      </c>
      <c r="AL527" s="38" t="str">
        <f>LOWER(SUBSTITUTE(SUBSTITUTE(SUBSTITUTE(SUBSTITUTE(SUBSTITUTE(SUBSTITUTE(SUBSTITUTE(SUBSTITUTE(SUBSTITUTE(NOTA[NAMA BARANG]," ",),".",""),"-",""),"(",""),")",""),",",""),"/",""),"""",""),"+",""))</f>
        <v/>
      </c>
      <c r="AM527" s="38" t="str">
        <f>IF(NOTA[C]="",NOTA[[#This Row],[CONCAT1]]&amp;NOTA[[#This Row],[HARGA SATUAN]],NOTA[[#This Row],[CONCAT1]]&amp;NOTA[[#This Row],[HARGA/ CTN_H]]&amp;NOTA[[#This Row],[DISC 1]]&amp;NOTA[[#This Row],[DISC 2]])</f>
        <v/>
      </c>
      <c r="AN527" s="184" t="str">
        <f>IF(NOTA[[#This Row],[CONCAT1]]="","",MATCH(NOTA[[#This Row],[CONCAT1]],[1]!db[NB NOTA_C],0)+1)</f>
        <v/>
      </c>
    </row>
    <row r="528" spans="1:40" ht="20.100000000000001" customHeight="1" x14ac:dyDescent="0.25">
      <c r="A528" s="84">
        <f ca="1">IF(INDIRECT(ADDRESS(ROW()-1,COLUMN(NOTA[[#Headers],[ID]])))="ID",1,IF(NOTA[[#This Row],[FAKTUR]]="","",COUNT(INDIRECT(ADDRESS(ROW(NOTA[ID]),COLUMN(NOTA[ID]))&amp;":"&amp;ADDRESS(ROW()-1,COLUMN(NOTA[ID]))))+1))</f>
        <v>97</v>
      </c>
      <c r="B528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DUT_1801_23C-1</v>
      </c>
      <c r="C528" s="93" t="str">
        <f>IF(NOTA[[#This Row],[CEK_EXP]]&lt;D527,"err","")</f>
        <v/>
      </c>
      <c r="D528" s="93">
        <f>IF(NOTA[[#This Row],[TANGGAL]]="",D527,NOTA[[#This Row],[TANGGAL]])</f>
        <v>44944</v>
      </c>
      <c r="E528" s="93">
        <f ca="1">IF(NOTA[[#This Row],[NAMA BARANG]]="","",INDEX(NOTA[ID],MATCH(,INDIRECT(ADDRESS(ROW(NOTA[ID]),COLUMN(NOTA[ID]))&amp;":"&amp;ADDRESS(ROW(),COLUMN(NOTA[ID]))),-1)))</f>
        <v>97</v>
      </c>
      <c r="F528" s="94"/>
      <c r="G528" s="38" t="s">
        <v>689</v>
      </c>
      <c r="H528" s="38" t="s">
        <v>87</v>
      </c>
      <c r="I528" s="79" t="s">
        <v>690</v>
      </c>
      <c r="J528" s="38"/>
      <c r="K528" s="95">
        <v>44942</v>
      </c>
      <c r="L528" s="96"/>
      <c r="M528" s="38" t="s">
        <v>691</v>
      </c>
      <c r="N528" s="97">
        <v>3</v>
      </c>
      <c r="O528" s="96">
        <v>216</v>
      </c>
      <c r="P528" s="38" t="s">
        <v>104</v>
      </c>
      <c r="Q528" s="98">
        <v>27300</v>
      </c>
      <c r="R528" s="99"/>
      <c r="S528" s="56" t="s">
        <v>692</v>
      </c>
      <c r="T528" s="100"/>
      <c r="U528" s="101"/>
      <c r="V528" s="102"/>
      <c r="W528" s="103"/>
      <c r="X528" s="87">
        <f>IF(NOTA[[#This Row],[HARGA/ CTN]]="",NOTA[[#This Row],[JUMLAH_H]],NOTA[[#This Row],[HARGA/ CTN]]*IF(NOTA[[#This Row],[C]]="",0,NOTA[[#This Row],[C]]))</f>
        <v>5896800</v>
      </c>
      <c r="Y528" s="87">
        <f>IF(NOTA[[#This Row],[JUMLAH]]="","",NOTA[[#This Row],[JUMLAH]]*NOTA[[#This Row],[DISC 1]])</f>
        <v>0</v>
      </c>
      <c r="Z528" s="87">
        <f>IF(NOTA[[#This Row],[JUMLAH]]="","",(NOTA[[#This Row],[JUMLAH]]-NOTA[[#This Row],[DISC 1-]])*NOTA[[#This Row],[DISC 2]])</f>
        <v>0</v>
      </c>
      <c r="AA528" s="87">
        <f>IF(NOTA[[#This Row],[JUMLAH]]="","",NOTA[[#This Row],[DISC 1-]]+NOTA[[#This Row],[DISC 2-]])</f>
        <v>0</v>
      </c>
      <c r="AB528" s="87">
        <f>IF(NOTA[[#This Row],[JUMLAH]]="","",NOTA[[#This Row],[JUMLAH]]-NOTA[[#This Row],[DISC]])</f>
        <v>5896800</v>
      </c>
      <c r="AC52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5896800</v>
      </c>
      <c r="AE528" s="84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F528" s="87">
        <f>IF(OR(NOTA[[#This Row],[QTY]]="",NOTA[[#This Row],[HARGA SATUAN]]="",),"",NOTA[[#This Row],[QTY]]*NOTA[[#This Row],[HARGA SATUAN]])</f>
        <v>5896800</v>
      </c>
      <c r="AG528" s="81">
        <f ca="1">IF(NOTA[ID_H]="","",INDEX(NOTA[TANGGAL],MATCH(,INDIRECT(ADDRESS(ROW(NOTA[TANGGAL]),COLUMN(NOTA[TANGGAL]))&amp;":"&amp;ADDRESS(ROW(),COLUMN(NOTA[TANGGAL]))),-1)))</f>
        <v>44944</v>
      </c>
      <c r="AH528" s="84" t="str">
        <f ca="1">IF(NOTA[[#This Row],[NAMA BARANG]]="","",INDEX(NOTA[SUPPLIER],MATCH(,INDIRECT(ADDRESS(ROW(NOTA[ID]),COLUMN(NOTA[ID]))&amp;":"&amp;ADDRESS(ROW(),COLUMN(NOTA[ID]))),-1)))</f>
        <v>DUTA BAHAGIA</v>
      </c>
      <c r="AI528" s="84" t="str">
        <f ca="1">IF(NOTA[[#This Row],[ID_H]]="","",IF(NOTA[[#This Row],[FAKTUR]]="",INDIRECT(ADDRESS(ROW()-1,COLUMN())),NOTA[[#This Row],[FAKTUR]]))</f>
        <v>UNTANA</v>
      </c>
      <c r="AJ528" s="38">
        <f ca="1">IF(NOTA[[#This Row],[ID]]="","",COUNTIF(NOTA[ID_H],NOTA[[#This Row],[ID_H]]))</f>
        <v>1</v>
      </c>
      <c r="AK528" s="38">
        <f>IF(NOTA[[#This Row],[TGL.NOTA]]="",IF(NOTA[[#This Row],[SUPPLIER_H]]="","",AK527),MONTH(NOTA[[#This Row],[TGL.NOTA]]))</f>
        <v>1</v>
      </c>
      <c r="AL528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528" s="38" t="str">
        <f>IF(NOTA[C]="",NOTA[[#This Row],[CONCAT1]]&amp;NOTA[[#This Row],[HARGA SATUAN]],NOTA[[#This Row],[CONCAT1]]&amp;NOTA[[#This Row],[HARGA/ CTN_H]]&amp;NOTA[[#This Row],[DISC 1]]&amp;NOTA[[#This Row],[DISC 2]])</f>
        <v>bindernotefphy001b5601965600</v>
      </c>
      <c r="AN528" s="184">
        <f>IF(NOTA[[#This Row],[CONCAT1]]="","",MATCH(NOTA[[#This Row],[CONCAT1]],[1]!db[NB NOTA_C],0)+1)</f>
        <v>239</v>
      </c>
    </row>
    <row r="529" spans="1:40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Row],[CEK_EXP]]&lt;D528,"err","")</f>
        <v/>
      </c>
      <c r="D529" s="93">
        <f>IF(NOTA[[#This Row],[TANGGAL]]="",D528,NOTA[[#This Row],[TANGGAL]])</f>
        <v>44944</v>
      </c>
      <c r="E529" s="93" t="str">
        <f ca="1">IF(NOTA[[#This Row],[NAMA BARANG]]="","",INDEX(NOTA[ID],MATCH(,INDIRECT(ADDRESS(ROW(NOTA[ID]),COLUMN(NOTA[ID]))&amp;":"&amp;ADDRESS(ROW(),COLUMN(NOTA[ID]))),-1)))</f>
        <v/>
      </c>
      <c r="F529" s="94"/>
      <c r="G529" s="38"/>
      <c r="H529" s="38"/>
      <c r="I529" s="38"/>
      <c r="J529" s="96"/>
      <c r="K529" s="95"/>
      <c r="L529" s="96"/>
      <c r="M529" s="38"/>
      <c r="N529" s="97"/>
      <c r="O529" s="96"/>
      <c r="P529" s="38"/>
      <c r="Q529" s="98"/>
      <c r="R529" s="99"/>
      <c r="S529" s="56"/>
      <c r="T529" s="100"/>
      <c r="U529" s="101"/>
      <c r="V529" s="102"/>
      <c r="W529" s="103"/>
      <c r="X529" s="87" t="str">
        <f>IF(NOTA[[#This Row],[HARGA/ CTN]]="",NOTA[[#This Row],[JUMLAH_H]],NOTA[[#This Row],[HARGA/ CTN]]*IF(NOTA[[#This Row],[C]]="",0,NOTA[[#This Row],[C]]))</f>
        <v/>
      </c>
      <c r="Y529" s="87" t="str">
        <f>IF(NOTA[[#This Row],[JUMLAH]]="","",NOTA[[#This Row],[JUMLAH]]*NOTA[[#This Row],[DISC 1]])</f>
        <v/>
      </c>
      <c r="Z529" s="87" t="str">
        <f>IF(NOTA[[#This Row],[JUMLAH]]="","",(NOTA[[#This Row],[JUMLAH]]-NOTA[[#This Row],[DISC 1-]])*NOTA[[#This Row],[DISC 2]])</f>
        <v/>
      </c>
      <c r="AA529" s="87" t="str">
        <f>IF(NOTA[[#This Row],[JUMLAH]]="","",NOTA[[#This Row],[DISC 1-]]+NOTA[[#This Row],[DISC 2-]])</f>
        <v/>
      </c>
      <c r="AB529" s="87" t="str">
        <f>IF(NOTA[[#This Row],[JUMLAH]]="","",NOTA[[#This Row],[JUMLAH]]-NOTA[[#This Row],[DISC]])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87" t="str">
        <f>IF(OR(NOTA[[#This Row],[QTY]]="",NOTA[[#This Row],[HARGA SATUAN]]="",),"",NOTA[[#This Row],[QTY]]*NOTA[[#This Row],[HARGA SATUAN]])</f>
        <v/>
      </c>
      <c r="AG529" s="81" t="str">
        <f ca="1">IF(NOTA[ID_H]="","",INDEX(NOTA[TANGGAL],MATCH(,INDIRECT(ADDRESS(ROW(NOTA[TANGGAL]),COLUMN(NOTA[TANGGAL]))&amp;":"&amp;ADDRESS(ROW(),COLUMN(NOTA[TANGGAL]))),-1)))</f>
        <v/>
      </c>
      <c r="AH529" s="84" t="str">
        <f ca="1">IF(NOTA[[#This Row],[NAMA BARANG]]="","",INDEX(NOTA[SUPPLIER],MATCH(,INDIRECT(ADDRESS(ROW(NOTA[ID]),COLUMN(NOTA[ID]))&amp;":"&amp;ADDRESS(ROW(),COLUMN(NOTA[ID]))),-1)))</f>
        <v/>
      </c>
      <c r="AI529" s="84" t="str">
        <f ca="1">IF(NOTA[[#This Row],[ID_H]]="","",IF(NOTA[[#This Row],[FAKTUR]]="",INDIRECT(ADDRESS(ROW()-1,COLUMN())),NOTA[[#This Row],[FAKTUR]]))</f>
        <v/>
      </c>
      <c r="AJ529" s="38" t="str">
        <f ca="1">IF(NOTA[[#This Row],[ID]]="","",COUNTIF(NOTA[ID_H],NOTA[[#This Row],[ID_H]]))</f>
        <v/>
      </c>
      <c r="AK529" s="38" t="str">
        <f ca="1">IF(NOTA[[#This Row],[TGL.NOTA]]="",IF(NOTA[[#This Row],[SUPPLIER_H]]="","",AK528),MONTH(NOTA[[#This Row],[TGL.NOTA]]))</f>
        <v/>
      </c>
      <c r="AL529" s="38" t="str">
        <f>LOWER(SUBSTITUTE(SUBSTITUTE(SUBSTITUTE(SUBSTITUTE(SUBSTITUTE(SUBSTITUTE(SUBSTITUTE(SUBSTITUTE(SUBSTITUTE(NOTA[NAMA BARANG]," ",),".",""),"-",""),"(",""),")",""),",",""),"/",""),"""",""),"+",""))</f>
        <v/>
      </c>
      <c r="AM529" s="38" t="str">
        <f>IF(NOTA[C]="",NOTA[[#This Row],[CONCAT1]]&amp;NOTA[[#This Row],[HARGA SATUAN]],NOTA[[#This Row],[CONCAT1]]&amp;NOTA[[#This Row],[HARGA/ CTN_H]]&amp;NOTA[[#This Row],[DISC 1]]&amp;NOTA[[#This Row],[DISC 2]])</f>
        <v/>
      </c>
      <c r="AN529" s="184" t="str">
        <f>IF(NOTA[[#This Row],[CONCAT1]]="","",MATCH(NOTA[[#This Row],[CONCAT1]],[1]!db[NB NOTA_C],0)+1)</f>
        <v/>
      </c>
    </row>
    <row r="530" spans="1:40" ht="20.100000000000001" customHeight="1" x14ac:dyDescent="0.25">
      <c r="A530" s="84">
        <f ca="1">IF(INDIRECT(ADDRESS(ROW()-1,COLUMN(NOTA[[#Headers],[ID]])))="ID",1,IF(NOTA[[#This Row],[FAKTUR]]="","",COUNT(INDIRECT(ADDRESS(ROW(NOTA[ID]),COLUMN(NOTA[ID]))&amp;":"&amp;ADDRESS(ROW()-1,COLUMN(NOTA[ID]))))+1))</f>
        <v>98</v>
      </c>
      <c r="B530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DUT_1801_23C-1</v>
      </c>
      <c r="C530" s="93" t="str">
        <f>IF(NOTA[[#This Row],[CEK_EXP]]&lt;D529,"err","")</f>
        <v/>
      </c>
      <c r="D530" s="93">
        <f>IF(NOTA[[#This Row],[TANGGAL]]="",D529,NOTA[[#This Row],[TANGGAL]])</f>
        <v>44944</v>
      </c>
      <c r="E530" s="93">
        <f ca="1">IF(NOTA[[#This Row],[NAMA BARANG]]="","",INDEX(NOTA[ID],MATCH(,INDIRECT(ADDRESS(ROW(NOTA[ID]),COLUMN(NOTA[ID]))&amp;":"&amp;ADDRESS(ROW(),COLUMN(NOTA[ID]))),-1)))</f>
        <v>98</v>
      </c>
      <c r="F530" s="94"/>
      <c r="G530" s="38" t="s">
        <v>689</v>
      </c>
      <c r="H530" s="38" t="s">
        <v>87</v>
      </c>
      <c r="I530" s="79" t="s">
        <v>693</v>
      </c>
      <c r="J530" s="96"/>
      <c r="K530" s="95">
        <v>44942</v>
      </c>
      <c r="L530" s="96"/>
      <c r="M530" s="38" t="s">
        <v>694</v>
      </c>
      <c r="N530" s="97">
        <v>12</v>
      </c>
      <c r="O530" s="96">
        <v>1152</v>
      </c>
      <c r="P530" s="38" t="s">
        <v>104</v>
      </c>
      <c r="Q530" s="98">
        <v>20475</v>
      </c>
      <c r="R530" s="99"/>
      <c r="S530" s="56" t="s">
        <v>695</v>
      </c>
      <c r="T530" s="100"/>
      <c r="U530" s="101"/>
      <c r="V530" s="102"/>
      <c r="W530" s="103"/>
      <c r="X530" s="87">
        <f>IF(NOTA[[#This Row],[HARGA/ CTN]]="",NOTA[[#This Row],[JUMLAH_H]],NOTA[[#This Row],[HARGA/ CTN]]*IF(NOTA[[#This Row],[C]]="",0,NOTA[[#This Row],[C]]))</f>
        <v>23587200</v>
      </c>
      <c r="Y530" s="87">
        <f>IF(NOTA[[#This Row],[JUMLAH]]="","",NOTA[[#This Row],[JUMLAH]]*NOTA[[#This Row],[DISC 1]])</f>
        <v>0</v>
      </c>
      <c r="Z530" s="87">
        <f>IF(NOTA[[#This Row],[JUMLAH]]="","",(NOTA[[#This Row],[JUMLAH]]-NOTA[[#This Row],[DISC 1-]])*NOTA[[#This Row],[DISC 2]])</f>
        <v>0</v>
      </c>
      <c r="AA530" s="87">
        <f>IF(NOTA[[#This Row],[JUMLAH]]="","",NOTA[[#This Row],[DISC 1-]]+NOTA[[#This Row],[DISC 2-]])</f>
        <v>0</v>
      </c>
      <c r="AB530" s="87">
        <f>IF(NOTA[[#This Row],[JUMLAH]]="","",NOTA[[#This Row],[JUMLAH]]-NOTA[[#This Row],[DISC]])</f>
        <v>23587200</v>
      </c>
      <c r="AC53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23587200</v>
      </c>
      <c r="AE530" s="84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F530" s="87">
        <f>IF(OR(NOTA[[#This Row],[QTY]]="",NOTA[[#This Row],[HARGA SATUAN]]="",),"",NOTA[[#This Row],[QTY]]*NOTA[[#This Row],[HARGA SATUAN]])</f>
        <v>23587200</v>
      </c>
      <c r="AG530" s="81">
        <f ca="1">IF(NOTA[ID_H]="","",INDEX(NOTA[TANGGAL],MATCH(,INDIRECT(ADDRESS(ROW(NOTA[TANGGAL]),COLUMN(NOTA[TANGGAL]))&amp;":"&amp;ADDRESS(ROW(),COLUMN(NOTA[TANGGAL]))),-1)))</f>
        <v>44944</v>
      </c>
      <c r="AH530" s="84" t="str">
        <f ca="1">IF(NOTA[[#This Row],[NAMA BARANG]]="","",INDEX(NOTA[SUPPLIER],MATCH(,INDIRECT(ADDRESS(ROW(NOTA[ID]),COLUMN(NOTA[ID]))&amp;":"&amp;ADDRESS(ROW(),COLUMN(NOTA[ID]))),-1)))</f>
        <v>DUTA BAHAGIA</v>
      </c>
      <c r="AI530" s="84" t="str">
        <f ca="1">IF(NOTA[[#This Row],[ID_H]]="","",IF(NOTA[[#This Row],[FAKTUR]]="",INDIRECT(ADDRESS(ROW()-1,COLUMN())),NOTA[[#This Row],[FAKTUR]]))</f>
        <v>UNTANA</v>
      </c>
      <c r="AJ530" s="38">
        <f ca="1">IF(NOTA[[#This Row],[ID]]="","",COUNTIF(NOTA[ID_H],NOTA[[#This Row],[ID_H]]))</f>
        <v>1</v>
      </c>
      <c r="AK530" s="38">
        <f>IF(NOTA[[#This Row],[TGL.NOTA]]="",IF(NOTA[[#This Row],[SUPPLIER_H]]="","",AK529),MONTH(NOTA[[#This Row],[TGL.NOTA]]))</f>
        <v>1</v>
      </c>
      <c r="AL530" s="38" t="str">
        <f>LOWER(SUBSTITUTE(SUBSTITUTE(SUBSTITUTE(SUBSTITUTE(SUBSTITUTE(SUBSTITUTE(SUBSTITUTE(SUBSTITUTE(SUBSTITUTE(NOTA[NAMA BARANG]," ",),".",""),"-",""),"(",""),")",""),",",""),"/",""),"""",""),"+",""))</f>
        <v>bindernotefphy001a550</v>
      </c>
      <c r="AM530" s="38" t="str">
        <f>IF(NOTA[C]="",NOTA[[#This Row],[CONCAT1]]&amp;NOTA[[#This Row],[HARGA SATUAN]],NOTA[[#This Row],[CONCAT1]]&amp;NOTA[[#This Row],[HARGA/ CTN_H]]&amp;NOTA[[#This Row],[DISC 1]]&amp;NOTA[[#This Row],[DISC 2]])</f>
        <v>bindernotefphy001a5501965600</v>
      </c>
      <c r="AN530" s="184" t="e">
        <f>IF(NOTA[[#This Row],[CONCAT1]]="","",MATCH(NOTA[[#This Row],[CONCAT1]],[1]!db[NB NOTA_C],0)+1)</f>
        <v>#N/A</v>
      </c>
    </row>
    <row r="531" spans="1:40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Row],[CEK_EXP]]&lt;D530,"err","")</f>
        <v/>
      </c>
      <c r="D531" s="93">
        <f>IF(NOTA[[#This Row],[TANGGAL]]="",D530,NOTA[[#This Row],[TANGGAL]])</f>
        <v>44944</v>
      </c>
      <c r="E531" s="93" t="str">
        <f ca="1">IF(NOTA[[#This Row],[NAMA BARANG]]="","",INDEX(NOTA[ID],MATCH(,INDIRECT(ADDRESS(ROW(NOTA[ID]),COLUMN(NOTA[ID]))&amp;":"&amp;ADDRESS(ROW(),COLUMN(NOTA[ID]))),-1)))</f>
        <v/>
      </c>
      <c r="F531" s="94"/>
      <c r="G531" s="38"/>
      <c r="H531" s="38"/>
      <c r="I531" s="79"/>
      <c r="J531" s="38"/>
      <c r="K531" s="78"/>
      <c r="L531" s="95"/>
      <c r="M531" s="38"/>
      <c r="N531" s="97"/>
      <c r="O531" s="96"/>
      <c r="P531" s="38"/>
      <c r="Q531" s="98"/>
      <c r="R531" s="99"/>
      <c r="S531" s="56"/>
      <c r="T531" s="100"/>
      <c r="U531" s="101"/>
      <c r="V531" s="102"/>
      <c r="W531" s="103"/>
      <c r="X531" s="87" t="str">
        <f>IF(NOTA[[#This Row],[HARGA/ CTN]]="",NOTA[[#This Row],[JUMLAH_H]],NOTA[[#This Row],[HARGA/ CTN]]*IF(NOTA[[#This Row],[C]]="",0,NOTA[[#This Row],[C]]))</f>
        <v/>
      </c>
      <c r="Y531" s="87" t="str">
        <f>IF(NOTA[[#This Row],[JUMLAH]]="","",NOTA[[#This Row],[JUMLAH]]*NOTA[[#This Row],[DISC 1]])</f>
        <v/>
      </c>
      <c r="Z531" s="87" t="str">
        <f>IF(NOTA[[#This Row],[JUMLAH]]="","",(NOTA[[#This Row],[JUMLAH]]-NOTA[[#This Row],[DISC 1-]])*NOTA[[#This Row],[DISC 2]])</f>
        <v/>
      </c>
      <c r="AA531" s="87" t="str">
        <f>IF(NOTA[[#This Row],[JUMLAH]]="","",NOTA[[#This Row],[DISC 1-]]+NOTA[[#This Row],[DISC 2-]])</f>
        <v/>
      </c>
      <c r="AB531" s="87" t="str">
        <f>IF(NOTA[[#This Row],[JUMLAH]]="","",NOTA[[#This Row],[JUMLAH]]-NOTA[[#This Row],[DISC]])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1" s="87" t="str">
        <f>IF(OR(NOTA[[#This Row],[QTY]]="",NOTA[[#This Row],[HARGA SATUAN]]="",),"",NOTA[[#This Row],[QTY]]*NOTA[[#This Row],[HARGA SATUAN]])</f>
        <v/>
      </c>
      <c r="AG531" s="81" t="str">
        <f ca="1">IF(NOTA[ID_H]="","",INDEX(NOTA[TANGGAL],MATCH(,INDIRECT(ADDRESS(ROW(NOTA[TANGGAL]),COLUMN(NOTA[TANGGAL]))&amp;":"&amp;ADDRESS(ROW(),COLUMN(NOTA[TANGGAL]))),-1)))</f>
        <v/>
      </c>
      <c r="AH531" s="84" t="str">
        <f ca="1">IF(NOTA[[#This Row],[NAMA BARANG]]="","",INDEX(NOTA[SUPPLIER],MATCH(,INDIRECT(ADDRESS(ROW(NOTA[ID]),COLUMN(NOTA[ID]))&amp;":"&amp;ADDRESS(ROW(),COLUMN(NOTA[ID]))),-1)))</f>
        <v/>
      </c>
      <c r="AI531" s="84" t="str">
        <f ca="1">IF(NOTA[[#This Row],[ID_H]]="","",IF(NOTA[[#This Row],[FAKTUR]]="",INDIRECT(ADDRESS(ROW()-1,COLUMN())),NOTA[[#This Row],[FAKTUR]]))</f>
        <v/>
      </c>
      <c r="AJ531" s="38" t="str">
        <f ca="1">IF(NOTA[[#This Row],[ID]]="","",COUNTIF(NOTA[ID_H],NOTA[[#This Row],[ID_H]]))</f>
        <v/>
      </c>
      <c r="AK531" s="38" t="str">
        <f ca="1">IF(NOTA[[#This Row],[TGL.NOTA]]="",IF(NOTA[[#This Row],[SUPPLIER_H]]="","",AK530),MONTH(NOTA[[#This Row],[TGL.NOTA]]))</f>
        <v/>
      </c>
      <c r="AL531" s="38" t="str">
        <f>LOWER(SUBSTITUTE(SUBSTITUTE(SUBSTITUTE(SUBSTITUTE(SUBSTITUTE(SUBSTITUTE(SUBSTITUTE(SUBSTITUTE(SUBSTITUTE(NOTA[NAMA BARANG]," ",),".",""),"-",""),"(",""),")",""),",",""),"/",""),"""",""),"+",""))</f>
        <v/>
      </c>
      <c r="AM531" s="38" t="str">
        <f>IF(NOTA[C]="",NOTA[[#This Row],[CONCAT1]]&amp;NOTA[[#This Row],[HARGA SATUAN]],NOTA[[#This Row],[CONCAT1]]&amp;NOTA[[#This Row],[HARGA/ CTN_H]]&amp;NOTA[[#This Row],[DISC 1]]&amp;NOTA[[#This Row],[DISC 2]])</f>
        <v/>
      </c>
      <c r="AN531" s="184" t="str">
        <f>IF(NOTA[[#This Row],[CONCAT1]]="","",MATCH(NOTA[[#This Row],[CONCAT1]],[1]!db[NB NOTA_C],0)+1)</f>
        <v/>
      </c>
    </row>
    <row r="532" spans="1:40" ht="20.100000000000001" customHeight="1" x14ac:dyDescent="0.25">
      <c r="A532" s="84">
        <f ca="1">IF(INDIRECT(ADDRESS(ROW()-1,COLUMN(NOTA[[#Headers],[ID]])))="ID",1,IF(NOTA[[#This Row],[FAKTUR]]="","",COUNT(INDIRECT(ADDRESS(ROW(NOTA[ID]),COLUMN(NOTA[ID]))&amp;":"&amp;ADDRESS(ROW()-1,COLUMN(NOTA[ID]))))+1))</f>
        <v>99</v>
      </c>
      <c r="B532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ETJ_1801_723-3</v>
      </c>
      <c r="C532" s="93" t="str">
        <f>IF(NOTA[[#This Row],[CEK_EXP]]&lt;D531,"err","")</f>
        <v/>
      </c>
      <c r="D532" s="93">
        <f>IF(NOTA[[#This Row],[TANGGAL]]="",D531,NOTA[[#This Row],[TANGGAL]])</f>
        <v>44944</v>
      </c>
      <c r="E532" s="93">
        <f ca="1">IF(NOTA[[#This Row],[NAMA BARANG]]="","",INDEX(NOTA[ID],MATCH(,INDIRECT(ADDRESS(ROW(NOTA[ID]),COLUMN(NOTA[ID]))&amp;":"&amp;ADDRESS(ROW(),COLUMN(NOTA[ID]))),-1)))</f>
        <v>99</v>
      </c>
      <c r="F532" s="94"/>
      <c r="G532" s="38" t="s">
        <v>144</v>
      </c>
      <c r="H532" s="38" t="s">
        <v>87</v>
      </c>
      <c r="I532" s="79" t="s">
        <v>696</v>
      </c>
      <c r="J532" s="96"/>
      <c r="K532" s="95">
        <v>44939</v>
      </c>
      <c r="L532" s="96"/>
      <c r="M532" s="38" t="s">
        <v>975</v>
      </c>
      <c r="N532" s="97">
        <v>2</v>
      </c>
      <c r="O532" s="96">
        <v>600</v>
      </c>
      <c r="P532" s="38" t="s">
        <v>104</v>
      </c>
      <c r="Q532" s="98">
        <v>9000</v>
      </c>
      <c r="R532" s="99"/>
      <c r="S532" s="56" t="s">
        <v>697</v>
      </c>
      <c r="T532" s="100"/>
      <c r="U532" s="101"/>
      <c r="V532" s="102"/>
      <c r="W532" s="103"/>
      <c r="X532" s="87">
        <f>IF(NOTA[[#This Row],[HARGA/ CTN]]="",NOTA[[#This Row],[JUMLAH_H]],NOTA[[#This Row],[HARGA/ CTN]]*IF(NOTA[[#This Row],[C]]="",0,NOTA[[#This Row],[C]]))</f>
        <v>5400000</v>
      </c>
      <c r="Y532" s="87">
        <f>IF(NOTA[[#This Row],[JUMLAH]]="","",NOTA[[#This Row],[JUMLAH]]*NOTA[[#This Row],[DISC 1]])</f>
        <v>0</v>
      </c>
      <c r="Z532" s="87">
        <f>IF(NOTA[[#This Row],[JUMLAH]]="","",(NOTA[[#This Row],[JUMLAH]]-NOTA[[#This Row],[DISC 1-]])*NOTA[[#This Row],[DISC 2]])</f>
        <v>0</v>
      </c>
      <c r="AA532" s="87">
        <f>IF(NOTA[[#This Row],[JUMLAH]]="","",NOTA[[#This Row],[DISC 1-]]+NOTA[[#This Row],[DISC 2-]])</f>
        <v>0</v>
      </c>
      <c r="AB532" s="87">
        <f>IF(NOTA[[#This Row],[JUMLAH]]="","",NOTA[[#This Row],[JUMLAH]]-NOTA[[#This Row],[DISC]])</f>
        <v>5400000</v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8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32" s="87">
        <f>IF(OR(NOTA[[#This Row],[QTY]]="",NOTA[[#This Row],[HARGA SATUAN]]="",),"",NOTA[[#This Row],[QTY]]*NOTA[[#This Row],[HARGA SATUAN]])</f>
        <v>5400000</v>
      </c>
      <c r="AG532" s="81">
        <f ca="1">IF(NOTA[ID_H]="","",INDEX(NOTA[TANGGAL],MATCH(,INDIRECT(ADDRESS(ROW(NOTA[TANGGAL]),COLUMN(NOTA[TANGGAL]))&amp;":"&amp;ADDRESS(ROW(),COLUMN(NOTA[TANGGAL]))),-1)))</f>
        <v>44944</v>
      </c>
      <c r="AH532" s="84" t="str">
        <f ca="1">IF(NOTA[[#This Row],[NAMA BARANG]]="","",INDEX(NOTA[SUPPLIER],MATCH(,INDIRECT(ADDRESS(ROW(NOTA[ID]),COLUMN(NOTA[ID]))&amp;":"&amp;ADDRESS(ROW(),COLUMN(NOTA[ID]))),-1)))</f>
        <v>ETJ</v>
      </c>
      <c r="AI532" s="84" t="str">
        <f ca="1">IF(NOTA[[#This Row],[ID_H]]="","",IF(NOTA[[#This Row],[FAKTUR]]="",INDIRECT(ADDRESS(ROW()-1,COLUMN())),NOTA[[#This Row],[FAKTUR]]))</f>
        <v>UNTANA</v>
      </c>
      <c r="AJ532" s="38">
        <f ca="1">IF(NOTA[[#This Row],[ID]]="","",COUNTIF(NOTA[ID_H],NOTA[[#This Row],[ID_H]]))</f>
        <v>3</v>
      </c>
      <c r="AK532" s="38">
        <f>IF(NOTA[[#This Row],[TGL.NOTA]]="",IF(NOTA[[#This Row],[SUPPLIER_H]]="","",AK531),MONTH(NOTA[[#This Row],[TGL.NOTA]]))</f>
        <v>1</v>
      </c>
      <c r="AL532" s="38" t="str">
        <f>LOWER(SUBSTITUTE(SUBSTITUTE(SUBSTITUTE(SUBSTITUTE(SUBSTITUTE(SUBSTITUTE(SUBSTITUTE(SUBSTITUTE(SUBSTITUTE(NOTA[NAMA BARANG]," ",),".",""),"-",""),"(",""),")",""),",",""),"/",""),"""",""),"+",""))</f>
        <v>sempoa13tiang</v>
      </c>
      <c r="AM532" s="38" t="str">
        <f>IF(NOTA[C]="",NOTA[[#This Row],[CONCAT1]]&amp;NOTA[[#This Row],[HARGA SATUAN]],NOTA[[#This Row],[CONCAT1]]&amp;NOTA[[#This Row],[HARGA/ CTN_H]]&amp;NOTA[[#This Row],[DISC 1]]&amp;NOTA[[#This Row],[DISC 2]])</f>
        <v>sempoa13tiang2700000</v>
      </c>
      <c r="AN532" s="184">
        <f>IF(NOTA[[#This Row],[CONCAT1]]="","",MATCH(NOTA[[#This Row],[CONCAT1]],[1]!db[NB NOTA_C],0)+1)</f>
        <v>1946</v>
      </c>
    </row>
    <row r="533" spans="1:40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Row],[CEK_EXP]]&lt;D532,"err","")</f>
        <v/>
      </c>
      <c r="D533" s="93">
        <f>IF(NOTA[[#This Row],[TANGGAL]]="",D532,NOTA[[#This Row],[TANGGAL]])</f>
        <v>44944</v>
      </c>
      <c r="E533" s="93">
        <f ca="1">IF(NOTA[[#This Row],[NAMA BARANG]]="","",INDEX(NOTA[ID],MATCH(,INDIRECT(ADDRESS(ROW(NOTA[ID]),COLUMN(NOTA[ID]))&amp;":"&amp;ADDRESS(ROW(),COLUMN(NOTA[ID]))),-1)))</f>
        <v>99</v>
      </c>
      <c r="F533" s="94"/>
      <c r="G533" s="38"/>
      <c r="H533" s="38"/>
      <c r="I533" s="79"/>
      <c r="J533" s="96"/>
      <c r="K533" s="95"/>
      <c r="L533" s="96"/>
      <c r="M533" s="38" t="s">
        <v>976</v>
      </c>
      <c r="N533" s="97">
        <v>2</v>
      </c>
      <c r="O533" s="96">
        <v>600</v>
      </c>
      <c r="P533" s="38" t="s">
        <v>104</v>
      </c>
      <c r="Q533" s="98">
        <v>9250</v>
      </c>
      <c r="R533" s="99"/>
      <c r="S533" s="56" t="s">
        <v>697</v>
      </c>
      <c r="T533" s="100"/>
      <c r="U533" s="101"/>
      <c r="V533" s="102"/>
      <c r="W533" s="103"/>
      <c r="X533" s="87">
        <f>IF(NOTA[[#This Row],[HARGA/ CTN]]="",NOTA[[#This Row],[JUMLAH_H]],NOTA[[#This Row],[HARGA/ CTN]]*IF(NOTA[[#This Row],[C]]="",0,NOTA[[#This Row],[C]]))</f>
        <v>5550000</v>
      </c>
      <c r="Y533" s="87">
        <f>IF(NOTA[[#This Row],[JUMLAH]]="","",NOTA[[#This Row],[JUMLAH]]*NOTA[[#This Row],[DISC 1]])</f>
        <v>0</v>
      </c>
      <c r="Z533" s="87">
        <f>IF(NOTA[[#This Row],[JUMLAH]]="","",(NOTA[[#This Row],[JUMLAH]]-NOTA[[#This Row],[DISC 1-]])*NOTA[[#This Row],[DISC 2]])</f>
        <v>0</v>
      </c>
      <c r="AA533" s="87">
        <f>IF(NOTA[[#This Row],[JUMLAH]]="","",NOTA[[#This Row],[DISC 1-]]+NOTA[[#This Row],[DISC 2-]])</f>
        <v>0</v>
      </c>
      <c r="AB533" s="87">
        <f>IF(NOTA[[#This Row],[JUMLAH]]="","",NOTA[[#This Row],[JUMLAH]]-NOTA[[#This Row],[DISC]])</f>
        <v>5550000</v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8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533" s="87">
        <f>IF(OR(NOTA[[#This Row],[QTY]]="",NOTA[[#This Row],[HARGA SATUAN]]="",),"",NOTA[[#This Row],[QTY]]*NOTA[[#This Row],[HARGA SATUAN]])</f>
        <v>5550000</v>
      </c>
      <c r="AG533" s="81">
        <f ca="1">IF(NOTA[ID_H]="","",INDEX(NOTA[TANGGAL],MATCH(,INDIRECT(ADDRESS(ROW(NOTA[TANGGAL]),COLUMN(NOTA[TANGGAL]))&amp;":"&amp;ADDRESS(ROW(),COLUMN(NOTA[TANGGAL]))),-1)))</f>
        <v>44944</v>
      </c>
      <c r="AH533" s="84" t="str">
        <f ca="1">IF(NOTA[[#This Row],[NAMA BARANG]]="","",INDEX(NOTA[SUPPLIER],MATCH(,INDIRECT(ADDRESS(ROW(NOTA[ID]),COLUMN(NOTA[ID]))&amp;":"&amp;ADDRESS(ROW(),COLUMN(NOTA[ID]))),-1)))</f>
        <v>ETJ</v>
      </c>
      <c r="AI533" s="84" t="str">
        <f ca="1">IF(NOTA[[#This Row],[ID_H]]="","",IF(NOTA[[#This Row],[FAKTUR]]="",INDIRECT(ADDRESS(ROW()-1,COLUMN())),NOTA[[#This Row],[FAKTUR]]))</f>
        <v>UNTANA</v>
      </c>
      <c r="AJ533" s="38" t="str">
        <f ca="1">IF(NOTA[[#This Row],[ID]]="","",COUNTIF(NOTA[ID_H],NOTA[[#This Row],[ID_H]]))</f>
        <v/>
      </c>
      <c r="AK533" s="38">
        <f ca="1">IF(NOTA[[#This Row],[TGL.NOTA]]="",IF(NOTA[[#This Row],[SUPPLIER_H]]="","",AK532),MONTH(NOTA[[#This Row],[TGL.NOTA]]))</f>
        <v>1</v>
      </c>
      <c r="AL533" s="38" t="str">
        <f>LOWER(SUBSTITUTE(SUBSTITUTE(SUBSTITUTE(SUBSTITUTE(SUBSTITUTE(SUBSTITUTE(SUBSTITUTE(SUBSTITUTE(SUBSTITUTE(NOTA[NAMA BARANG]," ",),".",""),"-",""),"(",""),")",""),",",""),"/",""),"""",""),"+",""))</f>
        <v>sempoa17tiang</v>
      </c>
      <c r="AM533" s="38" t="str">
        <f>IF(NOTA[C]="",NOTA[[#This Row],[CONCAT1]]&amp;NOTA[[#This Row],[HARGA SATUAN]],NOTA[[#This Row],[CONCAT1]]&amp;NOTA[[#This Row],[HARGA/ CTN_H]]&amp;NOTA[[#This Row],[DISC 1]]&amp;NOTA[[#This Row],[DISC 2]])</f>
        <v>sempoa17tiang2775000</v>
      </c>
      <c r="AN533" s="184">
        <f>IF(NOTA[[#This Row],[CONCAT1]]="","",MATCH(NOTA[[#This Row],[CONCAT1]],[1]!db[NB NOTA_C],0)+1)</f>
        <v>1947</v>
      </c>
    </row>
    <row r="534" spans="1:40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Row],[CEK_EXP]]&lt;D533,"err","")</f>
        <v/>
      </c>
      <c r="D534" s="93">
        <f>IF(NOTA[[#This Row],[TANGGAL]]="",D533,NOTA[[#This Row],[TANGGAL]])</f>
        <v>44944</v>
      </c>
      <c r="E534" s="93">
        <f ca="1">IF(NOTA[[#This Row],[NAMA BARANG]]="","",INDEX(NOTA[ID],MATCH(,INDIRECT(ADDRESS(ROW(NOTA[ID]),COLUMN(NOTA[ID]))&amp;":"&amp;ADDRESS(ROW(),COLUMN(NOTA[ID]))),-1)))</f>
        <v>99</v>
      </c>
      <c r="F534" s="80"/>
      <c r="G534" s="26"/>
      <c r="H534" s="26"/>
      <c r="I534" s="31"/>
      <c r="J534" s="26"/>
      <c r="K534" s="81"/>
      <c r="L534" s="81"/>
      <c r="M534" s="38" t="s">
        <v>976</v>
      </c>
      <c r="N534" s="97"/>
      <c r="O534" s="96">
        <v>58</v>
      </c>
      <c r="P534" s="38" t="s">
        <v>104</v>
      </c>
      <c r="Q534" s="98">
        <v>9250</v>
      </c>
      <c r="R534" s="99"/>
      <c r="S534" s="56" t="s">
        <v>697</v>
      </c>
      <c r="T534" s="86"/>
      <c r="U534" s="86"/>
      <c r="V534" s="87"/>
      <c r="W534" s="103"/>
      <c r="X534" s="87">
        <f>IF(NOTA[[#This Row],[HARGA/ CTN]]="",NOTA[[#This Row],[JUMLAH_H]],NOTA[[#This Row],[HARGA/ CTN]]*IF(NOTA[[#This Row],[C]]="",0,NOTA[[#This Row],[C]]))</f>
        <v>536500</v>
      </c>
      <c r="Y534" s="87">
        <f>IF(NOTA[[#This Row],[JUMLAH]]="","",NOTA[[#This Row],[JUMLAH]]*NOTA[[#This Row],[DISC 1]])</f>
        <v>0</v>
      </c>
      <c r="Z534" s="87">
        <f>IF(NOTA[[#This Row],[JUMLAH]]="","",(NOTA[[#This Row],[JUMLAH]]-NOTA[[#This Row],[DISC 1-]])*NOTA[[#This Row],[DISC 2]])</f>
        <v>0</v>
      </c>
      <c r="AA534" s="87">
        <f>IF(NOTA[[#This Row],[JUMLAH]]="","",NOTA[[#This Row],[DISC 1-]]+NOTA[[#This Row],[DISC 2-]])</f>
        <v>0</v>
      </c>
      <c r="AB534" s="87">
        <f>IF(NOTA[[#This Row],[JUMLAH]]="","",NOTA[[#This Row],[JUMLAH]]-NOTA[[#This Row],[DISC]])</f>
        <v>536500</v>
      </c>
      <c r="AC53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11486500</v>
      </c>
      <c r="AE534" s="84">
        <f>IF(NOTA[[#This Row],[NAMA BARANG]]="","",IF(NOTA[[#This Row],[JUMLAH_H]]="",NOTA[[#This Row],[HARGA/ CTN]],NOTA[[#This Row],[QTY]]*NOTA[[#This Row],[HARGA SATUAN]]/IF(ISNUMBER(NOTA[[#This Row],[C]]),NOTA[[#This Row],[C]],1)))</f>
        <v>536500</v>
      </c>
      <c r="AF534" s="87">
        <f>IF(OR(NOTA[[#This Row],[QTY]]="",NOTA[[#This Row],[HARGA SATUAN]]="",),"",NOTA[[#This Row],[QTY]]*NOTA[[#This Row],[HARGA SATUAN]])</f>
        <v>536500</v>
      </c>
      <c r="AG534" s="81">
        <f ca="1">IF(NOTA[ID_H]="","",INDEX(NOTA[TANGGAL],MATCH(,INDIRECT(ADDRESS(ROW(NOTA[TANGGAL]),COLUMN(NOTA[TANGGAL]))&amp;":"&amp;ADDRESS(ROW(),COLUMN(NOTA[TANGGAL]))),-1)))</f>
        <v>44944</v>
      </c>
      <c r="AH534" s="84" t="str">
        <f ca="1">IF(NOTA[[#This Row],[NAMA BARANG]]="","",INDEX(NOTA[SUPPLIER],MATCH(,INDIRECT(ADDRESS(ROW(NOTA[ID]),COLUMN(NOTA[ID]))&amp;":"&amp;ADDRESS(ROW(),COLUMN(NOTA[ID]))),-1)))</f>
        <v>ETJ</v>
      </c>
      <c r="AI534" s="84" t="str">
        <f ca="1">IF(NOTA[[#This Row],[ID_H]]="","",IF(NOTA[[#This Row],[FAKTUR]]="",INDIRECT(ADDRESS(ROW()-1,COLUMN())),NOTA[[#This Row],[FAKTUR]]))</f>
        <v>UNTANA</v>
      </c>
      <c r="AJ534" s="38" t="str">
        <f ca="1">IF(NOTA[[#This Row],[ID]]="","",COUNTIF(NOTA[ID_H],NOTA[[#This Row],[ID_H]]))</f>
        <v/>
      </c>
      <c r="AK534" s="38">
        <f ca="1">IF(NOTA[[#This Row],[TGL.NOTA]]="",IF(NOTA[[#This Row],[SUPPLIER_H]]="","",AK533),MONTH(NOTA[[#This Row],[TGL.NOTA]]))</f>
        <v>1</v>
      </c>
      <c r="AL534" s="38" t="str">
        <f>LOWER(SUBSTITUTE(SUBSTITUTE(SUBSTITUTE(SUBSTITUTE(SUBSTITUTE(SUBSTITUTE(SUBSTITUTE(SUBSTITUTE(SUBSTITUTE(NOTA[NAMA BARANG]," ",),".",""),"-",""),"(",""),")",""),",",""),"/",""),"""",""),"+",""))</f>
        <v>sempoa17tiang</v>
      </c>
      <c r="AM534" s="38" t="str">
        <f>IF(NOTA[C]="",NOTA[[#This Row],[CONCAT1]]&amp;NOTA[[#This Row],[HARGA SATUAN]],NOTA[[#This Row],[CONCAT1]]&amp;NOTA[[#This Row],[HARGA/ CTN_H]]&amp;NOTA[[#This Row],[DISC 1]]&amp;NOTA[[#This Row],[DISC 2]])</f>
        <v>sempoa17tiang9250</v>
      </c>
      <c r="AN534" s="184">
        <f>IF(NOTA[[#This Row],[CONCAT1]]="","",MATCH(NOTA[[#This Row],[CONCAT1]],[1]!db[NB NOTA_C],0)+1)</f>
        <v>1947</v>
      </c>
    </row>
    <row r="535" spans="1:40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Row],[CEK_EXP]]&lt;D534,"err","")</f>
        <v/>
      </c>
      <c r="D535" s="93">
        <f>IF(NOTA[[#This Row],[TANGGAL]]="",D534,NOTA[[#This Row],[TANGGAL]])</f>
        <v>44944</v>
      </c>
      <c r="E535" s="93" t="str">
        <f ca="1">IF(NOTA[[#This Row],[NAMA BARANG]]="","",INDEX(NOTA[ID],MATCH(,INDIRECT(ADDRESS(ROW(NOTA[ID]),COLUMN(NOTA[ID]))&amp;":"&amp;ADDRESS(ROW(),COLUMN(NOTA[ID]))),-1)))</f>
        <v/>
      </c>
      <c r="F535" s="80"/>
      <c r="G535" s="26"/>
      <c r="H535" s="26"/>
      <c r="I535" s="31"/>
      <c r="J535" s="82"/>
      <c r="K535" s="81"/>
      <c r="L535" s="82"/>
      <c r="M535" s="38"/>
      <c r="N535" s="97"/>
      <c r="O535" s="96"/>
      <c r="P535" s="38"/>
      <c r="Q535" s="98"/>
      <c r="R535" s="99"/>
      <c r="S535" s="56"/>
      <c r="T535" s="86"/>
      <c r="U535" s="86"/>
      <c r="V535" s="87"/>
      <c r="W535" s="103"/>
      <c r="X535" s="87" t="str">
        <f>IF(NOTA[[#This Row],[HARGA/ CTN]]="",NOTA[[#This Row],[JUMLAH_H]],NOTA[[#This Row],[HARGA/ CTN]]*IF(NOTA[[#This Row],[C]]="",0,NOTA[[#This Row],[C]]))</f>
        <v/>
      </c>
      <c r="Y535" s="87" t="str">
        <f>IF(NOTA[[#This Row],[JUMLAH]]="","",NOTA[[#This Row],[JUMLAH]]*NOTA[[#This Row],[DISC 1]])</f>
        <v/>
      </c>
      <c r="Z535" s="87" t="str">
        <f>IF(NOTA[[#This Row],[JUMLAH]]="","",(NOTA[[#This Row],[JUMLAH]]-NOTA[[#This Row],[DISC 1-]])*NOTA[[#This Row],[DISC 2]])</f>
        <v/>
      </c>
      <c r="AA535" s="87" t="str">
        <f>IF(NOTA[[#This Row],[JUMLAH]]="","",NOTA[[#This Row],[DISC 1-]]+NOTA[[#This Row],[DISC 2-]])</f>
        <v/>
      </c>
      <c r="AB535" s="87" t="str">
        <f>IF(NOTA[[#This Row],[JUMLAH]]="","",NOTA[[#This Row],[JUMLAH]]-NOTA[[#This Row],[DISC]])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87" t="str">
        <f>IF(OR(NOTA[[#This Row],[QTY]]="",NOTA[[#This Row],[HARGA SATUAN]]="",),"",NOTA[[#This Row],[QTY]]*NOTA[[#This Row],[HARGA SATUAN]])</f>
        <v/>
      </c>
      <c r="AG535" s="81" t="str">
        <f ca="1">IF(NOTA[ID_H]="","",INDEX(NOTA[TANGGAL],MATCH(,INDIRECT(ADDRESS(ROW(NOTA[TANGGAL]),COLUMN(NOTA[TANGGAL]))&amp;":"&amp;ADDRESS(ROW(),COLUMN(NOTA[TANGGAL]))),-1)))</f>
        <v/>
      </c>
      <c r="AH535" s="84" t="str">
        <f ca="1">IF(NOTA[[#This Row],[NAMA BARANG]]="","",INDEX(NOTA[SUPPLIER],MATCH(,INDIRECT(ADDRESS(ROW(NOTA[ID]),COLUMN(NOTA[ID]))&amp;":"&amp;ADDRESS(ROW(),COLUMN(NOTA[ID]))),-1)))</f>
        <v/>
      </c>
      <c r="AI535" s="84" t="str">
        <f ca="1">IF(NOTA[[#This Row],[ID_H]]="","",IF(NOTA[[#This Row],[FAKTUR]]="",INDIRECT(ADDRESS(ROW()-1,COLUMN())),NOTA[[#This Row],[FAKTUR]]))</f>
        <v/>
      </c>
      <c r="AJ535" s="38" t="str">
        <f ca="1">IF(NOTA[[#This Row],[ID]]="","",COUNTIF(NOTA[ID_H],NOTA[[#This Row],[ID_H]]))</f>
        <v/>
      </c>
      <c r="AK535" s="38" t="str">
        <f ca="1">IF(NOTA[[#This Row],[TGL.NOTA]]="",IF(NOTA[[#This Row],[SUPPLIER_H]]="","",AK534),MONTH(NOTA[[#This Row],[TGL.NOTA]]))</f>
        <v/>
      </c>
      <c r="AL535" s="38" t="str">
        <f>LOWER(SUBSTITUTE(SUBSTITUTE(SUBSTITUTE(SUBSTITUTE(SUBSTITUTE(SUBSTITUTE(SUBSTITUTE(SUBSTITUTE(SUBSTITUTE(NOTA[NAMA BARANG]," ",),".",""),"-",""),"(",""),")",""),",",""),"/",""),"""",""),"+",""))</f>
        <v/>
      </c>
      <c r="AM535" s="38" t="str">
        <f>IF(NOTA[C]="",NOTA[[#This Row],[CONCAT1]]&amp;NOTA[[#This Row],[HARGA SATUAN]],NOTA[[#This Row],[CONCAT1]]&amp;NOTA[[#This Row],[HARGA/ CTN_H]]&amp;NOTA[[#This Row],[DISC 1]]&amp;NOTA[[#This Row],[DISC 2]])</f>
        <v/>
      </c>
      <c r="AN535" s="184" t="str">
        <f>IF(NOTA[[#This Row],[CONCAT1]]="","",MATCH(NOTA[[#This Row],[CONCAT1]],[1]!db[NB NOTA_C],0)+1)</f>
        <v/>
      </c>
    </row>
    <row r="536" spans="1:40" ht="20.100000000000001" customHeight="1" x14ac:dyDescent="0.25">
      <c r="A536" s="84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YUS_1801_055-2</v>
      </c>
      <c r="C536" s="93" t="str">
        <f>IF(NOTA[[#This Row],[CEK_EXP]]&lt;D535,"err","")</f>
        <v/>
      </c>
      <c r="D536" s="93">
        <f>IF(NOTA[[#This Row],[TANGGAL]]="",D535,NOTA[[#This Row],[TANGGAL]])</f>
        <v>44944</v>
      </c>
      <c r="E536" s="93">
        <f ca="1">IF(NOTA[[#This Row],[NAMA BARANG]]="","",INDEX(NOTA[ID],MATCH(,INDIRECT(ADDRESS(ROW(NOTA[ID]),COLUMN(NOTA[ID]))&amp;":"&amp;ADDRESS(ROW(),COLUMN(NOTA[ID]))),-1)))</f>
        <v>100</v>
      </c>
      <c r="F536" s="80"/>
      <c r="G536" s="26" t="s">
        <v>698</v>
      </c>
      <c r="H536" s="26" t="s">
        <v>87</v>
      </c>
      <c r="I536" s="31" t="s">
        <v>699</v>
      </c>
      <c r="J536" s="82"/>
      <c r="K536" s="81">
        <v>44943</v>
      </c>
      <c r="L536" s="82"/>
      <c r="M536" s="26" t="s">
        <v>723</v>
      </c>
      <c r="N536" s="83">
        <v>3</v>
      </c>
      <c r="O536" s="82"/>
      <c r="P536" s="26"/>
      <c r="Q536" s="84"/>
      <c r="R536" s="85">
        <v>458100</v>
      </c>
      <c r="S536" s="39" t="s">
        <v>700</v>
      </c>
      <c r="T536" s="86">
        <v>0.05</v>
      </c>
      <c r="U536" s="86"/>
      <c r="V536" s="87"/>
      <c r="W536" s="103" t="s">
        <v>96</v>
      </c>
      <c r="X536" s="87">
        <f>IF(NOTA[[#This Row],[HARGA/ CTN]]="",NOTA[[#This Row],[JUMLAH_H]],NOTA[[#This Row],[HARGA/ CTN]]*IF(NOTA[[#This Row],[C]]="",0,NOTA[[#This Row],[C]]))</f>
        <v>1374300</v>
      </c>
      <c r="Y536" s="87">
        <f>IF(NOTA[[#This Row],[JUMLAH]]="","",NOTA[[#This Row],[JUMLAH]]*NOTA[[#This Row],[DISC 1]])</f>
        <v>68715</v>
      </c>
      <c r="Z536" s="87">
        <f>IF(NOTA[[#This Row],[JUMLAH]]="","",(NOTA[[#This Row],[JUMLAH]]-NOTA[[#This Row],[DISC 1-]])*NOTA[[#This Row],[DISC 2]])</f>
        <v>0</v>
      </c>
      <c r="AA536" s="87">
        <f>IF(NOTA[[#This Row],[JUMLAH]]="","",NOTA[[#This Row],[DISC 1-]]+NOTA[[#This Row],[DISC 2-]])</f>
        <v>68715</v>
      </c>
      <c r="AB536" s="87">
        <f>IF(NOTA[[#This Row],[JUMLAH]]="","",NOTA[[#This Row],[JUMLAH]]-NOTA[[#This Row],[DISC]])</f>
        <v>1305585</v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84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536" s="87" t="str">
        <f>IF(OR(NOTA[[#This Row],[QTY]]="",NOTA[[#This Row],[HARGA SATUAN]]="",),"",NOTA[[#This Row],[QTY]]*NOTA[[#This Row],[HARGA SATUAN]])</f>
        <v/>
      </c>
      <c r="AG536" s="81">
        <f ca="1">IF(NOTA[ID_H]="","",INDEX(NOTA[TANGGAL],MATCH(,INDIRECT(ADDRESS(ROW(NOTA[TANGGAL]),COLUMN(NOTA[TANGGAL]))&amp;":"&amp;ADDRESS(ROW(),COLUMN(NOTA[TANGGAL]))),-1)))</f>
        <v>44944</v>
      </c>
      <c r="AH536" s="84" t="str">
        <f ca="1">IF(NOTA[[#This Row],[NAMA BARANG]]="","",INDEX(NOTA[SUPPLIER],MATCH(,INDIRECT(ADDRESS(ROW(NOTA[ID]),COLUMN(NOTA[ID]))&amp;":"&amp;ADDRESS(ROW(),COLUMN(NOTA[ID]))),-1)))</f>
        <v>YUSHINCA</v>
      </c>
      <c r="AI536" s="84" t="str">
        <f ca="1">IF(NOTA[[#This Row],[ID_H]]="","",IF(NOTA[[#This Row],[FAKTUR]]="",INDIRECT(ADDRESS(ROW()-1,COLUMN())),NOTA[[#This Row],[FAKTUR]]))</f>
        <v>UNTANA</v>
      </c>
      <c r="AJ536" s="38">
        <f ca="1">IF(NOTA[[#This Row],[ID]]="","",COUNTIF(NOTA[ID_H],NOTA[[#This Row],[ID_H]]))</f>
        <v>2</v>
      </c>
      <c r="AK536" s="38">
        <f>IF(NOTA[[#This Row],[TGL.NOTA]]="",IF(NOTA[[#This Row],[SUPPLIER_H]]="","",AK535),MONTH(NOTA[[#This Row],[TGL.NOTA]]))</f>
        <v>1</v>
      </c>
      <c r="AL536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M536" s="38" t="str">
        <f>IF(NOTA[C]="",NOTA[[#This Row],[CONCAT1]]&amp;NOTA[[#This Row],[HARGA SATUAN]],NOTA[[#This Row],[CONCAT1]]&amp;NOTA[[#This Row],[HARGA/ CTN_H]]&amp;NOTA[[#This Row],[DISC 1]]&amp;NOTA[[#This Row],[DISC 2]])</f>
        <v>clipfilec323mix4581000.05</v>
      </c>
      <c r="AN536" s="184">
        <f>IF(NOTA[[#This Row],[CONCAT1]]="","",MATCH(NOTA[[#This Row],[CONCAT1]],[1]!db[NB NOTA_C],0)+1)</f>
        <v>462</v>
      </c>
    </row>
    <row r="537" spans="1:40" s="48" customFormat="1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Row],[CEK_EXP]]&lt;D536,"err","")</f>
        <v/>
      </c>
      <c r="D537" s="93">
        <f>IF(NOTA[[#This Row],[TANGGAL]]="",D536,NOTA[[#This Row],[TANGGAL]])</f>
        <v>44944</v>
      </c>
      <c r="E537" s="93">
        <f ca="1">IF(NOTA[[#This Row],[NAMA BARANG]]="","",INDEX(NOTA[ID],MATCH(,INDIRECT(ADDRESS(ROW(NOTA[ID]),COLUMN(NOTA[ID]))&amp;":"&amp;ADDRESS(ROW(),COLUMN(NOTA[ID]))),-1)))</f>
        <v>100</v>
      </c>
      <c r="F537" s="80"/>
      <c r="G537" s="26"/>
      <c r="H537" s="26"/>
      <c r="I537" s="31"/>
      <c r="J537" s="82"/>
      <c r="K537" s="81"/>
      <c r="L537" s="82"/>
      <c r="M537" s="26" t="s">
        <v>724</v>
      </c>
      <c r="N537" s="83">
        <v>3</v>
      </c>
      <c r="O537" s="82"/>
      <c r="P537" s="26"/>
      <c r="Q537" s="84"/>
      <c r="R537" s="85">
        <v>537000</v>
      </c>
      <c r="S537" s="39" t="s">
        <v>700</v>
      </c>
      <c r="T537" s="86">
        <v>0.05</v>
      </c>
      <c r="U537" s="86"/>
      <c r="V537" s="87"/>
      <c r="W537" s="103" t="s">
        <v>96</v>
      </c>
      <c r="X537" s="87">
        <f>IF(NOTA[[#This Row],[HARGA/ CTN]]="",NOTA[[#This Row],[JUMLAH_H]],NOTA[[#This Row],[HARGA/ CTN]]*IF(NOTA[[#This Row],[C]]="",0,NOTA[[#This Row],[C]]))</f>
        <v>1611000</v>
      </c>
      <c r="Y537" s="87">
        <f>IF(NOTA[[#This Row],[JUMLAH]]="","",NOTA[[#This Row],[JUMLAH]]*NOTA[[#This Row],[DISC 1]])</f>
        <v>80550</v>
      </c>
      <c r="Z537" s="87">
        <f>IF(NOTA[[#This Row],[JUMLAH]]="","",(NOTA[[#This Row],[JUMLAH]]-NOTA[[#This Row],[DISC 1-]])*NOTA[[#This Row],[DISC 2]])</f>
        <v>0</v>
      </c>
      <c r="AA537" s="87">
        <f>IF(NOTA[[#This Row],[JUMLAH]]="","",NOTA[[#This Row],[DISC 1-]]+NOTA[[#This Row],[DISC 2-]])</f>
        <v>80550</v>
      </c>
      <c r="AB537" s="87">
        <f>IF(NOTA[[#This Row],[JUMLAH]]="","",NOTA[[#This Row],[JUMLAH]]-NOTA[[#This Row],[DISC]])</f>
        <v>1530450</v>
      </c>
      <c r="AC53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149265</v>
      </c>
      <c r="AD53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2836035</v>
      </c>
      <c r="AE537" s="84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537" s="87" t="str">
        <f>IF(OR(NOTA[[#This Row],[QTY]]="",NOTA[[#This Row],[HARGA SATUAN]]="",),"",NOTA[[#This Row],[QTY]]*NOTA[[#This Row],[HARGA SATUAN]])</f>
        <v/>
      </c>
      <c r="AG537" s="81">
        <f ca="1">IF(NOTA[ID_H]="","",INDEX(NOTA[TANGGAL],MATCH(,INDIRECT(ADDRESS(ROW(NOTA[TANGGAL]),COLUMN(NOTA[TANGGAL]))&amp;":"&amp;ADDRESS(ROW(),COLUMN(NOTA[TANGGAL]))),-1)))</f>
        <v>44944</v>
      </c>
      <c r="AH537" s="84" t="str">
        <f ca="1">IF(NOTA[[#This Row],[NAMA BARANG]]="","",INDEX(NOTA[SUPPLIER],MATCH(,INDIRECT(ADDRESS(ROW(NOTA[ID]),COLUMN(NOTA[ID]))&amp;":"&amp;ADDRESS(ROW(),COLUMN(NOTA[ID]))),-1)))</f>
        <v>YUSHINCA</v>
      </c>
      <c r="AI537" s="84" t="str">
        <f ca="1">IF(NOTA[[#This Row],[ID_H]]="","",IF(NOTA[[#This Row],[FAKTUR]]="",INDIRECT(ADDRESS(ROW()-1,COLUMN())),NOTA[[#This Row],[FAKTUR]]))</f>
        <v>UNTANA</v>
      </c>
      <c r="AJ537" s="38" t="str">
        <f ca="1">IF(NOTA[[#This Row],[ID]]="","",COUNTIF(NOTA[ID_H],NOTA[[#This Row],[ID_H]]))</f>
        <v/>
      </c>
      <c r="AK537" s="38">
        <f ca="1">IF(NOTA[[#This Row],[TGL.NOTA]]="",IF(NOTA[[#This Row],[SUPPLIER_H]]="","",AK536),MONTH(NOTA[[#This Row],[TGL.NOTA]]))</f>
        <v>1</v>
      </c>
      <c r="AL537" s="38" t="str">
        <f>LOWER(SUBSTITUTE(SUBSTITUTE(SUBSTITUTE(SUBSTITUTE(SUBSTITUTE(SUBSTITUTE(SUBSTITUTE(SUBSTITUTE(SUBSTITUTE(NOTA[NAMA BARANG]," ",),".",""),"-",""),"(",""),")",""),",",""),"/",""),"""",""),"+",""))</f>
        <v>clipfilec324a5mix</v>
      </c>
      <c r="AM537" s="38" t="str">
        <f>IF(NOTA[C]="",NOTA[[#This Row],[CONCAT1]]&amp;NOTA[[#This Row],[HARGA SATUAN]],NOTA[[#This Row],[CONCAT1]]&amp;NOTA[[#This Row],[HARGA/ CTN_H]]&amp;NOTA[[#This Row],[DISC 1]]&amp;NOTA[[#This Row],[DISC 2]])</f>
        <v>clipfilec324a5mix5370000.05</v>
      </c>
      <c r="AN537" s="184">
        <f>IF(NOTA[[#This Row],[CONCAT1]]="","",MATCH(NOTA[[#This Row],[CONCAT1]],[1]!db[NB NOTA_C],0)+1)</f>
        <v>463</v>
      </c>
    </row>
    <row r="538" spans="1:40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Row],[CEK_EXP]]&lt;D537,"err","")</f>
        <v/>
      </c>
      <c r="D538" s="93">
        <f>IF(NOTA[[#This Row],[TANGGAL]]="",D537,NOTA[[#This Row],[TANGGAL]])</f>
        <v>44944</v>
      </c>
      <c r="E538" s="93" t="str">
        <f ca="1">IF(NOTA[[#This Row],[NAMA BARANG]]="","",INDEX(NOTA[ID],MATCH(,INDIRECT(ADDRESS(ROW(NOTA[ID]),COLUMN(NOTA[ID]))&amp;":"&amp;ADDRESS(ROW(),COLUMN(NOTA[ID]))),-1)))</f>
        <v/>
      </c>
      <c r="F538" s="80"/>
      <c r="G538" s="26"/>
      <c r="H538" s="26"/>
      <c r="I538" s="31"/>
      <c r="J538" s="82"/>
      <c r="K538" s="81"/>
      <c r="L538" s="26"/>
      <c r="M538" s="26"/>
      <c r="N538" s="83"/>
      <c r="O538" s="82"/>
      <c r="P538" s="26"/>
      <c r="Q538" s="84"/>
      <c r="R538" s="85"/>
      <c r="S538" s="39"/>
      <c r="T538" s="86"/>
      <c r="U538" s="86"/>
      <c r="V538" s="87"/>
      <c r="W538" s="103"/>
      <c r="X538" s="87" t="str">
        <f>IF(NOTA[[#This Row],[HARGA/ CTN]]="",NOTA[[#This Row],[JUMLAH_H]],NOTA[[#This Row],[HARGA/ CTN]]*IF(NOTA[[#This Row],[C]]="",0,NOTA[[#This Row],[C]]))</f>
        <v/>
      </c>
      <c r="Y538" s="87" t="str">
        <f>IF(NOTA[[#This Row],[JUMLAH]]="","",NOTA[[#This Row],[JUMLAH]]*NOTA[[#This Row],[DISC 1]])</f>
        <v/>
      </c>
      <c r="Z538" s="87" t="str">
        <f>IF(NOTA[[#This Row],[JUMLAH]]="","",(NOTA[[#This Row],[JUMLAH]]-NOTA[[#This Row],[DISC 1-]])*NOTA[[#This Row],[DISC 2]])</f>
        <v/>
      </c>
      <c r="AA538" s="87" t="str">
        <f>IF(NOTA[[#This Row],[JUMLAH]]="","",NOTA[[#This Row],[DISC 1-]]+NOTA[[#This Row],[DISC 2-]])</f>
        <v/>
      </c>
      <c r="AB538" s="87" t="str">
        <f>IF(NOTA[[#This Row],[JUMLAH]]="","",NOTA[[#This Row],[JUMLAH]]-NOTA[[#This Row],[DISC]])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87" t="str">
        <f>IF(OR(NOTA[[#This Row],[QTY]]="",NOTA[[#This Row],[HARGA SATUAN]]="",),"",NOTA[[#This Row],[QTY]]*NOTA[[#This Row],[HARGA SATUAN]])</f>
        <v/>
      </c>
      <c r="AG538" s="81" t="str">
        <f ca="1">IF(NOTA[ID_H]="","",INDEX(NOTA[TANGGAL],MATCH(,INDIRECT(ADDRESS(ROW(NOTA[TANGGAL]),COLUMN(NOTA[TANGGAL]))&amp;":"&amp;ADDRESS(ROW(),COLUMN(NOTA[TANGGAL]))),-1)))</f>
        <v/>
      </c>
      <c r="AH538" s="84" t="str">
        <f ca="1">IF(NOTA[[#This Row],[NAMA BARANG]]="","",INDEX(NOTA[SUPPLIER],MATCH(,INDIRECT(ADDRESS(ROW(NOTA[ID]),COLUMN(NOTA[ID]))&amp;":"&amp;ADDRESS(ROW(),COLUMN(NOTA[ID]))),-1)))</f>
        <v/>
      </c>
      <c r="AI538" s="84" t="str">
        <f ca="1">IF(NOTA[[#This Row],[ID_H]]="","",IF(NOTA[[#This Row],[FAKTUR]]="",INDIRECT(ADDRESS(ROW()-1,COLUMN())),NOTA[[#This Row],[FAKTUR]]))</f>
        <v/>
      </c>
      <c r="AJ538" s="38" t="str">
        <f ca="1">IF(NOTA[[#This Row],[ID]]="","",COUNTIF(NOTA[ID_H],NOTA[[#This Row],[ID_H]]))</f>
        <v/>
      </c>
      <c r="AK538" s="38" t="str">
        <f ca="1">IF(NOTA[[#This Row],[TGL.NOTA]]="",IF(NOTA[[#This Row],[SUPPLIER_H]]="","",AK537),MONTH(NOTA[[#This Row],[TGL.NOTA]]))</f>
        <v/>
      </c>
      <c r="AL538" s="38" t="str">
        <f>LOWER(SUBSTITUTE(SUBSTITUTE(SUBSTITUTE(SUBSTITUTE(SUBSTITUTE(SUBSTITUTE(SUBSTITUTE(SUBSTITUTE(SUBSTITUTE(NOTA[NAMA BARANG]," ",),".",""),"-",""),"(",""),")",""),",",""),"/",""),"""",""),"+",""))</f>
        <v/>
      </c>
      <c r="AM538" s="38" t="str">
        <f>IF(NOTA[C]="",NOTA[[#This Row],[CONCAT1]]&amp;NOTA[[#This Row],[HARGA SATUAN]],NOTA[[#This Row],[CONCAT1]]&amp;NOTA[[#This Row],[HARGA/ CTN_H]]&amp;NOTA[[#This Row],[DISC 1]]&amp;NOTA[[#This Row],[DISC 2]])</f>
        <v/>
      </c>
      <c r="AN538" s="184" t="str">
        <f>IF(NOTA[[#This Row],[CONCAT1]]="","",MATCH(NOTA[[#This Row],[CONCAT1]],[1]!db[NB NOTA_C],0)+1)</f>
        <v/>
      </c>
    </row>
    <row r="539" spans="1:40" ht="20.100000000000001" customHeight="1" x14ac:dyDescent="0.25">
      <c r="A539" s="84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COM_1901_125-3</v>
      </c>
      <c r="C539" s="93" t="str">
        <f>IF(NOTA[[#This Row],[CEK_EXP]]&lt;D538,"err","")</f>
        <v/>
      </c>
      <c r="D539" s="93">
        <f>IF(NOTA[[#This Row],[TANGGAL]]="",D538,NOTA[[#This Row],[TANGGAL]])</f>
        <v>44945</v>
      </c>
      <c r="E539" s="93">
        <f ca="1">IF(NOTA[[#This Row],[NAMA BARANG]]="","",INDEX(NOTA[ID],MATCH(,INDIRECT(ADDRESS(ROW(NOTA[ID]),COLUMN(NOTA[ID]))&amp;":"&amp;ADDRESS(ROW(),COLUMN(NOTA[ID]))),-1)))</f>
        <v>101</v>
      </c>
      <c r="F539" s="80">
        <v>44945</v>
      </c>
      <c r="G539" s="26" t="s">
        <v>231</v>
      </c>
      <c r="H539" s="26" t="s">
        <v>87</v>
      </c>
      <c r="I539" s="31" t="s">
        <v>701</v>
      </c>
      <c r="J539" s="82"/>
      <c r="K539" s="81">
        <v>44945</v>
      </c>
      <c r="L539" s="82"/>
      <c r="M539" s="26" t="s">
        <v>233</v>
      </c>
      <c r="N539" s="83">
        <v>1</v>
      </c>
      <c r="O539" s="82">
        <v>7</v>
      </c>
      <c r="P539" s="26" t="s">
        <v>116</v>
      </c>
      <c r="Q539" s="84">
        <v>195000</v>
      </c>
      <c r="R539" s="85"/>
      <c r="S539" s="39" t="s">
        <v>702</v>
      </c>
      <c r="T539" s="86"/>
      <c r="U539" s="86"/>
      <c r="V539" s="87"/>
      <c r="W539" s="103"/>
      <c r="X539" s="87">
        <f>IF(NOTA[[#This Row],[HARGA/ CTN]]="",NOTA[[#This Row],[JUMLAH_H]],NOTA[[#This Row],[HARGA/ CTN]]*IF(NOTA[[#This Row],[C]]="",0,NOTA[[#This Row],[C]]))</f>
        <v>1365000</v>
      </c>
      <c r="Y539" s="87">
        <f>IF(NOTA[[#This Row],[JUMLAH]]="","",NOTA[[#This Row],[JUMLAH]]*NOTA[[#This Row],[DISC 1]])</f>
        <v>0</v>
      </c>
      <c r="Z539" s="87">
        <f>IF(NOTA[[#This Row],[JUMLAH]]="","",(NOTA[[#This Row],[JUMLAH]]-NOTA[[#This Row],[DISC 1-]])*NOTA[[#This Row],[DISC 2]])</f>
        <v>0</v>
      </c>
      <c r="AA539" s="87">
        <f>IF(NOTA[[#This Row],[JUMLAH]]="","",NOTA[[#This Row],[DISC 1-]]+NOTA[[#This Row],[DISC 2-]])</f>
        <v>0</v>
      </c>
      <c r="AB539" s="87">
        <f>IF(NOTA[[#This Row],[JUMLAH]]="","",NOTA[[#This Row],[JUMLAH]]-NOTA[[#This Row],[DISC]])</f>
        <v>1365000</v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8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539" s="87">
        <f>IF(OR(NOTA[[#This Row],[QTY]]="",NOTA[[#This Row],[HARGA SATUAN]]="",),"",NOTA[[#This Row],[QTY]]*NOTA[[#This Row],[HARGA SATUAN]])</f>
        <v>1365000</v>
      </c>
      <c r="AG539" s="81">
        <f ca="1">IF(NOTA[ID_H]="","",INDEX(NOTA[TANGGAL],MATCH(,INDIRECT(ADDRESS(ROW(NOTA[TANGGAL]),COLUMN(NOTA[TANGGAL]))&amp;":"&amp;ADDRESS(ROW(),COLUMN(NOTA[TANGGAL]))),-1)))</f>
        <v>44945</v>
      </c>
      <c r="AH539" s="84" t="str">
        <f ca="1">IF(NOTA[[#This Row],[NAMA BARANG]]="","",INDEX(NOTA[SUPPLIER],MATCH(,INDIRECT(ADDRESS(ROW(NOTA[ID]),COLUMN(NOTA[ID]))&amp;":"&amp;ADDRESS(ROW(),COLUMN(NOTA[ID]))),-1)))</f>
        <v>COMBI</v>
      </c>
      <c r="AI539" s="84" t="str">
        <f ca="1">IF(NOTA[[#This Row],[ID_H]]="","",IF(NOTA[[#This Row],[FAKTUR]]="",INDIRECT(ADDRESS(ROW()-1,COLUMN())),NOTA[[#This Row],[FAKTUR]]))</f>
        <v>UNTANA</v>
      </c>
      <c r="AJ539" s="38">
        <f ca="1">IF(NOTA[[#This Row],[ID]]="","",COUNTIF(NOTA[ID_H],NOTA[[#This Row],[ID_H]]))</f>
        <v>3</v>
      </c>
      <c r="AK539" s="38">
        <f>IF(NOTA[[#This Row],[TGL.NOTA]]="",IF(NOTA[[#This Row],[SUPPLIER_H]]="","",AK538),MONTH(NOTA[[#This Row],[TGL.NOTA]]))</f>
        <v>1</v>
      </c>
      <c r="AL53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539" s="38" t="str">
        <f>IF(NOTA[C]="",NOTA[[#This Row],[CONCAT1]]&amp;NOTA[[#This Row],[HARGA SATUAN]],NOTA[[#This Row],[CONCAT1]]&amp;NOTA[[#This Row],[HARGA/ CTN_H]]&amp;NOTA[[#This Row],[DISC 1]]&amp;NOTA[[#This Row],[DISC 2]])</f>
        <v>docritprestige1365000</v>
      </c>
      <c r="AN539" s="184">
        <f>IF(NOTA[[#This Row],[CONCAT1]]="","",MATCH(NOTA[[#This Row],[CONCAT1]],[1]!db[NB NOTA_C],0)+1)</f>
        <v>607</v>
      </c>
    </row>
    <row r="540" spans="1:40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Row],[CEK_EXP]]&lt;D539,"err","")</f>
        <v/>
      </c>
      <c r="D540" s="93">
        <f>IF(NOTA[[#This Row],[TANGGAL]]="",D539,NOTA[[#This Row],[TANGGAL]])</f>
        <v>44945</v>
      </c>
      <c r="E540" s="93">
        <f ca="1">IF(NOTA[[#This Row],[NAMA BARANG]]="","",INDEX(NOTA[ID],MATCH(,INDIRECT(ADDRESS(ROW(NOTA[ID]),COLUMN(NOTA[ID]))&amp;":"&amp;ADDRESS(ROW(),COLUMN(NOTA[ID]))),-1)))</f>
        <v>101</v>
      </c>
      <c r="F540" s="80"/>
      <c r="G540" s="26"/>
      <c r="H540" s="26"/>
      <c r="I540" s="31"/>
      <c r="J540" s="82"/>
      <c r="K540" s="81"/>
      <c r="L540" s="82"/>
      <c r="M540" s="26" t="s">
        <v>703</v>
      </c>
      <c r="N540" s="83">
        <v>1</v>
      </c>
      <c r="O540" s="82">
        <v>7</v>
      </c>
      <c r="P540" s="26" t="s">
        <v>116</v>
      </c>
      <c r="Q540" s="84">
        <v>180000</v>
      </c>
      <c r="R540" s="85"/>
      <c r="S540" s="39" t="s">
        <v>702</v>
      </c>
      <c r="T540" s="86"/>
      <c r="U540" s="86"/>
      <c r="V540" s="87"/>
      <c r="W540" s="103"/>
      <c r="X540" s="87">
        <f>IF(NOTA[[#This Row],[HARGA/ CTN]]="",NOTA[[#This Row],[JUMLAH_H]],NOTA[[#This Row],[HARGA/ CTN]]*IF(NOTA[[#This Row],[C]]="",0,NOTA[[#This Row],[C]]))</f>
        <v>1260000</v>
      </c>
      <c r="Y540" s="87">
        <f>IF(NOTA[[#This Row],[JUMLAH]]="","",NOTA[[#This Row],[JUMLAH]]*NOTA[[#This Row],[DISC 1]])</f>
        <v>0</v>
      </c>
      <c r="Z540" s="87">
        <f>IF(NOTA[[#This Row],[JUMLAH]]="","",(NOTA[[#This Row],[JUMLAH]]-NOTA[[#This Row],[DISC 1-]])*NOTA[[#This Row],[DISC 2]])</f>
        <v>0</v>
      </c>
      <c r="AA540" s="87">
        <f>IF(NOTA[[#This Row],[JUMLAH]]="","",NOTA[[#This Row],[DISC 1-]]+NOTA[[#This Row],[DISC 2-]])</f>
        <v>0</v>
      </c>
      <c r="AB540" s="87">
        <f>IF(NOTA[[#This Row],[JUMLAH]]="","",NOTA[[#This Row],[JUMLAH]]-NOTA[[#This Row],[DISC]])</f>
        <v>1260000</v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84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540" s="87">
        <f>IF(OR(NOTA[[#This Row],[QTY]]="",NOTA[[#This Row],[HARGA SATUAN]]="",),"",NOTA[[#This Row],[QTY]]*NOTA[[#This Row],[HARGA SATUAN]])</f>
        <v>1260000</v>
      </c>
      <c r="AG540" s="81">
        <f ca="1">IF(NOTA[ID_H]="","",INDEX(NOTA[TANGGAL],MATCH(,INDIRECT(ADDRESS(ROW(NOTA[TANGGAL]),COLUMN(NOTA[TANGGAL]))&amp;":"&amp;ADDRESS(ROW(),COLUMN(NOTA[TANGGAL]))),-1)))</f>
        <v>44945</v>
      </c>
      <c r="AH540" s="84" t="str">
        <f ca="1">IF(NOTA[[#This Row],[NAMA BARANG]]="","",INDEX(NOTA[SUPPLIER],MATCH(,INDIRECT(ADDRESS(ROW(NOTA[ID]),COLUMN(NOTA[ID]))&amp;":"&amp;ADDRESS(ROW(),COLUMN(NOTA[ID]))),-1)))</f>
        <v>COMBI</v>
      </c>
      <c r="AI540" s="84" t="str">
        <f ca="1">IF(NOTA[[#This Row],[ID_H]]="","",IF(NOTA[[#This Row],[FAKTUR]]="",INDIRECT(ADDRESS(ROW()-1,COLUMN())),NOTA[[#This Row],[FAKTUR]]))</f>
        <v>UNTANA</v>
      </c>
      <c r="AJ540" s="38" t="str">
        <f ca="1">IF(NOTA[[#This Row],[ID]]="","",COUNTIF(NOTA[ID_H],NOTA[[#This Row],[ID_H]]))</f>
        <v/>
      </c>
      <c r="AK540" s="38">
        <f ca="1">IF(NOTA[[#This Row],[TGL.NOTA]]="",IF(NOTA[[#This Row],[SUPPLIER_H]]="","",AK539),MONTH(NOTA[[#This Row],[TGL.NOTA]]))</f>
        <v>1</v>
      </c>
      <c r="AL540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540" s="38" t="str">
        <f>IF(NOTA[C]="",NOTA[[#This Row],[CONCAT1]]&amp;NOTA[[#This Row],[HARGA SATUAN]],NOTA[[#This Row],[CONCAT1]]&amp;NOTA[[#This Row],[HARGA/ CTN_H]]&amp;NOTA[[#This Row],[DISC 1]]&amp;NOTA[[#This Row],[DISC 2]])</f>
        <v>docritinfinity1260000</v>
      </c>
      <c r="AN540" s="184">
        <f>IF(NOTA[[#This Row],[CONCAT1]]="","",MATCH(NOTA[[#This Row],[CONCAT1]],[1]!db[NB NOTA_C],0)+1)</f>
        <v>600</v>
      </c>
    </row>
    <row r="541" spans="1:40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Row],[CEK_EXP]]&lt;D540,"err","")</f>
        <v/>
      </c>
      <c r="D541" s="93">
        <f>IF(NOTA[[#This Row],[TANGGAL]]="",D540,NOTA[[#This Row],[TANGGAL]])</f>
        <v>44945</v>
      </c>
      <c r="E541" s="93">
        <f ca="1">IF(NOTA[[#This Row],[NAMA BARANG]]="","",INDEX(NOTA[ID],MATCH(,INDIRECT(ADDRESS(ROW(NOTA[ID]),COLUMN(NOTA[ID]))&amp;":"&amp;ADDRESS(ROW(),COLUMN(NOTA[ID]))),-1)))</f>
        <v>101</v>
      </c>
      <c r="F541" s="80"/>
      <c r="G541" s="26"/>
      <c r="H541" s="26"/>
      <c r="I541" s="31"/>
      <c r="J541" s="26"/>
      <c r="K541" s="81"/>
      <c r="L541" s="82"/>
      <c r="M541" s="26" t="s">
        <v>233</v>
      </c>
      <c r="N541" s="83"/>
      <c r="O541" s="82">
        <v>9</v>
      </c>
      <c r="P541" s="26" t="s">
        <v>116</v>
      </c>
      <c r="Q541" s="84">
        <v>195000</v>
      </c>
      <c r="R541" s="85"/>
      <c r="S541" s="39" t="s">
        <v>702</v>
      </c>
      <c r="T541" s="86"/>
      <c r="U541" s="86"/>
      <c r="V541" s="87"/>
      <c r="W541" s="37" t="s">
        <v>704</v>
      </c>
      <c r="X541" s="87">
        <f>IF(NOTA[[#This Row],[HARGA/ CTN]]="",NOTA[[#This Row],[JUMLAH_H]],NOTA[[#This Row],[HARGA/ CTN]]*IF(NOTA[[#This Row],[C]]="",0,NOTA[[#This Row],[C]]))</f>
        <v>1755000</v>
      </c>
      <c r="Y541" s="87">
        <f>IF(NOTA[[#This Row],[JUMLAH]]="","",NOTA[[#This Row],[JUMLAH]]*NOTA[[#This Row],[DISC 1]])</f>
        <v>0</v>
      </c>
      <c r="Z541" s="87">
        <f>IF(NOTA[[#This Row],[JUMLAH]]="","",(NOTA[[#This Row],[JUMLAH]]-NOTA[[#This Row],[DISC 1-]])*NOTA[[#This Row],[DISC 2]])</f>
        <v>0</v>
      </c>
      <c r="AA541" s="87">
        <f>IF(NOTA[[#This Row],[JUMLAH]]="","",NOTA[[#This Row],[DISC 1-]]+NOTA[[#This Row],[DISC 2-]])</f>
        <v>0</v>
      </c>
      <c r="AB541" s="87">
        <f>IF(NOTA[[#This Row],[JUMLAH]]="","",NOTA[[#This Row],[JUMLAH]]-NOTA[[#This Row],[DISC]])</f>
        <v>1755000</v>
      </c>
      <c r="AC54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4380000</v>
      </c>
      <c r="AE541" s="84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F541" s="87">
        <f>IF(OR(NOTA[[#This Row],[QTY]]="",NOTA[[#This Row],[HARGA SATUAN]]="",),"",NOTA[[#This Row],[QTY]]*NOTA[[#This Row],[HARGA SATUAN]])</f>
        <v>1755000</v>
      </c>
      <c r="AG541" s="81">
        <f ca="1">IF(NOTA[ID_H]="","",INDEX(NOTA[TANGGAL],MATCH(,INDIRECT(ADDRESS(ROW(NOTA[TANGGAL]),COLUMN(NOTA[TANGGAL]))&amp;":"&amp;ADDRESS(ROW(),COLUMN(NOTA[TANGGAL]))),-1)))</f>
        <v>44945</v>
      </c>
      <c r="AH541" s="84" t="str">
        <f ca="1">IF(NOTA[[#This Row],[NAMA BARANG]]="","",INDEX(NOTA[SUPPLIER],MATCH(,INDIRECT(ADDRESS(ROW(NOTA[ID]),COLUMN(NOTA[ID]))&amp;":"&amp;ADDRESS(ROW(),COLUMN(NOTA[ID]))),-1)))</f>
        <v>COMBI</v>
      </c>
      <c r="AI541" s="84" t="str">
        <f ca="1">IF(NOTA[[#This Row],[ID_H]]="","",IF(NOTA[[#This Row],[FAKTUR]]="",INDIRECT(ADDRESS(ROW()-1,COLUMN())),NOTA[[#This Row],[FAKTUR]]))</f>
        <v>UNTANA</v>
      </c>
      <c r="AJ541" s="38" t="str">
        <f ca="1">IF(NOTA[[#This Row],[ID]]="","",COUNTIF(NOTA[ID_H],NOTA[[#This Row],[ID_H]]))</f>
        <v/>
      </c>
      <c r="AK541" s="38">
        <f ca="1">IF(NOTA[[#This Row],[TGL.NOTA]]="",IF(NOTA[[#This Row],[SUPPLIER_H]]="","",AK540),MONTH(NOTA[[#This Row],[TGL.NOTA]]))</f>
        <v>1</v>
      </c>
      <c r="AL54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541" s="38" t="str">
        <f>IF(NOTA[C]="",NOTA[[#This Row],[CONCAT1]]&amp;NOTA[[#This Row],[HARGA SATUAN]],NOTA[[#This Row],[CONCAT1]]&amp;NOTA[[#This Row],[HARGA/ CTN_H]]&amp;NOTA[[#This Row],[DISC 1]]&amp;NOTA[[#This Row],[DISC 2]])</f>
        <v>docritprestige195000</v>
      </c>
      <c r="AN541" s="184">
        <f>IF(NOTA[[#This Row],[CONCAT1]]="","",MATCH(NOTA[[#This Row],[CONCAT1]],[1]!db[NB NOTA_C],0)+1)</f>
        <v>607</v>
      </c>
    </row>
    <row r="542" spans="1:40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Row],[CEK_EXP]]&lt;D541,"err","")</f>
        <v/>
      </c>
      <c r="D542" s="93">
        <f>IF(NOTA[[#This Row],[TANGGAL]]="",D541,NOTA[[#This Row],[TANGGAL]])</f>
        <v>44945</v>
      </c>
      <c r="E542" s="93" t="str">
        <f ca="1">IF(NOTA[[#This Row],[NAMA BARANG]]="","",INDEX(NOTA[ID],MATCH(,INDIRECT(ADDRESS(ROW(NOTA[ID]),COLUMN(NOTA[ID]))&amp;":"&amp;ADDRESS(ROW(),COLUMN(NOTA[ID]))),-1)))</f>
        <v/>
      </c>
      <c r="F542" s="80"/>
      <c r="G542" s="26"/>
      <c r="H542" s="26"/>
      <c r="I542" s="31"/>
      <c r="J542" s="26"/>
      <c r="K542" s="81"/>
      <c r="L542" s="82"/>
      <c r="M542" s="26"/>
      <c r="N542" s="83"/>
      <c r="O542" s="82"/>
      <c r="P542" s="26"/>
      <c r="Q542" s="84"/>
      <c r="R542" s="85"/>
      <c r="S542" s="39"/>
      <c r="T542" s="86"/>
      <c r="U542" s="86"/>
      <c r="V542" s="87"/>
      <c r="W542" s="103"/>
      <c r="X542" s="87" t="str">
        <f>IF(NOTA[[#This Row],[HARGA/ CTN]]="",NOTA[[#This Row],[JUMLAH_H]],NOTA[[#This Row],[HARGA/ CTN]]*IF(NOTA[[#This Row],[C]]="",0,NOTA[[#This Row],[C]]))</f>
        <v/>
      </c>
      <c r="Y542" s="87" t="str">
        <f>IF(NOTA[[#This Row],[JUMLAH]]="","",NOTA[[#This Row],[JUMLAH]]*NOTA[[#This Row],[DISC 1]])</f>
        <v/>
      </c>
      <c r="Z542" s="87" t="str">
        <f>IF(NOTA[[#This Row],[JUMLAH]]="","",(NOTA[[#This Row],[JUMLAH]]-NOTA[[#This Row],[DISC 1-]])*NOTA[[#This Row],[DISC 2]])</f>
        <v/>
      </c>
      <c r="AA542" s="87" t="str">
        <f>IF(NOTA[[#This Row],[JUMLAH]]="","",NOTA[[#This Row],[DISC 1-]]+NOTA[[#This Row],[DISC 2-]])</f>
        <v/>
      </c>
      <c r="AB542" s="87" t="str">
        <f>IF(NOTA[[#This Row],[JUMLAH]]="","",NOTA[[#This Row],[JUMLAH]]-NOTA[[#This Row],[DISC]])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87" t="str">
        <f>IF(OR(NOTA[[#This Row],[QTY]]="",NOTA[[#This Row],[HARGA SATUAN]]="",),"",NOTA[[#This Row],[QTY]]*NOTA[[#This Row],[HARGA SATUAN]])</f>
        <v/>
      </c>
      <c r="AG542" s="81" t="str">
        <f ca="1">IF(NOTA[ID_H]="","",INDEX(NOTA[TANGGAL],MATCH(,INDIRECT(ADDRESS(ROW(NOTA[TANGGAL]),COLUMN(NOTA[TANGGAL]))&amp;":"&amp;ADDRESS(ROW(),COLUMN(NOTA[TANGGAL]))),-1)))</f>
        <v/>
      </c>
      <c r="AH542" s="84" t="str">
        <f ca="1">IF(NOTA[[#This Row],[NAMA BARANG]]="","",INDEX(NOTA[SUPPLIER],MATCH(,INDIRECT(ADDRESS(ROW(NOTA[ID]),COLUMN(NOTA[ID]))&amp;":"&amp;ADDRESS(ROW(),COLUMN(NOTA[ID]))),-1)))</f>
        <v/>
      </c>
      <c r="AI542" s="84" t="str">
        <f ca="1">IF(NOTA[[#This Row],[ID_H]]="","",IF(NOTA[[#This Row],[FAKTUR]]="",INDIRECT(ADDRESS(ROW()-1,COLUMN())),NOTA[[#This Row],[FAKTUR]]))</f>
        <v/>
      </c>
      <c r="AJ542" s="38" t="str">
        <f ca="1">IF(NOTA[[#This Row],[ID]]="","",COUNTIF(NOTA[ID_H],NOTA[[#This Row],[ID_H]]))</f>
        <v/>
      </c>
      <c r="AK542" s="38" t="str">
        <f ca="1">IF(NOTA[[#This Row],[TGL.NOTA]]="",IF(NOTA[[#This Row],[SUPPLIER_H]]="","",AK541),MONTH(NOTA[[#This Row],[TGL.NOTA]]))</f>
        <v/>
      </c>
      <c r="AL542" s="38" t="str">
        <f>LOWER(SUBSTITUTE(SUBSTITUTE(SUBSTITUTE(SUBSTITUTE(SUBSTITUTE(SUBSTITUTE(SUBSTITUTE(SUBSTITUTE(SUBSTITUTE(NOTA[NAMA BARANG]," ",),".",""),"-",""),"(",""),")",""),",",""),"/",""),"""",""),"+",""))</f>
        <v/>
      </c>
      <c r="AM542" s="38" t="str">
        <f>IF(NOTA[C]="",NOTA[[#This Row],[CONCAT1]]&amp;NOTA[[#This Row],[HARGA SATUAN]],NOTA[[#This Row],[CONCAT1]]&amp;NOTA[[#This Row],[HARGA/ CTN_H]]&amp;NOTA[[#This Row],[DISC 1]]&amp;NOTA[[#This Row],[DISC 2]])</f>
        <v/>
      </c>
      <c r="AN542" s="184" t="str">
        <f>IF(NOTA[[#This Row],[CONCAT1]]="","",MATCH(NOTA[[#This Row],[CONCAT1]],[1]!db[NB NOTA_C],0)+1)</f>
        <v/>
      </c>
    </row>
    <row r="543" spans="1:40" ht="20.100000000000001" customHeight="1" x14ac:dyDescent="0.25">
      <c r="A543" s="84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DBS_1901_023-1</v>
      </c>
      <c r="C543" s="93" t="str">
        <f>IF(NOTA[[#This Row],[CEK_EXP]]&lt;D542,"err","")</f>
        <v/>
      </c>
      <c r="D543" s="93">
        <f>IF(NOTA[[#This Row],[TANGGAL]]="",D542,NOTA[[#This Row],[TANGGAL]])</f>
        <v>44945</v>
      </c>
      <c r="E543" s="93">
        <f ca="1">IF(NOTA[[#This Row],[NAMA BARANG]]="","",INDEX(NOTA[ID],MATCH(,INDIRECT(ADDRESS(ROW(NOTA[ID]),COLUMN(NOTA[ID]))&amp;":"&amp;ADDRESS(ROW(),COLUMN(NOTA[ID]))),-1)))</f>
        <v>102</v>
      </c>
      <c r="F543" s="80"/>
      <c r="G543" s="26" t="s">
        <v>220</v>
      </c>
      <c r="H543" s="26" t="s">
        <v>87</v>
      </c>
      <c r="I543" s="31" t="s">
        <v>705</v>
      </c>
      <c r="J543" s="62"/>
      <c r="K543" s="60">
        <v>44940</v>
      </c>
      <c r="L543" s="82"/>
      <c r="M543" s="26" t="s">
        <v>306</v>
      </c>
      <c r="N543" s="83">
        <v>3</v>
      </c>
      <c r="O543" s="82">
        <v>540</v>
      </c>
      <c r="P543" s="26" t="s">
        <v>104</v>
      </c>
      <c r="Q543" s="84">
        <v>24500</v>
      </c>
      <c r="R543" s="85"/>
      <c r="S543" s="39" t="s">
        <v>305</v>
      </c>
      <c r="T543" s="86"/>
      <c r="U543" s="86"/>
      <c r="V543" s="87">
        <v>330750</v>
      </c>
      <c r="W543" s="103"/>
      <c r="X543" s="87">
        <f>IF(NOTA[[#This Row],[HARGA/ CTN]]="",NOTA[[#This Row],[JUMLAH_H]],NOTA[[#This Row],[HARGA/ CTN]]*IF(NOTA[[#This Row],[C]]="",0,NOTA[[#This Row],[C]]))</f>
        <v>13230000</v>
      </c>
      <c r="Y543" s="87">
        <f>IF(NOTA[[#This Row],[JUMLAH]]="","",NOTA[[#This Row],[JUMLAH]]*NOTA[[#This Row],[DISC 1]])</f>
        <v>0</v>
      </c>
      <c r="Z543" s="87">
        <f>IF(NOTA[[#This Row],[JUMLAH]]="","",(NOTA[[#This Row],[JUMLAH]]-NOTA[[#This Row],[DISC 1-]])*NOTA[[#This Row],[DISC 2]])</f>
        <v>0</v>
      </c>
      <c r="AA543" s="87">
        <f>IF(NOTA[[#This Row],[JUMLAH]]="","",NOTA[[#This Row],[DISC 1-]]+NOTA[[#This Row],[DISC 2-]])</f>
        <v>0</v>
      </c>
      <c r="AB543" s="87">
        <f>IF(NOTA[[#This Row],[JUMLAH]]="","",NOTA[[#This Row],[JUMLAH]]-NOTA[[#This Row],[DISC]])</f>
        <v>13230000</v>
      </c>
      <c r="AC54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330750</v>
      </c>
      <c r="AD543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12899250</v>
      </c>
      <c r="AE543" s="84">
        <f>IF(NOTA[[#This Row],[NAMA BARANG]]="","",IF(NOTA[[#This Row],[JUMLAH_H]]="",NOTA[[#This Row],[HARGA/ CTN]],NOTA[[#This Row],[QTY]]*NOTA[[#This Row],[HARGA SATUAN]]/IF(ISNUMBER(NOTA[[#This Row],[C]]),NOTA[[#This Row],[C]],1)))</f>
        <v>4410000</v>
      </c>
      <c r="AF543" s="87">
        <f>IF(OR(NOTA[[#This Row],[QTY]]="",NOTA[[#This Row],[HARGA SATUAN]]="",),"",NOTA[[#This Row],[QTY]]*NOTA[[#This Row],[HARGA SATUAN]])</f>
        <v>13230000</v>
      </c>
      <c r="AG543" s="81">
        <f ca="1">IF(NOTA[ID_H]="","",INDEX(NOTA[TANGGAL],MATCH(,INDIRECT(ADDRESS(ROW(NOTA[TANGGAL]),COLUMN(NOTA[TANGGAL]))&amp;":"&amp;ADDRESS(ROW(),COLUMN(NOTA[TANGGAL]))),-1)))</f>
        <v>44945</v>
      </c>
      <c r="AH543" s="84" t="str">
        <f ca="1">IF(NOTA[[#This Row],[NAMA BARANG]]="","",INDEX(NOTA[SUPPLIER],MATCH(,INDIRECT(ADDRESS(ROW(NOTA[ID]),COLUMN(NOTA[ID]))&amp;":"&amp;ADDRESS(ROW(),COLUMN(NOTA[ID]))),-1)))</f>
        <v>DB STATIONERY</v>
      </c>
      <c r="AI543" s="84" t="str">
        <f ca="1">IF(NOTA[[#This Row],[ID_H]]="","",IF(NOTA[[#This Row],[FAKTUR]]="",INDIRECT(ADDRESS(ROW()-1,COLUMN())),NOTA[[#This Row],[FAKTUR]]))</f>
        <v>UNTANA</v>
      </c>
      <c r="AJ543" s="38">
        <f ca="1">IF(NOTA[[#This Row],[ID]]="","",COUNTIF(NOTA[ID_H],NOTA[[#This Row],[ID_H]]))</f>
        <v>1</v>
      </c>
      <c r="AK543" s="38">
        <f>IF(NOTA[[#This Row],[TGL.NOTA]]="",IF(NOTA[[#This Row],[SUPPLIER_H]]="","",AK542),MONTH(NOTA[[#This Row],[TGL.NOTA]]))</f>
        <v>1</v>
      </c>
      <c r="AL543" s="38" t="str">
        <f>LOWER(SUBSTITUTE(SUBSTITUTE(SUBSTITUTE(SUBSTITUTE(SUBSTITUTE(SUBSTITUTE(SUBSTITUTE(SUBSTITUTE(SUBSTITUTE(NOTA[NAMA BARANG]," ",),".",""),"-",""),"(",""),")",""),",",""),"/",""),"""",""),"+",""))</f>
        <v>tpbd933</v>
      </c>
      <c r="AM543" s="38" t="str">
        <f>IF(NOTA[C]="",NOTA[[#This Row],[CONCAT1]]&amp;NOTA[[#This Row],[HARGA SATUAN]],NOTA[[#This Row],[CONCAT1]]&amp;NOTA[[#This Row],[HARGA/ CTN_H]]&amp;NOTA[[#This Row],[DISC 1]]&amp;NOTA[[#This Row],[DISC 2]])</f>
        <v>tpbd9334410000</v>
      </c>
      <c r="AN543" s="184">
        <f>IF(NOTA[[#This Row],[CONCAT1]]="","",MATCH(NOTA[[#This Row],[CONCAT1]],[1]!db[NB NOTA_C],0)+1)</f>
        <v>2233</v>
      </c>
    </row>
    <row r="544" spans="1:40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Row],[CEK_EXP]]&lt;D543,"err","")</f>
        <v/>
      </c>
      <c r="D544" s="93">
        <f>IF(NOTA[[#This Row],[TANGGAL]]="",D543,NOTA[[#This Row],[TANGGAL]])</f>
        <v>44945</v>
      </c>
      <c r="E544" s="93" t="str">
        <f ca="1">IF(NOTA[[#This Row],[NAMA BARANG]]="","",INDEX(NOTA[ID],MATCH(,INDIRECT(ADDRESS(ROW(NOTA[ID]),COLUMN(NOTA[ID]))&amp;":"&amp;ADDRESS(ROW(),COLUMN(NOTA[ID]))),-1)))</f>
        <v/>
      </c>
      <c r="F544" s="80"/>
      <c r="G544" s="26"/>
      <c r="H544" s="26"/>
      <c r="I544" s="31"/>
      <c r="J544" s="82"/>
      <c r="K544" s="81"/>
      <c r="L544" s="82"/>
      <c r="M544" s="26"/>
      <c r="N544" s="83"/>
      <c r="O544" s="82"/>
      <c r="P544" s="26"/>
      <c r="Q544" s="84"/>
      <c r="R544" s="85"/>
      <c r="S544" s="39"/>
      <c r="T544" s="86"/>
      <c r="U544" s="86"/>
      <c r="V544" s="87"/>
      <c r="W544" s="37"/>
      <c r="X544" s="87" t="str">
        <f>IF(NOTA[[#This Row],[HARGA/ CTN]]="",NOTA[[#This Row],[JUMLAH_H]],NOTA[[#This Row],[HARGA/ CTN]]*IF(NOTA[[#This Row],[C]]="",0,NOTA[[#This Row],[C]]))</f>
        <v/>
      </c>
      <c r="Y544" s="87" t="str">
        <f>IF(NOTA[[#This Row],[JUMLAH]]="","",NOTA[[#This Row],[JUMLAH]]*NOTA[[#This Row],[DISC 1]])</f>
        <v/>
      </c>
      <c r="Z544" s="87" t="str">
        <f>IF(NOTA[[#This Row],[JUMLAH]]="","",(NOTA[[#This Row],[JUMLAH]]-NOTA[[#This Row],[DISC 1-]])*NOTA[[#This Row],[DISC 2]])</f>
        <v/>
      </c>
      <c r="AA544" s="87" t="str">
        <f>IF(NOTA[[#This Row],[JUMLAH]]="","",NOTA[[#This Row],[DISC 1-]]+NOTA[[#This Row],[DISC 2-]])</f>
        <v/>
      </c>
      <c r="AB544" s="87" t="str">
        <f>IF(NOTA[[#This Row],[JUMLAH]]="","",NOTA[[#This Row],[JUMLAH]]-NOTA[[#This Row],[DISC]])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4" s="87" t="str">
        <f>IF(OR(NOTA[[#This Row],[QTY]]="",NOTA[[#This Row],[HARGA SATUAN]]="",),"",NOTA[[#This Row],[QTY]]*NOTA[[#This Row],[HARGA SATUAN]])</f>
        <v/>
      </c>
      <c r="AG544" s="81" t="str">
        <f ca="1">IF(NOTA[ID_H]="","",INDEX(NOTA[TANGGAL],MATCH(,INDIRECT(ADDRESS(ROW(NOTA[TANGGAL]),COLUMN(NOTA[TANGGAL]))&amp;":"&amp;ADDRESS(ROW(),COLUMN(NOTA[TANGGAL]))),-1)))</f>
        <v/>
      </c>
      <c r="AH544" s="84" t="str">
        <f ca="1">IF(NOTA[[#This Row],[NAMA BARANG]]="","",INDEX(NOTA[SUPPLIER],MATCH(,INDIRECT(ADDRESS(ROW(NOTA[ID]),COLUMN(NOTA[ID]))&amp;":"&amp;ADDRESS(ROW(),COLUMN(NOTA[ID]))),-1)))</f>
        <v/>
      </c>
      <c r="AI544" s="84" t="str">
        <f ca="1">IF(NOTA[[#This Row],[ID_H]]="","",IF(NOTA[[#This Row],[FAKTUR]]="",INDIRECT(ADDRESS(ROW()-1,COLUMN())),NOTA[[#This Row],[FAKTUR]]))</f>
        <v/>
      </c>
      <c r="AJ544" s="38" t="str">
        <f ca="1">IF(NOTA[[#This Row],[ID]]="","",COUNTIF(NOTA[ID_H],NOTA[[#This Row],[ID_H]]))</f>
        <v/>
      </c>
      <c r="AK544" s="38" t="str">
        <f ca="1">IF(NOTA[[#This Row],[TGL.NOTA]]="",IF(NOTA[[#This Row],[SUPPLIER_H]]="","",AK543),MONTH(NOTA[[#This Row],[TGL.NOTA]]))</f>
        <v/>
      </c>
      <c r="AL544" s="38" t="str">
        <f>LOWER(SUBSTITUTE(SUBSTITUTE(SUBSTITUTE(SUBSTITUTE(SUBSTITUTE(SUBSTITUTE(SUBSTITUTE(SUBSTITUTE(SUBSTITUTE(NOTA[NAMA BARANG]," ",),".",""),"-",""),"(",""),")",""),",",""),"/",""),"""",""),"+",""))</f>
        <v/>
      </c>
      <c r="AM544" s="38" t="str">
        <f>IF(NOTA[C]="",NOTA[[#This Row],[CONCAT1]]&amp;NOTA[[#This Row],[HARGA SATUAN]],NOTA[[#This Row],[CONCAT1]]&amp;NOTA[[#This Row],[HARGA/ CTN_H]]&amp;NOTA[[#This Row],[DISC 1]]&amp;NOTA[[#This Row],[DISC 2]])</f>
        <v/>
      </c>
      <c r="AN544" s="184" t="str">
        <f>IF(NOTA[[#This Row],[CONCAT1]]="","",MATCH(NOTA[[#This Row],[CONCAT1]],[1]!db[NB NOTA_C],0)+1)</f>
        <v/>
      </c>
    </row>
    <row r="545" spans="1:40" ht="20.100000000000001" customHeight="1" x14ac:dyDescent="0.25">
      <c r="A545" s="8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45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TFS_1901_092-8</v>
      </c>
      <c r="C545" s="93" t="str">
        <f>IF(NOTA[[#This Row],[CEK_EXP]]&lt;D544,"err","")</f>
        <v/>
      </c>
      <c r="D545" s="93">
        <f>IF(NOTA[[#This Row],[TANGGAL]]="",D544,NOTA[[#This Row],[TANGGAL]])</f>
        <v>44945</v>
      </c>
      <c r="E545" s="93">
        <f ca="1">IF(NOTA[[#This Row],[NAMA BARANG]]="","",INDEX(NOTA[ID],MATCH(,INDIRECT(ADDRESS(ROW(NOTA[ID]),COLUMN(NOTA[ID]))&amp;":"&amp;ADDRESS(ROW(),COLUMN(NOTA[ID]))),-1)))</f>
        <v>103</v>
      </c>
      <c r="F545" s="80"/>
      <c r="G545" s="26" t="s">
        <v>706</v>
      </c>
      <c r="H545" s="26" t="s">
        <v>87</v>
      </c>
      <c r="I545" s="31" t="s">
        <v>707</v>
      </c>
      <c r="J545" s="82"/>
      <c r="K545" s="81">
        <v>44943</v>
      </c>
      <c r="L545" s="82"/>
      <c r="M545" s="26" t="s">
        <v>708</v>
      </c>
      <c r="N545" s="83"/>
      <c r="O545" s="82">
        <v>15</v>
      </c>
      <c r="P545" s="26" t="s">
        <v>104</v>
      </c>
      <c r="Q545" s="84">
        <v>23000</v>
      </c>
      <c r="R545" s="85"/>
      <c r="S545" s="39"/>
      <c r="T545" s="86"/>
      <c r="U545" s="86"/>
      <c r="V545" s="87"/>
      <c r="W545" s="37"/>
      <c r="X545" s="87">
        <f>IF(NOTA[[#This Row],[HARGA/ CTN]]="",NOTA[[#This Row],[JUMLAH_H]],NOTA[[#This Row],[HARGA/ CTN]]*IF(NOTA[[#This Row],[C]]="",0,NOTA[[#This Row],[C]]))</f>
        <v>345000</v>
      </c>
      <c r="Y545" s="87">
        <f>IF(NOTA[[#This Row],[JUMLAH]]="","",NOTA[[#This Row],[JUMLAH]]*NOTA[[#This Row],[DISC 1]])</f>
        <v>0</v>
      </c>
      <c r="Z545" s="87">
        <f>IF(NOTA[[#This Row],[JUMLAH]]="","",(NOTA[[#This Row],[JUMLAH]]-NOTA[[#This Row],[DISC 1-]])*NOTA[[#This Row],[DISC 2]])</f>
        <v>0</v>
      </c>
      <c r="AA545" s="87">
        <f>IF(NOTA[[#This Row],[JUMLAH]]="","",NOTA[[#This Row],[DISC 1-]]+NOTA[[#This Row],[DISC 2-]])</f>
        <v>0</v>
      </c>
      <c r="AB545" s="87">
        <f>IF(NOTA[[#This Row],[JUMLAH]]="","",NOTA[[#This Row],[JUMLAH]]-NOTA[[#This Row],[DISC]])</f>
        <v>345000</v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545" s="87">
        <f>IF(OR(NOTA[[#This Row],[QTY]]="",NOTA[[#This Row],[HARGA SATUAN]]="",),"",NOTA[[#This Row],[QTY]]*NOTA[[#This Row],[HARGA SATUAN]])</f>
        <v>345000</v>
      </c>
      <c r="AG545" s="81">
        <f ca="1">IF(NOTA[ID_H]="","",INDEX(NOTA[TANGGAL],MATCH(,INDIRECT(ADDRESS(ROW(NOTA[TANGGAL]),COLUMN(NOTA[TANGGAL]))&amp;":"&amp;ADDRESS(ROW(),COLUMN(NOTA[TANGGAL]))),-1)))</f>
        <v>44945</v>
      </c>
      <c r="AH545" s="84" t="str">
        <f ca="1">IF(NOTA[[#This Row],[NAMA BARANG]]="","",INDEX(NOTA[SUPPLIER],MATCH(,INDIRECT(ADDRESS(ROW(NOTA[ID]),COLUMN(NOTA[ID]))&amp;":"&amp;ADDRESS(ROW(),COLUMN(NOTA[ID]))),-1)))</f>
        <v>TFS</v>
      </c>
      <c r="AI545" s="84" t="str">
        <f ca="1">IF(NOTA[[#This Row],[ID_H]]="","",IF(NOTA[[#This Row],[FAKTUR]]="",INDIRECT(ADDRESS(ROW()-1,COLUMN())),NOTA[[#This Row],[FAKTUR]]))</f>
        <v>UNTANA</v>
      </c>
      <c r="AJ545" s="38">
        <f ca="1">IF(NOTA[[#This Row],[ID]]="","",COUNTIF(NOTA[ID_H],NOTA[[#This Row],[ID_H]]))</f>
        <v>8</v>
      </c>
      <c r="AK545" s="38">
        <f>IF(NOTA[[#This Row],[TGL.NOTA]]="",IF(NOTA[[#This Row],[SUPPLIER_H]]="","",AK544),MONTH(NOTA[[#This Row],[TGL.NOTA]]))</f>
        <v>1</v>
      </c>
      <c r="AL545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M545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zipperfileclearholder55520filegreen23000</v>
      </c>
      <c r="AN545" s="184">
        <f>IF(NOTA[[#This Row],[CONCAT1]]="","",MATCH(NOTA[[#This Row],[CONCAT1]],[1]!db[NB NOTA_C],0)+1)</f>
        <v>2125</v>
      </c>
    </row>
    <row r="546" spans="1:40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Row],[CEK_EXP]]&lt;D545,"err","")</f>
        <v/>
      </c>
      <c r="D546" s="93">
        <f>IF(NOTA[[#This Row],[TANGGAL]]="",D545,NOTA[[#This Row],[TANGGAL]])</f>
        <v>44945</v>
      </c>
      <c r="E546" s="93">
        <f ca="1">IF(NOTA[[#This Row],[NAMA BARANG]]="","",INDEX(NOTA[ID],MATCH(,INDIRECT(ADDRESS(ROW(NOTA[ID]),COLUMN(NOTA[ID]))&amp;":"&amp;ADDRESS(ROW(),COLUMN(NOTA[ID]))),-1)))</f>
        <v>103</v>
      </c>
      <c r="F546" s="80"/>
      <c r="G546" s="26"/>
      <c r="H546" s="26"/>
      <c r="I546" s="31"/>
      <c r="J546" s="82"/>
      <c r="K546" s="81"/>
      <c r="L546" s="82"/>
      <c r="M546" s="26" t="s">
        <v>709</v>
      </c>
      <c r="N546" s="83"/>
      <c r="O546" s="82">
        <v>15</v>
      </c>
      <c r="P546" s="26" t="s">
        <v>104</v>
      </c>
      <c r="Q546" s="84">
        <v>23000</v>
      </c>
      <c r="R546" s="85"/>
      <c r="S546" s="39"/>
      <c r="T546" s="86"/>
      <c r="U546" s="86"/>
      <c r="V546" s="87"/>
      <c r="W546" s="37"/>
      <c r="X546" s="87">
        <f>IF(NOTA[[#This Row],[HARGA/ CTN]]="",NOTA[[#This Row],[JUMLAH_H]],NOTA[[#This Row],[HARGA/ CTN]]*IF(NOTA[[#This Row],[C]]="",0,NOTA[[#This Row],[C]]))</f>
        <v>345000</v>
      </c>
      <c r="Y546" s="87">
        <f>IF(NOTA[[#This Row],[JUMLAH]]="","",NOTA[[#This Row],[JUMLAH]]*NOTA[[#This Row],[DISC 1]])</f>
        <v>0</v>
      </c>
      <c r="Z546" s="87">
        <f>IF(NOTA[[#This Row],[JUMLAH]]="","",(NOTA[[#This Row],[JUMLAH]]-NOTA[[#This Row],[DISC 1-]])*NOTA[[#This Row],[DISC 2]])</f>
        <v>0</v>
      </c>
      <c r="AA546" s="87">
        <f>IF(NOTA[[#This Row],[JUMLAH]]="","",NOTA[[#This Row],[DISC 1-]]+NOTA[[#This Row],[DISC 2-]])</f>
        <v>0</v>
      </c>
      <c r="AB546" s="87">
        <f>IF(NOTA[[#This Row],[JUMLAH]]="","",NOTA[[#This Row],[JUMLAH]]-NOTA[[#This Row],[DISC]])</f>
        <v>345000</v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546" s="87">
        <f>IF(OR(NOTA[[#This Row],[QTY]]="",NOTA[[#This Row],[HARGA SATUAN]]="",),"",NOTA[[#This Row],[QTY]]*NOTA[[#This Row],[HARGA SATUAN]])</f>
        <v>345000</v>
      </c>
      <c r="AG546" s="81">
        <f ca="1">IF(NOTA[ID_H]="","",INDEX(NOTA[TANGGAL],MATCH(,INDIRECT(ADDRESS(ROW(NOTA[TANGGAL]),COLUMN(NOTA[TANGGAL]))&amp;":"&amp;ADDRESS(ROW(),COLUMN(NOTA[TANGGAL]))),-1)))</f>
        <v>44945</v>
      </c>
      <c r="AH546" s="84" t="str">
        <f ca="1">IF(NOTA[[#This Row],[NAMA BARANG]]="","",INDEX(NOTA[SUPPLIER],MATCH(,INDIRECT(ADDRESS(ROW(NOTA[ID]),COLUMN(NOTA[ID]))&amp;":"&amp;ADDRESS(ROW(),COLUMN(NOTA[ID]))),-1)))</f>
        <v>TFS</v>
      </c>
      <c r="AI546" s="84" t="str">
        <f ca="1">IF(NOTA[[#This Row],[ID_H]]="","",IF(NOTA[[#This Row],[FAKTUR]]="",INDIRECT(ADDRESS(ROW()-1,COLUMN())),NOTA[[#This Row],[FAKTUR]]))</f>
        <v>UNTANA</v>
      </c>
      <c r="AJ546" s="38" t="str">
        <f ca="1">IF(NOTA[[#This Row],[ID]]="","",COUNTIF(NOTA[ID_H],NOTA[[#This Row],[ID_H]]))</f>
        <v/>
      </c>
      <c r="AK546" s="38">
        <f ca="1">IF(NOTA[[#This Row],[TGL.NOTA]]="",IF(NOTA[[#This Row],[SUPPLIER_H]]="","",AK545),MONTH(NOTA[[#This Row],[TGL.NOTA]]))</f>
        <v>1</v>
      </c>
      <c r="AL546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M546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zipperfileclearholder55520filered23000</v>
      </c>
      <c r="AN546" s="184">
        <f>IF(NOTA[[#This Row],[CONCAT1]]="","",MATCH(NOTA[[#This Row],[CONCAT1]],[1]!db[NB NOTA_C],0)+1)</f>
        <v>2126</v>
      </c>
    </row>
    <row r="547" spans="1:40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Row],[CEK_EXP]]&lt;D546,"err","")</f>
        <v/>
      </c>
      <c r="D547" s="93">
        <f>IF(NOTA[[#This Row],[TANGGAL]]="",D546,NOTA[[#This Row],[TANGGAL]])</f>
        <v>44945</v>
      </c>
      <c r="E547" s="93">
        <f ca="1">IF(NOTA[[#This Row],[NAMA BARANG]]="","",INDEX(NOTA[ID],MATCH(,INDIRECT(ADDRESS(ROW(NOTA[ID]),COLUMN(NOTA[ID]))&amp;":"&amp;ADDRESS(ROW(),COLUMN(NOTA[ID]))),-1)))</f>
        <v>103</v>
      </c>
      <c r="F547" s="80"/>
      <c r="G547" s="26"/>
      <c r="H547" s="26"/>
      <c r="I547" s="31"/>
      <c r="J547" s="26"/>
      <c r="K547" s="81"/>
      <c r="L547" s="82"/>
      <c r="M547" s="26" t="s">
        <v>710</v>
      </c>
      <c r="N547" s="83"/>
      <c r="O547" s="82">
        <v>15</v>
      </c>
      <c r="P547" s="26" t="s">
        <v>104</v>
      </c>
      <c r="Q547" s="84">
        <v>23000</v>
      </c>
      <c r="R547" s="85"/>
      <c r="S547" s="39"/>
      <c r="T547" s="53"/>
      <c r="U547" s="86"/>
      <c r="V547" s="87"/>
      <c r="W547" s="37"/>
      <c r="X547" s="87">
        <f>IF(NOTA[[#This Row],[HARGA/ CTN]]="",NOTA[[#This Row],[JUMLAH_H]],NOTA[[#This Row],[HARGA/ CTN]]*IF(NOTA[[#This Row],[C]]="",0,NOTA[[#This Row],[C]]))</f>
        <v>345000</v>
      </c>
      <c r="Y547" s="87">
        <f>IF(NOTA[[#This Row],[JUMLAH]]="","",NOTA[[#This Row],[JUMLAH]]*NOTA[[#This Row],[DISC 1]])</f>
        <v>0</v>
      </c>
      <c r="Z547" s="87">
        <f>IF(NOTA[[#This Row],[JUMLAH]]="","",(NOTA[[#This Row],[JUMLAH]]-NOTA[[#This Row],[DISC 1-]])*NOTA[[#This Row],[DISC 2]])</f>
        <v>0</v>
      </c>
      <c r="AA547" s="87">
        <f>IF(NOTA[[#This Row],[JUMLAH]]="","",NOTA[[#This Row],[DISC 1-]]+NOTA[[#This Row],[DISC 2-]])</f>
        <v>0</v>
      </c>
      <c r="AB547" s="87">
        <f>IF(NOTA[[#This Row],[JUMLAH]]="","",NOTA[[#This Row],[JUMLAH]]-NOTA[[#This Row],[DISC]])</f>
        <v>345000</v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547" s="87">
        <f>IF(OR(NOTA[[#This Row],[QTY]]="",NOTA[[#This Row],[HARGA SATUAN]]="",),"",NOTA[[#This Row],[QTY]]*NOTA[[#This Row],[HARGA SATUAN]])</f>
        <v>345000</v>
      </c>
      <c r="AG547" s="81">
        <f ca="1">IF(NOTA[ID_H]="","",INDEX(NOTA[TANGGAL],MATCH(,INDIRECT(ADDRESS(ROW(NOTA[TANGGAL]),COLUMN(NOTA[TANGGAL]))&amp;":"&amp;ADDRESS(ROW(),COLUMN(NOTA[TANGGAL]))),-1)))</f>
        <v>44945</v>
      </c>
      <c r="AH547" s="84" t="str">
        <f ca="1">IF(NOTA[[#This Row],[NAMA BARANG]]="","",INDEX(NOTA[SUPPLIER],MATCH(,INDIRECT(ADDRESS(ROW(NOTA[ID]),COLUMN(NOTA[ID]))&amp;":"&amp;ADDRESS(ROW(),COLUMN(NOTA[ID]))),-1)))</f>
        <v>TFS</v>
      </c>
      <c r="AI547" s="84" t="str">
        <f ca="1">IF(NOTA[[#This Row],[ID_H]]="","",IF(NOTA[[#This Row],[FAKTUR]]="",INDIRECT(ADDRESS(ROW()-1,COLUMN())),NOTA[[#This Row],[FAKTUR]]))</f>
        <v>UNTANA</v>
      </c>
      <c r="AJ547" s="38" t="str">
        <f ca="1">IF(NOTA[[#This Row],[ID]]="","",COUNTIF(NOTA[ID_H],NOTA[[#This Row],[ID_H]]))</f>
        <v/>
      </c>
      <c r="AK547" s="38">
        <f ca="1">IF(NOTA[[#This Row],[TGL.NOTA]]="",IF(NOTA[[#This Row],[SUPPLIER_H]]="","",AK546),MONTH(NOTA[[#This Row],[TGL.NOTA]]))</f>
        <v>1</v>
      </c>
      <c r="AL547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M547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zipperfileclearholder55520fileyellow23000</v>
      </c>
      <c r="AN547" s="184">
        <f>IF(NOTA[[#This Row],[CONCAT1]]="","",MATCH(NOTA[[#This Row],[CONCAT1]],[1]!db[NB NOTA_C],0)+1)</f>
        <v>2127</v>
      </c>
    </row>
    <row r="548" spans="1:40" s="48" customFormat="1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Row],[CEK_EXP]]&lt;D547,"err","")</f>
        <v/>
      </c>
      <c r="D548" s="93">
        <f>IF(NOTA[[#This Row],[TANGGAL]]="",D547,NOTA[[#This Row],[TANGGAL]])</f>
        <v>44945</v>
      </c>
      <c r="E548" s="93">
        <f ca="1">IF(NOTA[[#This Row],[NAMA BARANG]]="","",INDEX(NOTA[ID],MATCH(,INDIRECT(ADDRESS(ROW(NOTA[ID]),COLUMN(NOTA[ID]))&amp;":"&amp;ADDRESS(ROW(),COLUMN(NOTA[ID]))),-1)))</f>
        <v>103</v>
      </c>
      <c r="F548" s="80"/>
      <c r="G548" s="26"/>
      <c r="H548" s="26"/>
      <c r="I548" s="31"/>
      <c r="J548" s="82"/>
      <c r="K548" s="51"/>
      <c r="L548" s="82"/>
      <c r="M548" s="26" t="s">
        <v>711</v>
      </c>
      <c r="N548" s="83"/>
      <c r="O548" s="82">
        <v>15</v>
      </c>
      <c r="P548" s="26" t="s">
        <v>104</v>
      </c>
      <c r="Q548" s="84">
        <v>23000</v>
      </c>
      <c r="R548" s="85"/>
      <c r="S548" s="39"/>
      <c r="T548" s="86"/>
      <c r="U548" s="86"/>
      <c r="V548" s="87"/>
      <c r="W548" s="37"/>
      <c r="X548" s="87">
        <f>IF(NOTA[[#This Row],[HARGA/ CTN]]="",NOTA[[#This Row],[JUMLAH_H]],NOTA[[#This Row],[HARGA/ CTN]]*IF(NOTA[[#This Row],[C]]="",0,NOTA[[#This Row],[C]]))</f>
        <v>345000</v>
      </c>
      <c r="Y548" s="87">
        <f>IF(NOTA[[#This Row],[JUMLAH]]="","",NOTA[[#This Row],[JUMLAH]]*NOTA[[#This Row],[DISC 1]])</f>
        <v>0</v>
      </c>
      <c r="Z548" s="87">
        <f>IF(NOTA[[#This Row],[JUMLAH]]="","",(NOTA[[#This Row],[JUMLAH]]-NOTA[[#This Row],[DISC 1-]])*NOTA[[#This Row],[DISC 2]])</f>
        <v>0</v>
      </c>
      <c r="AA548" s="87">
        <f>IF(NOTA[[#This Row],[JUMLAH]]="","",NOTA[[#This Row],[DISC 1-]]+NOTA[[#This Row],[DISC 2-]])</f>
        <v>0</v>
      </c>
      <c r="AB548" s="87">
        <f>IF(NOTA[[#This Row],[JUMLAH]]="","",NOTA[[#This Row],[JUMLAH]]-NOTA[[#This Row],[DISC]])</f>
        <v>345000</v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84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548" s="87">
        <f>IF(OR(NOTA[[#This Row],[QTY]]="",NOTA[[#This Row],[HARGA SATUAN]]="",),"",NOTA[[#This Row],[QTY]]*NOTA[[#This Row],[HARGA SATUAN]])</f>
        <v>345000</v>
      </c>
      <c r="AG548" s="81">
        <f ca="1">IF(NOTA[ID_H]="","",INDEX(NOTA[TANGGAL],MATCH(,INDIRECT(ADDRESS(ROW(NOTA[TANGGAL]),COLUMN(NOTA[TANGGAL]))&amp;":"&amp;ADDRESS(ROW(),COLUMN(NOTA[TANGGAL]))),-1)))</f>
        <v>44945</v>
      </c>
      <c r="AH548" s="84" t="str">
        <f ca="1">IF(NOTA[[#This Row],[NAMA BARANG]]="","",INDEX(NOTA[SUPPLIER],MATCH(,INDIRECT(ADDRESS(ROW(NOTA[ID]),COLUMN(NOTA[ID]))&amp;":"&amp;ADDRESS(ROW(),COLUMN(NOTA[ID]))),-1)))</f>
        <v>TFS</v>
      </c>
      <c r="AI548" s="84" t="str">
        <f ca="1">IF(NOTA[[#This Row],[ID_H]]="","",IF(NOTA[[#This Row],[FAKTUR]]="",INDIRECT(ADDRESS(ROW()-1,COLUMN())),NOTA[[#This Row],[FAKTUR]]))</f>
        <v>UNTANA</v>
      </c>
      <c r="AJ548" s="38" t="str">
        <f ca="1">IF(NOTA[[#This Row],[ID]]="","",COUNTIF(NOTA[ID_H],NOTA[[#This Row],[ID_H]]))</f>
        <v/>
      </c>
      <c r="AK548" s="38">
        <f ca="1">IF(NOTA[[#This Row],[TGL.NOTA]]="",IF(NOTA[[#This Row],[SUPPLIER_H]]="","",AK547),MONTH(NOTA[[#This Row],[TGL.NOTA]]))</f>
        <v>1</v>
      </c>
      <c r="AL548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M548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zipperfileclearholder55520fileblue23000</v>
      </c>
      <c r="AN548" s="184">
        <f>IF(NOTA[[#This Row],[CONCAT1]]="","",MATCH(NOTA[[#This Row],[CONCAT1]],[1]!db[NB NOTA_C],0)+1)</f>
        <v>2124</v>
      </c>
    </row>
    <row r="549" spans="1:40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Row],[CEK_EXP]]&lt;D548,"err","")</f>
        <v/>
      </c>
      <c r="D549" s="93">
        <f>IF(NOTA[[#This Row],[TANGGAL]]="",D548,NOTA[[#This Row],[TANGGAL]])</f>
        <v>44945</v>
      </c>
      <c r="E549" s="93">
        <f ca="1">IF(NOTA[[#This Row],[NAMA BARANG]]="","",INDEX(NOTA[ID],MATCH(,INDIRECT(ADDRESS(ROW(NOTA[ID]),COLUMN(NOTA[ID]))&amp;":"&amp;ADDRESS(ROW(),COLUMN(NOTA[ID]))),-1)))</f>
        <v>103</v>
      </c>
      <c r="F549" s="80"/>
      <c r="G549" s="26"/>
      <c r="H549" s="26"/>
      <c r="I549" s="31"/>
      <c r="J549" s="82"/>
      <c r="K549" s="81"/>
      <c r="L549" s="82"/>
      <c r="M549" s="26" t="s">
        <v>712</v>
      </c>
      <c r="N549" s="83"/>
      <c r="O549" s="82">
        <v>15</v>
      </c>
      <c r="P549" s="26" t="s">
        <v>104</v>
      </c>
      <c r="Q549" s="84">
        <v>29500</v>
      </c>
      <c r="R549" s="85"/>
      <c r="S549" s="39"/>
      <c r="T549" s="86"/>
      <c r="U549" s="86"/>
      <c r="V549" s="87"/>
      <c r="W549" s="37"/>
      <c r="X549" s="87">
        <f>IF(NOTA[[#This Row],[HARGA/ CTN]]="",NOTA[[#This Row],[JUMLAH_H]],NOTA[[#This Row],[HARGA/ CTN]]*IF(NOTA[[#This Row],[C]]="",0,NOTA[[#This Row],[C]]))</f>
        <v>442500</v>
      </c>
      <c r="Y549" s="87">
        <f>IF(NOTA[[#This Row],[JUMLAH]]="","",NOTA[[#This Row],[JUMLAH]]*NOTA[[#This Row],[DISC 1]])</f>
        <v>0</v>
      </c>
      <c r="Z549" s="87">
        <f>IF(NOTA[[#This Row],[JUMLAH]]="","",(NOTA[[#This Row],[JUMLAH]]-NOTA[[#This Row],[DISC 1-]])*NOTA[[#This Row],[DISC 2]])</f>
        <v>0</v>
      </c>
      <c r="AA549" s="87">
        <f>IF(NOTA[[#This Row],[JUMLAH]]="","",NOTA[[#This Row],[DISC 1-]]+NOTA[[#This Row],[DISC 2-]])</f>
        <v>0</v>
      </c>
      <c r="AB549" s="87">
        <f>IF(NOTA[[#This Row],[JUMLAH]]="","",NOTA[[#This Row],[JUMLAH]]-NOTA[[#This Row],[DISC]])</f>
        <v>442500</v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549" s="87">
        <f>IF(OR(NOTA[[#This Row],[QTY]]="",NOTA[[#This Row],[HARGA SATUAN]]="",),"",NOTA[[#This Row],[QTY]]*NOTA[[#This Row],[HARGA SATUAN]])</f>
        <v>442500</v>
      </c>
      <c r="AG549" s="81">
        <f ca="1">IF(NOTA[ID_H]="","",INDEX(NOTA[TANGGAL],MATCH(,INDIRECT(ADDRESS(ROW(NOTA[TANGGAL]),COLUMN(NOTA[TANGGAL]))&amp;":"&amp;ADDRESS(ROW(),COLUMN(NOTA[TANGGAL]))),-1)))</f>
        <v>44945</v>
      </c>
      <c r="AH549" s="84" t="str">
        <f ca="1">IF(NOTA[[#This Row],[NAMA BARANG]]="","",INDEX(NOTA[SUPPLIER],MATCH(,INDIRECT(ADDRESS(ROW(NOTA[ID]),COLUMN(NOTA[ID]))&amp;":"&amp;ADDRESS(ROW(),COLUMN(NOTA[ID]))),-1)))</f>
        <v>TFS</v>
      </c>
      <c r="AI549" s="84" t="str">
        <f ca="1">IF(NOTA[[#This Row],[ID_H]]="","",IF(NOTA[[#This Row],[FAKTUR]]="",INDIRECT(ADDRESS(ROW()-1,COLUMN())),NOTA[[#This Row],[FAKTUR]]))</f>
        <v>UNTANA</v>
      </c>
      <c r="AJ549" s="38" t="str">
        <f ca="1">IF(NOTA[[#This Row],[ID]]="","",COUNTIF(NOTA[ID_H],NOTA[[#This Row],[ID_H]]))</f>
        <v/>
      </c>
      <c r="AK549" s="38">
        <f ca="1">IF(NOTA[[#This Row],[TGL.NOTA]]="",IF(NOTA[[#This Row],[SUPPLIER_H]]="","",AK548),MONTH(NOTA[[#This Row],[TGL.NOTA]]))</f>
        <v>1</v>
      </c>
      <c r="AL549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549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zipperfileclearholder55540filegreen29500</v>
      </c>
      <c r="AN549" s="184">
        <f>IF(NOTA[[#This Row],[CONCAT1]]="","",MATCH(NOTA[[#This Row],[CONCAT1]],[1]!db[NB NOTA_C],0)+1)</f>
        <v>2129</v>
      </c>
    </row>
    <row r="550" spans="1:40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Row],[CEK_EXP]]&lt;D549,"err","")</f>
        <v/>
      </c>
      <c r="D550" s="93">
        <f>IF(NOTA[[#This Row],[TANGGAL]]="",D549,NOTA[[#This Row],[TANGGAL]])</f>
        <v>44945</v>
      </c>
      <c r="E550" s="93">
        <f ca="1">IF(NOTA[[#This Row],[NAMA BARANG]]="","",INDEX(NOTA[ID],MATCH(,INDIRECT(ADDRESS(ROW(NOTA[ID]),COLUMN(NOTA[ID]))&amp;":"&amp;ADDRESS(ROW(),COLUMN(NOTA[ID]))),-1)))</f>
        <v>103</v>
      </c>
      <c r="F550" s="80"/>
      <c r="G550" s="26"/>
      <c r="H550" s="26"/>
      <c r="I550" s="31"/>
      <c r="J550" s="26"/>
      <c r="K550" s="81"/>
      <c r="L550" s="82"/>
      <c r="M550" s="26" t="s">
        <v>713</v>
      </c>
      <c r="N550" s="83"/>
      <c r="O550" s="82">
        <v>15</v>
      </c>
      <c r="P550" s="26" t="s">
        <v>104</v>
      </c>
      <c r="Q550" s="84">
        <v>29500</v>
      </c>
      <c r="R550" s="85"/>
      <c r="S550" s="39"/>
      <c r="T550" s="86"/>
      <c r="U550" s="86"/>
      <c r="V550" s="87"/>
      <c r="W550" s="37"/>
      <c r="X550" s="87">
        <f>IF(NOTA[[#This Row],[HARGA/ CTN]]="",NOTA[[#This Row],[JUMLAH_H]],NOTA[[#This Row],[HARGA/ CTN]]*IF(NOTA[[#This Row],[C]]="",0,NOTA[[#This Row],[C]]))</f>
        <v>442500</v>
      </c>
      <c r="Y550" s="87">
        <f>IF(NOTA[[#This Row],[JUMLAH]]="","",NOTA[[#This Row],[JUMLAH]]*NOTA[[#This Row],[DISC 1]])</f>
        <v>0</v>
      </c>
      <c r="Z550" s="87">
        <f>IF(NOTA[[#This Row],[JUMLAH]]="","",(NOTA[[#This Row],[JUMLAH]]-NOTA[[#This Row],[DISC 1-]])*NOTA[[#This Row],[DISC 2]])</f>
        <v>0</v>
      </c>
      <c r="AA550" s="87">
        <f>IF(NOTA[[#This Row],[JUMLAH]]="","",NOTA[[#This Row],[DISC 1-]]+NOTA[[#This Row],[DISC 2-]])</f>
        <v>0</v>
      </c>
      <c r="AB550" s="87">
        <f>IF(NOTA[[#This Row],[JUMLAH]]="","",NOTA[[#This Row],[JUMLAH]]-NOTA[[#This Row],[DISC]])</f>
        <v>442500</v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550" s="87">
        <f>IF(OR(NOTA[[#This Row],[QTY]]="",NOTA[[#This Row],[HARGA SATUAN]]="",),"",NOTA[[#This Row],[QTY]]*NOTA[[#This Row],[HARGA SATUAN]])</f>
        <v>442500</v>
      </c>
      <c r="AG550" s="81">
        <f ca="1">IF(NOTA[ID_H]="","",INDEX(NOTA[TANGGAL],MATCH(,INDIRECT(ADDRESS(ROW(NOTA[TANGGAL]),COLUMN(NOTA[TANGGAL]))&amp;":"&amp;ADDRESS(ROW(),COLUMN(NOTA[TANGGAL]))),-1)))</f>
        <v>44945</v>
      </c>
      <c r="AH550" s="84" t="str">
        <f ca="1">IF(NOTA[[#This Row],[NAMA BARANG]]="","",INDEX(NOTA[SUPPLIER],MATCH(,INDIRECT(ADDRESS(ROW(NOTA[ID]),COLUMN(NOTA[ID]))&amp;":"&amp;ADDRESS(ROW(),COLUMN(NOTA[ID]))),-1)))</f>
        <v>TFS</v>
      </c>
      <c r="AI550" s="84" t="str">
        <f ca="1">IF(NOTA[[#This Row],[ID_H]]="","",IF(NOTA[[#This Row],[FAKTUR]]="",INDIRECT(ADDRESS(ROW()-1,COLUMN())),NOTA[[#This Row],[FAKTUR]]))</f>
        <v>UNTANA</v>
      </c>
      <c r="AJ550" s="38" t="str">
        <f ca="1">IF(NOTA[[#This Row],[ID]]="","",COUNTIF(NOTA[ID_H],NOTA[[#This Row],[ID_H]]))</f>
        <v/>
      </c>
      <c r="AK550" s="38">
        <f ca="1">IF(NOTA[[#This Row],[TGL.NOTA]]="",IF(NOTA[[#This Row],[SUPPLIER_H]]="","",AK549),MONTH(NOTA[[#This Row],[TGL.NOTA]]))</f>
        <v>1</v>
      </c>
      <c r="AL550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550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zipperfileclearholder55540filered29500</v>
      </c>
      <c r="AN550" s="184">
        <f>IF(NOTA[[#This Row],[CONCAT1]]="","",MATCH(NOTA[[#This Row],[CONCAT1]],[1]!db[NB NOTA_C],0)+1)</f>
        <v>2130</v>
      </c>
    </row>
    <row r="551" spans="1:40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Row],[CEK_EXP]]&lt;D550,"err","")</f>
        <v/>
      </c>
      <c r="D551" s="93">
        <f>IF(NOTA[[#This Row],[TANGGAL]]="",D550,NOTA[[#This Row],[TANGGAL]])</f>
        <v>44945</v>
      </c>
      <c r="E551" s="93">
        <f ca="1">IF(NOTA[[#This Row],[NAMA BARANG]]="","",INDEX(NOTA[ID],MATCH(,INDIRECT(ADDRESS(ROW(NOTA[ID]),COLUMN(NOTA[ID]))&amp;":"&amp;ADDRESS(ROW(),COLUMN(NOTA[ID]))),-1)))</f>
        <v>103</v>
      </c>
      <c r="F551" s="80"/>
      <c r="G551" s="82"/>
      <c r="H551" s="82"/>
      <c r="I551" s="88"/>
      <c r="J551" s="82"/>
      <c r="K551" s="81"/>
      <c r="L551" s="82"/>
      <c r="M551" s="26" t="s">
        <v>714</v>
      </c>
      <c r="N551" s="83"/>
      <c r="O551" s="82">
        <v>15</v>
      </c>
      <c r="P551" s="26" t="s">
        <v>104</v>
      </c>
      <c r="Q551" s="84">
        <v>29500</v>
      </c>
      <c r="R551" s="85"/>
      <c r="S551" s="39"/>
      <c r="T551" s="86"/>
      <c r="U551" s="86"/>
      <c r="V551" s="87"/>
      <c r="W551" s="37"/>
      <c r="X551" s="87">
        <f>IF(NOTA[[#This Row],[HARGA/ CTN]]="",NOTA[[#This Row],[JUMLAH_H]],NOTA[[#This Row],[HARGA/ CTN]]*IF(NOTA[[#This Row],[C]]="",0,NOTA[[#This Row],[C]]))</f>
        <v>442500</v>
      </c>
      <c r="Y551" s="87">
        <f>IF(NOTA[[#This Row],[JUMLAH]]="","",NOTA[[#This Row],[JUMLAH]]*NOTA[[#This Row],[DISC 1]])</f>
        <v>0</v>
      </c>
      <c r="Z551" s="87">
        <f>IF(NOTA[[#This Row],[JUMLAH]]="","",(NOTA[[#This Row],[JUMLAH]]-NOTA[[#This Row],[DISC 1-]])*NOTA[[#This Row],[DISC 2]])</f>
        <v>0</v>
      </c>
      <c r="AA551" s="87">
        <f>IF(NOTA[[#This Row],[JUMLAH]]="","",NOTA[[#This Row],[DISC 1-]]+NOTA[[#This Row],[DISC 2-]])</f>
        <v>0</v>
      </c>
      <c r="AB551" s="87">
        <f>IF(NOTA[[#This Row],[JUMLAH]]="","",NOTA[[#This Row],[JUMLAH]]-NOTA[[#This Row],[DISC]])</f>
        <v>442500</v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551" s="87">
        <f>IF(OR(NOTA[[#This Row],[QTY]]="",NOTA[[#This Row],[HARGA SATUAN]]="",),"",NOTA[[#This Row],[QTY]]*NOTA[[#This Row],[HARGA SATUAN]])</f>
        <v>442500</v>
      </c>
      <c r="AG551" s="81">
        <f ca="1">IF(NOTA[ID_H]="","",INDEX(NOTA[TANGGAL],MATCH(,INDIRECT(ADDRESS(ROW(NOTA[TANGGAL]),COLUMN(NOTA[TANGGAL]))&amp;":"&amp;ADDRESS(ROW(),COLUMN(NOTA[TANGGAL]))),-1)))</f>
        <v>44945</v>
      </c>
      <c r="AH551" s="84" t="str">
        <f ca="1">IF(NOTA[[#This Row],[NAMA BARANG]]="","",INDEX(NOTA[SUPPLIER],MATCH(,INDIRECT(ADDRESS(ROW(NOTA[ID]),COLUMN(NOTA[ID]))&amp;":"&amp;ADDRESS(ROW(),COLUMN(NOTA[ID]))),-1)))</f>
        <v>TFS</v>
      </c>
      <c r="AI551" s="84" t="str">
        <f ca="1">IF(NOTA[[#This Row],[ID_H]]="","",IF(NOTA[[#This Row],[FAKTUR]]="",INDIRECT(ADDRESS(ROW()-1,COLUMN())),NOTA[[#This Row],[FAKTUR]]))</f>
        <v>UNTANA</v>
      </c>
      <c r="AJ551" s="38" t="str">
        <f ca="1">IF(NOTA[[#This Row],[ID]]="","",COUNTIF(NOTA[ID_H],NOTA[[#This Row],[ID_H]]))</f>
        <v/>
      </c>
      <c r="AK551" s="38">
        <f ca="1">IF(NOTA[[#This Row],[TGL.NOTA]]="",IF(NOTA[[#This Row],[SUPPLIER_H]]="","",AK550),MONTH(NOTA[[#This Row],[TGL.NOTA]]))</f>
        <v>1</v>
      </c>
      <c r="AL551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551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zipperfileclearholder55540fileyellow29500</v>
      </c>
      <c r="AN551" s="184">
        <f>IF(NOTA[[#This Row],[CONCAT1]]="","",MATCH(NOTA[[#This Row],[CONCAT1]],[1]!db[NB NOTA_C],0)+1)</f>
        <v>2131</v>
      </c>
    </row>
    <row r="552" spans="1:40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Row],[CEK_EXP]]&lt;D551,"err","")</f>
        <v/>
      </c>
      <c r="D552" s="93">
        <f>IF(NOTA[[#This Row],[TANGGAL]]="",D551,NOTA[[#This Row],[TANGGAL]])</f>
        <v>44945</v>
      </c>
      <c r="E552" s="93">
        <f ca="1">IF(NOTA[[#This Row],[NAMA BARANG]]="","",INDEX(NOTA[ID],MATCH(,INDIRECT(ADDRESS(ROW(NOTA[ID]),COLUMN(NOTA[ID]))&amp;":"&amp;ADDRESS(ROW(),COLUMN(NOTA[ID]))),-1)))</f>
        <v>103</v>
      </c>
      <c r="F552" s="80"/>
      <c r="G552" s="26"/>
      <c r="H552" s="26"/>
      <c r="I552" s="31"/>
      <c r="J552" s="26"/>
      <c r="K552" s="81"/>
      <c r="L552" s="82"/>
      <c r="M552" s="26" t="s">
        <v>715</v>
      </c>
      <c r="N552" s="83"/>
      <c r="O552" s="82">
        <v>15</v>
      </c>
      <c r="P552" s="26" t="s">
        <v>104</v>
      </c>
      <c r="Q552" s="84">
        <v>29500</v>
      </c>
      <c r="R552" s="85"/>
      <c r="S552" s="39"/>
      <c r="T552" s="86"/>
      <c r="U552" s="86"/>
      <c r="V552" s="108"/>
      <c r="W552" s="91"/>
      <c r="X552" s="87">
        <f>IF(NOTA[[#This Row],[HARGA/ CTN]]="",NOTA[[#This Row],[JUMLAH_H]],NOTA[[#This Row],[HARGA/ CTN]]*IF(NOTA[[#This Row],[C]]="",0,NOTA[[#This Row],[C]]))</f>
        <v>442500</v>
      </c>
      <c r="Y552" s="87">
        <f>IF(NOTA[[#This Row],[JUMLAH]]="","",NOTA[[#This Row],[JUMLAH]]*NOTA[[#This Row],[DISC 1]])</f>
        <v>0</v>
      </c>
      <c r="Z552" s="87">
        <f>IF(NOTA[[#This Row],[JUMLAH]]="","",(NOTA[[#This Row],[JUMLAH]]-NOTA[[#This Row],[DISC 1-]])*NOTA[[#This Row],[DISC 2]])</f>
        <v>0</v>
      </c>
      <c r="AA552" s="87">
        <f>IF(NOTA[[#This Row],[JUMLAH]]="","",NOTA[[#This Row],[DISC 1-]]+NOTA[[#This Row],[DISC 2-]])</f>
        <v>0</v>
      </c>
      <c r="AB552" s="87">
        <f>IF(NOTA[[#This Row],[JUMLAH]]="","",NOTA[[#This Row],[JUMLAH]]-NOTA[[#This Row],[DISC]])</f>
        <v>442500</v>
      </c>
      <c r="AC55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552" s="8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552" s="87">
        <f>IF(OR(NOTA[[#This Row],[QTY]]="",NOTA[[#This Row],[HARGA SATUAN]]="",),"",NOTA[[#This Row],[QTY]]*NOTA[[#This Row],[HARGA SATUAN]])</f>
        <v>442500</v>
      </c>
      <c r="AG552" s="81">
        <f ca="1">IF(NOTA[ID_H]="","",INDEX(NOTA[TANGGAL],MATCH(,INDIRECT(ADDRESS(ROW(NOTA[TANGGAL]),COLUMN(NOTA[TANGGAL]))&amp;":"&amp;ADDRESS(ROW(),COLUMN(NOTA[TANGGAL]))),-1)))</f>
        <v>44945</v>
      </c>
      <c r="AH552" s="84" t="str">
        <f ca="1">IF(NOTA[[#This Row],[NAMA BARANG]]="","",INDEX(NOTA[SUPPLIER],MATCH(,INDIRECT(ADDRESS(ROW(NOTA[ID]),COLUMN(NOTA[ID]))&amp;":"&amp;ADDRESS(ROW(),COLUMN(NOTA[ID]))),-1)))</f>
        <v>TFS</v>
      </c>
      <c r="AI552" s="84" t="str">
        <f ca="1">IF(NOTA[[#This Row],[ID_H]]="","",IF(NOTA[[#This Row],[FAKTUR]]="",INDIRECT(ADDRESS(ROW()-1,COLUMN())),NOTA[[#This Row],[FAKTUR]]))</f>
        <v>UNTANA</v>
      </c>
      <c r="AJ552" s="38" t="str">
        <f ca="1">IF(NOTA[[#This Row],[ID]]="","",COUNTIF(NOTA[ID_H],NOTA[[#This Row],[ID_H]]))</f>
        <v/>
      </c>
      <c r="AK552" s="38">
        <f ca="1">IF(NOTA[[#This Row],[TGL.NOTA]]="",IF(NOTA[[#This Row],[SUPPLIER_H]]="","",AK551),MONTH(NOTA[[#This Row],[TGL.NOTA]]))</f>
        <v>1</v>
      </c>
      <c r="AL552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552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zipperfileclearholder55540fileblue29500</v>
      </c>
      <c r="AN552" s="184">
        <f>IF(NOTA[[#This Row],[CONCAT1]]="","",MATCH(NOTA[[#This Row],[CONCAT1]],[1]!db[NB NOTA_C],0)+1)</f>
        <v>2128</v>
      </c>
    </row>
    <row r="553" spans="1:40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Row],[CEK_EXP]]&lt;D552,"err","")</f>
        <v/>
      </c>
      <c r="D553" s="50">
        <f>IF(NOTA[[#This Row],[TANGGAL]]="",D552,NOTA[[#This Row],[TANGGAL]])</f>
        <v>44945</v>
      </c>
      <c r="E553" s="50" t="str">
        <f ca="1">IF(NOTA[[#This Row],[NAMA BARANG]]="","",INDEX(NOTA[ID],MATCH(,INDIRECT(ADDRESS(ROW(NOTA[ID]),COLUMN(NOTA[ID]))&amp;":"&amp;ADDRESS(ROW(),COLUMN(NOTA[ID]))),-1)))</f>
        <v/>
      </c>
      <c r="F553" s="23"/>
      <c r="G553" s="26"/>
      <c r="H553" s="26"/>
      <c r="I553" s="31"/>
      <c r="J553" s="26"/>
      <c r="K553" s="51"/>
      <c r="L553" s="26"/>
      <c r="M553" s="26"/>
      <c r="N553" s="39"/>
      <c r="O553" s="26"/>
      <c r="P553" s="26"/>
      <c r="Q553" s="49"/>
      <c r="R553" s="52"/>
      <c r="S553" s="39"/>
      <c r="T553" s="53"/>
      <c r="U553" s="53"/>
      <c r="V553" s="54"/>
      <c r="W553" s="37"/>
      <c r="X553" s="54" t="str">
        <f>IF(NOTA[[#This Row],[HARGA/ CTN]]="",NOTA[[#This Row],[JUMLAH_H]],NOTA[[#This Row],[HARGA/ CTN]]*IF(NOTA[[#This Row],[C]]="",0,NOTA[[#This Row],[C]]))</f>
        <v/>
      </c>
      <c r="Y553" s="54" t="str">
        <f>IF(NOTA[[#This Row],[JUMLAH]]="","",NOTA[[#This Row],[JUMLAH]]*NOTA[[#This Row],[DISC 1]])</f>
        <v/>
      </c>
      <c r="Z553" s="54" t="str">
        <f>IF(NOTA[[#This Row],[JUMLAH]]="","",(NOTA[[#This Row],[JUMLAH]]-NOTA[[#This Row],[DISC 1-]])*NOTA[[#This Row],[DISC 2]])</f>
        <v/>
      </c>
      <c r="AA553" s="54" t="str">
        <f>IF(NOTA[[#This Row],[JUMLAH]]="","",NOTA[[#This Row],[DISC 1-]]+NOTA[[#This Row],[DISC 2-]])</f>
        <v/>
      </c>
      <c r="AB553" s="54" t="str">
        <f>IF(NOTA[[#This Row],[JUMLAH]]="","",NOTA[[#This Row],[JUMLAH]]-NOTA[[#This Row],[DISC]])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3" s="54" t="str">
        <f>IF(OR(NOTA[[#This Row],[QTY]]="",NOTA[[#This Row],[HARGA SATUAN]]="",),"",NOTA[[#This Row],[QTY]]*NOTA[[#This Row],[HARGA SATUAN]])</f>
        <v/>
      </c>
      <c r="AG553" s="51" t="str">
        <f ca="1">IF(NOTA[ID_H]="","",INDEX(NOTA[TANGGAL],MATCH(,INDIRECT(ADDRESS(ROW(NOTA[TANGGAL]),COLUMN(NOTA[TANGGAL]))&amp;":"&amp;ADDRESS(ROW(),COLUMN(NOTA[TANGGAL]))),-1)))</f>
        <v/>
      </c>
      <c r="AH553" s="49" t="str">
        <f ca="1">IF(NOTA[[#This Row],[NAMA BARANG]]="","",INDEX(NOTA[SUPPLIER],MATCH(,INDIRECT(ADDRESS(ROW(NOTA[ID]),COLUMN(NOTA[ID]))&amp;":"&amp;ADDRESS(ROW(),COLUMN(NOTA[ID]))),-1)))</f>
        <v/>
      </c>
      <c r="AI553" s="49" t="str">
        <f ca="1">IF(NOTA[[#This Row],[ID_H]]="","",IF(NOTA[[#This Row],[FAKTUR]]="",INDIRECT(ADDRESS(ROW()-1,COLUMN())),NOTA[[#This Row],[FAKTUR]]))</f>
        <v/>
      </c>
      <c r="AJ553" s="38" t="str">
        <f ca="1">IF(NOTA[[#This Row],[ID]]="","",COUNTIF(NOTA[ID_H],NOTA[[#This Row],[ID_H]]))</f>
        <v/>
      </c>
      <c r="AK553" s="38" t="str">
        <f ca="1">IF(NOTA[[#This Row],[TGL.NOTA]]="",IF(NOTA[[#This Row],[SUPPLIER_H]]="","",AK552),MONTH(NOTA[[#This Row],[TGL.NOTA]]))</f>
        <v/>
      </c>
      <c r="AL553" s="38" t="str">
        <f>LOWER(SUBSTITUTE(SUBSTITUTE(SUBSTITUTE(SUBSTITUTE(SUBSTITUTE(SUBSTITUTE(SUBSTITUTE(SUBSTITUTE(SUBSTITUTE(NOTA[NAMA BARANG]," ",),".",""),"-",""),"(",""),")",""),",",""),"/",""),"""",""),"+",""))</f>
        <v/>
      </c>
      <c r="AM553" s="38" t="str">
        <f>IF(NOTA[C]="",NOTA[[#This Row],[CONCAT1]]&amp;NOTA[[#This Row],[HARGA SATUAN]],NOTA[[#This Row],[CONCAT1]]&amp;NOTA[[#This Row],[HARGA/ CTN_H]]&amp;NOTA[[#This Row],[DISC 1]]&amp;NOTA[[#This Row],[DISC 2]])</f>
        <v/>
      </c>
      <c r="AN553" s="184" t="str">
        <f>IF(NOTA[[#This Row],[CONCAT1]]="","",MATCH(NOTA[[#This Row],[CONCAT1]],[1]!db[NB NOTA_C],0)+1)</f>
        <v/>
      </c>
    </row>
    <row r="554" spans="1:40" ht="20.100000000000001" customHeight="1" x14ac:dyDescent="0.25">
      <c r="A554" s="49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HAN_1901_198-6</v>
      </c>
      <c r="C554" s="50" t="str">
        <f>IF(NOTA[[#This Row],[CEK_EXP]]&lt;D553,"err","")</f>
        <v/>
      </c>
      <c r="D554" s="50">
        <f>IF(NOTA[[#This Row],[TANGGAL]]="",D553,NOTA[[#This Row],[TANGGAL]])</f>
        <v>44945</v>
      </c>
      <c r="E554" s="50">
        <f ca="1">IF(NOTA[[#This Row],[NAMA BARANG]]="","",INDEX(NOTA[ID],MATCH(,INDIRECT(ADDRESS(ROW(NOTA[ID]),COLUMN(NOTA[ID]))&amp;":"&amp;ADDRESS(ROW(),COLUMN(NOTA[ID]))),-1)))</f>
        <v>104</v>
      </c>
      <c r="F554" s="23"/>
      <c r="G554" s="26" t="s">
        <v>285</v>
      </c>
      <c r="H554" s="26" t="s">
        <v>87</v>
      </c>
      <c r="I554" s="31" t="s">
        <v>716</v>
      </c>
      <c r="J554" s="26"/>
      <c r="K554" s="51">
        <v>44945</v>
      </c>
      <c r="L554" s="26"/>
      <c r="M554" s="26" t="s">
        <v>717</v>
      </c>
      <c r="N554" s="39"/>
      <c r="O554" s="26">
        <v>60</v>
      </c>
      <c r="P554" s="26" t="s">
        <v>104</v>
      </c>
      <c r="Q554" s="49">
        <v>1450</v>
      </c>
      <c r="R554" s="52"/>
      <c r="S554" s="39"/>
      <c r="T554" s="53"/>
      <c r="U554" s="53"/>
      <c r="V554" s="54"/>
      <c r="W554" s="37"/>
      <c r="X554" s="54">
        <f>IF(NOTA[[#This Row],[HARGA/ CTN]]="",NOTA[[#This Row],[JUMLAH_H]],NOTA[[#This Row],[HARGA/ CTN]]*IF(NOTA[[#This Row],[C]]="",0,NOTA[[#This Row],[C]]))</f>
        <v>87000</v>
      </c>
      <c r="Y554" s="54">
        <f>IF(NOTA[[#This Row],[JUMLAH]]="","",NOTA[[#This Row],[JUMLAH]]*NOTA[[#This Row],[DISC 1]])</f>
        <v>0</v>
      </c>
      <c r="Z554" s="54">
        <f>IF(NOTA[[#This Row],[JUMLAH]]="","",(NOTA[[#This Row],[JUMLAH]]-NOTA[[#This Row],[DISC 1-]])*NOTA[[#This Row],[DISC 2]])</f>
        <v>0</v>
      </c>
      <c r="AA554" s="54">
        <f>IF(NOTA[[#This Row],[JUMLAH]]="","",NOTA[[#This Row],[DISC 1-]]+NOTA[[#This Row],[DISC 2-]])</f>
        <v>0</v>
      </c>
      <c r="AB554" s="54">
        <f>IF(NOTA[[#This Row],[JUMLAH]]="","",NOTA[[#This Row],[JUMLAH]]-NOTA[[#This Row],[DISC]])</f>
        <v>87000</v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F554" s="54">
        <f>IF(OR(NOTA[[#This Row],[QTY]]="",NOTA[[#This Row],[HARGA SATUAN]]="",),"",NOTA[[#This Row],[QTY]]*NOTA[[#This Row],[HARGA SATUAN]])</f>
        <v>87000</v>
      </c>
      <c r="AG554" s="51">
        <f ca="1">IF(NOTA[ID_H]="","",INDEX(NOTA[TANGGAL],MATCH(,INDIRECT(ADDRESS(ROW(NOTA[TANGGAL]),COLUMN(NOTA[TANGGAL]))&amp;":"&amp;ADDRESS(ROW(),COLUMN(NOTA[TANGGAL]))),-1)))</f>
        <v>44945</v>
      </c>
      <c r="AH554" s="49" t="str">
        <f ca="1">IF(NOTA[[#This Row],[NAMA BARANG]]="","",INDEX(NOTA[SUPPLIER],MATCH(,INDIRECT(ADDRESS(ROW(NOTA[ID]),COLUMN(NOTA[ID]))&amp;":"&amp;ADDRESS(ROW(),COLUMN(NOTA[ID]))),-1)))</f>
        <v>HANSA</v>
      </c>
      <c r="AI554" s="49" t="str">
        <f ca="1">IF(NOTA[[#This Row],[ID_H]]="","",IF(NOTA[[#This Row],[FAKTUR]]="",INDIRECT(ADDRESS(ROW()-1,COLUMN())),NOTA[[#This Row],[FAKTUR]]))</f>
        <v>UNTANA</v>
      </c>
      <c r="AJ554" s="38">
        <f ca="1">IF(NOTA[[#This Row],[ID]]="","",COUNTIF(NOTA[ID_H],NOTA[[#This Row],[ID_H]]))</f>
        <v>6</v>
      </c>
      <c r="AK554" s="38">
        <f>IF(NOTA[[#This Row],[TGL.NOTA]]="",IF(NOTA[[#This Row],[SUPPLIER_H]]="","",AK553),MONTH(NOTA[[#This Row],[TGL.NOTA]]))</f>
        <v>1</v>
      </c>
      <c r="AL55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554" s="38" t="str">
        <f>IF(NOTA[C]="",NOTA[[#This Row],[CONCAT1]]&amp;NOTA[[#This Row],[HARGA SATUAN]],NOTA[[#This Row],[CONCAT1]]&amp;NOTA[[#This Row],[HARGA/ CTN_H]]&amp;NOTA[[#This Row],[DISC 1]]&amp;NOTA[[#This Row],[DISC 2]])</f>
        <v>malamshintoengk612w1450</v>
      </c>
      <c r="AN554" s="184">
        <f>IF(NOTA[[#This Row],[CONCAT1]]="","",MATCH(NOTA[[#This Row],[CONCAT1]],[1]!db[NB NOTA_C],0)+1)</f>
        <v>1433</v>
      </c>
    </row>
    <row r="555" spans="1:40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Row],[CEK_EXP]]&lt;D554,"err","")</f>
        <v/>
      </c>
      <c r="D555" s="50">
        <f>IF(NOTA[[#This Row],[TANGGAL]]="",D554,NOTA[[#This Row],[TANGGAL]])</f>
        <v>44945</v>
      </c>
      <c r="E555" s="50">
        <f ca="1">IF(NOTA[[#This Row],[NAMA BARANG]]="","",INDEX(NOTA[ID],MATCH(,INDIRECT(ADDRESS(ROW(NOTA[ID]),COLUMN(NOTA[ID]))&amp;":"&amp;ADDRESS(ROW(),COLUMN(NOTA[ID]))),-1)))</f>
        <v>104</v>
      </c>
      <c r="F555" s="23"/>
      <c r="G555" s="26"/>
      <c r="H555" s="26"/>
      <c r="I555" s="31"/>
      <c r="J555" s="26"/>
      <c r="K555" s="51"/>
      <c r="L555" s="26"/>
      <c r="M555" s="49" t="s">
        <v>718</v>
      </c>
      <c r="N555" s="39"/>
      <c r="O555" s="26">
        <v>60</v>
      </c>
      <c r="P555" s="26" t="s">
        <v>104</v>
      </c>
      <c r="Q555" s="49">
        <v>1450</v>
      </c>
      <c r="R555" s="52"/>
      <c r="S555" s="39"/>
      <c r="T555" s="53"/>
      <c r="U555" s="53"/>
      <c r="V555" s="54"/>
      <c r="W555" s="37"/>
      <c r="X555" s="54">
        <f>IF(NOTA[[#This Row],[HARGA/ CTN]]="",NOTA[[#This Row],[JUMLAH_H]],NOTA[[#This Row],[HARGA/ CTN]]*IF(NOTA[[#This Row],[C]]="",0,NOTA[[#This Row],[C]]))</f>
        <v>87000</v>
      </c>
      <c r="Y555" s="54">
        <f>IF(NOTA[[#This Row],[JUMLAH]]="","",NOTA[[#This Row],[JUMLAH]]*NOTA[[#This Row],[DISC 1]])</f>
        <v>0</v>
      </c>
      <c r="Z555" s="54">
        <f>IF(NOTA[[#This Row],[JUMLAH]]="","",(NOTA[[#This Row],[JUMLAH]]-NOTA[[#This Row],[DISC 1-]])*NOTA[[#This Row],[DISC 2]])</f>
        <v>0</v>
      </c>
      <c r="AA555" s="54">
        <f>IF(NOTA[[#This Row],[JUMLAH]]="","",NOTA[[#This Row],[DISC 1-]]+NOTA[[#This Row],[DISC 2-]])</f>
        <v>0</v>
      </c>
      <c r="AB555" s="54">
        <f>IF(NOTA[[#This Row],[JUMLAH]]="","",NOTA[[#This Row],[JUMLAH]]-NOTA[[#This Row],[DISC]])</f>
        <v>87000</v>
      </c>
      <c r="AC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F555" s="54">
        <f>IF(OR(NOTA[[#This Row],[QTY]]="",NOTA[[#This Row],[HARGA SATUAN]]="",),"",NOTA[[#This Row],[QTY]]*NOTA[[#This Row],[HARGA SATUAN]])</f>
        <v>87000</v>
      </c>
      <c r="AG555" s="51">
        <f ca="1">IF(NOTA[ID_H]="","",INDEX(NOTA[TANGGAL],MATCH(,INDIRECT(ADDRESS(ROW(NOTA[TANGGAL]),COLUMN(NOTA[TANGGAL]))&amp;":"&amp;ADDRESS(ROW(),COLUMN(NOTA[TANGGAL]))),-1)))</f>
        <v>44945</v>
      </c>
      <c r="AH555" s="49" t="str">
        <f ca="1">IF(NOTA[[#This Row],[NAMA BARANG]]="","",INDEX(NOTA[SUPPLIER],MATCH(,INDIRECT(ADDRESS(ROW(NOTA[ID]),COLUMN(NOTA[ID]))&amp;":"&amp;ADDRESS(ROW(),COLUMN(NOTA[ID]))),-1)))</f>
        <v>HANSA</v>
      </c>
      <c r="AI555" s="49" t="str">
        <f ca="1">IF(NOTA[[#This Row],[ID_H]]="","",IF(NOTA[[#This Row],[FAKTUR]]="",INDIRECT(ADDRESS(ROW()-1,COLUMN())),NOTA[[#This Row],[FAKTUR]]))</f>
        <v>UNTANA</v>
      </c>
      <c r="AJ555" s="38" t="str">
        <f ca="1">IF(NOTA[[#This Row],[ID]]="","",COUNTIF(NOTA[ID_H],NOTA[[#This Row],[ID_H]]))</f>
        <v/>
      </c>
      <c r="AK555" s="38">
        <f ca="1">IF(NOTA[[#This Row],[TGL.NOTA]]="",IF(NOTA[[#This Row],[SUPPLIER_H]]="","",AK554),MONTH(NOTA[[#This Row],[TGL.NOTA]]))</f>
        <v>1</v>
      </c>
      <c r="AL555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555" s="38" t="str">
        <f>IF(NOTA[C]="",NOTA[[#This Row],[CONCAT1]]&amp;NOTA[[#This Row],[HARGA SATUAN]],NOTA[[#This Row],[CONCAT1]]&amp;NOTA[[#This Row],[HARGA/ CTN_H]]&amp;NOTA[[#This Row],[DISC 1]]&amp;NOTA[[#This Row],[DISC 2]])</f>
        <v>malamshintoengk1wpolos1450</v>
      </c>
      <c r="AN555" s="184">
        <f>IF(NOTA[[#This Row],[CONCAT1]]="","",MATCH(NOTA[[#This Row],[CONCAT1]],[1]!db[NB NOTA_C],0)+1)</f>
        <v>1432</v>
      </c>
    </row>
    <row r="556" spans="1:40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Row],[CEK_EXP]]&lt;D555,"err","")</f>
        <v/>
      </c>
      <c r="D556" s="50">
        <f>IF(NOTA[[#This Row],[TANGGAL]]="",D555,NOTA[[#This Row],[TANGGAL]])</f>
        <v>44945</v>
      </c>
      <c r="E556" s="50">
        <f ca="1">IF(NOTA[[#This Row],[NAMA BARANG]]="","",INDEX(NOTA[ID],MATCH(,INDIRECT(ADDRESS(ROW(NOTA[ID]),COLUMN(NOTA[ID]))&amp;":"&amp;ADDRESS(ROW(),COLUMN(NOTA[ID]))),-1)))</f>
        <v>104</v>
      </c>
      <c r="F556" s="23"/>
      <c r="G556" s="26"/>
      <c r="H556" s="26"/>
      <c r="I556" s="31"/>
      <c r="J556" s="26"/>
      <c r="K556" s="51"/>
      <c r="L556" s="26"/>
      <c r="M556" s="26" t="s">
        <v>719</v>
      </c>
      <c r="N556" s="39"/>
      <c r="O556" s="26">
        <v>60</v>
      </c>
      <c r="P556" s="26" t="s">
        <v>104</v>
      </c>
      <c r="Q556" s="49">
        <v>3900</v>
      </c>
      <c r="R556" s="52"/>
      <c r="S556" s="39"/>
      <c r="T556" s="53"/>
      <c r="U556" s="53"/>
      <c r="V556" s="54"/>
      <c r="W556" s="37"/>
      <c r="X556" s="54">
        <f>IF(NOTA[[#This Row],[HARGA/ CTN]]="",NOTA[[#This Row],[JUMLAH_H]],NOTA[[#This Row],[HARGA/ CTN]]*IF(NOTA[[#This Row],[C]]="",0,NOTA[[#This Row],[C]]))</f>
        <v>234000</v>
      </c>
      <c r="Y556" s="54">
        <f>IF(NOTA[[#This Row],[JUMLAH]]="","",NOTA[[#This Row],[JUMLAH]]*NOTA[[#This Row],[DISC 1]])</f>
        <v>0</v>
      </c>
      <c r="Z556" s="54">
        <f>IF(NOTA[[#This Row],[JUMLAH]]="","",(NOTA[[#This Row],[JUMLAH]]-NOTA[[#This Row],[DISC 1-]])*NOTA[[#This Row],[DISC 2]])</f>
        <v>0</v>
      </c>
      <c r="AA556" s="54">
        <f>IF(NOTA[[#This Row],[JUMLAH]]="","",NOTA[[#This Row],[DISC 1-]]+NOTA[[#This Row],[DISC 2-]])</f>
        <v>0</v>
      </c>
      <c r="AB556" s="54">
        <f>IF(NOTA[[#This Row],[JUMLAH]]="","",NOTA[[#This Row],[JUMLAH]]-NOTA[[#This Row],[DISC]])</f>
        <v>234000</v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49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56" s="54">
        <f>IF(OR(NOTA[[#This Row],[QTY]]="",NOTA[[#This Row],[HARGA SATUAN]]="",),"",NOTA[[#This Row],[QTY]]*NOTA[[#This Row],[HARGA SATUAN]])</f>
        <v>234000</v>
      </c>
      <c r="AG556" s="51">
        <f ca="1">IF(NOTA[ID_H]="","",INDEX(NOTA[TANGGAL],MATCH(,INDIRECT(ADDRESS(ROW(NOTA[TANGGAL]),COLUMN(NOTA[TANGGAL]))&amp;":"&amp;ADDRESS(ROW(),COLUMN(NOTA[TANGGAL]))),-1)))</f>
        <v>44945</v>
      </c>
      <c r="AH556" s="49" t="str">
        <f ca="1">IF(NOTA[[#This Row],[NAMA BARANG]]="","",INDEX(NOTA[SUPPLIER],MATCH(,INDIRECT(ADDRESS(ROW(NOTA[ID]),COLUMN(NOTA[ID]))&amp;":"&amp;ADDRESS(ROW(),COLUMN(NOTA[ID]))),-1)))</f>
        <v>HANSA</v>
      </c>
      <c r="AI556" s="49" t="str">
        <f ca="1">IF(NOTA[[#This Row],[ID_H]]="","",IF(NOTA[[#This Row],[FAKTUR]]="",INDIRECT(ADDRESS(ROW()-1,COLUMN())),NOTA[[#This Row],[FAKTUR]]))</f>
        <v>UNTANA</v>
      </c>
      <c r="AJ556" s="38" t="str">
        <f ca="1">IF(NOTA[[#This Row],[ID]]="","",COUNTIF(NOTA[ID_H],NOTA[[#This Row],[ID_H]]))</f>
        <v/>
      </c>
      <c r="AK556" s="38">
        <f ca="1">IF(NOTA[[#This Row],[TGL.NOTA]]="",IF(NOTA[[#This Row],[SUPPLIER_H]]="","",AK555),MONTH(NOTA[[#This Row],[TGL.NOTA]]))</f>
        <v>1</v>
      </c>
      <c r="AL55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556" s="38" t="str">
        <f>IF(NOTA[C]="",NOTA[[#This Row],[CONCAT1]]&amp;NOTA[[#This Row],[HARGA SATUAN]],NOTA[[#This Row],[CONCAT1]]&amp;NOTA[[#This Row],[HARGA/ CTN_H]]&amp;NOTA[[#This Row],[DISC 1]]&amp;NOTA[[#This Row],[DISC 2]])</f>
        <v>malamshintoengtg1wpolos3900</v>
      </c>
      <c r="AN556" s="184">
        <f>IF(NOTA[[#This Row],[CONCAT1]]="","",MATCH(NOTA[[#This Row],[CONCAT1]],[1]!db[NB NOTA_C],0)+1)</f>
        <v>1435</v>
      </c>
    </row>
    <row r="557" spans="1:40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Row],[CEK_EXP]]&lt;D556,"err","")</f>
        <v/>
      </c>
      <c r="D557" s="50">
        <f>IF(NOTA[[#This Row],[TANGGAL]]="",D556,NOTA[[#This Row],[TANGGAL]])</f>
        <v>44945</v>
      </c>
      <c r="E557" s="50">
        <f ca="1">IF(NOTA[[#This Row],[NAMA BARANG]]="","",INDEX(NOTA[ID],MATCH(,INDIRECT(ADDRESS(ROW(NOTA[ID]),COLUMN(NOTA[ID]))&amp;":"&amp;ADDRESS(ROW(),COLUMN(NOTA[ID]))),-1)))</f>
        <v>104</v>
      </c>
      <c r="F557" s="23"/>
      <c r="G557" s="26"/>
      <c r="H557" s="26"/>
      <c r="I557" s="31"/>
      <c r="J557" s="26"/>
      <c r="K557" s="51"/>
      <c r="L557" s="26"/>
      <c r="M557" s="26" t="s">
        <v>720</v>
      </c>
      <c r="N557" s="39"/>
      <c r="O557" s="26">
        <v>60</v>
      </c>
      <c r="P557" s="26" t="s">
        <v>104</v>
      </c>
      <c r="Q557" s="49">
        <v>4100</v>
      </c>
      <c r="R557" s="52"/>
      <c r="S557" s="39"/>
      <c r="T557" s="53"/>
      <c r="U557" s="53"/>
      <c r="V557" s="54"/>
      <c r="W557" s="37"/>
      <c r="X557" s="54">
        <f>IF(NOTA[[#This Row],[HARGA/ CTN]]="",NOTA[[#This Row],[JUMLAH_H]],NOTA[[#This Row],[HARGA/ CTN]]*IF(NOTA[[#This Row],[C]]="",0,NOTA[[#This Row],[C]]))</f>
        <v>246000</v>
      </c>
      <c r="Y557" s="54">
        <f>IF(NOTA[[#This Row],[JUMLAH]]="","",NOTA[[#This Row],[JUMLAH]]*NOTA[[#This Row],[DISC 1]])</f>
        <v>0</v>
      </c>
      <c r="Z557" s="54">
        <f>IF(NOTA[[#This Row],[JUMLAH]]="","",(NOTA[[#This Row],[JUMLAH]]-NOTA[[#This Row],[DISC 1-]])*NOTA[[#This Row],[DISC 2]])</f>
        <v>0</v>
      </c>
      <c r="AA557" s="54">
        <f>IF(NOTA[[#This Row],[JUMLAH]]="","",NOTA[[#This Row],[DISC 1-]]+NOTA[[#This Row],[DISC 2-]])</f>
        <v>0</v>
      </c>
      <c r="AB557" s="54">
        <f>IF(NOTA[[#This Row],[JUMLAH]]="","",NOTA[[#This Row],[JUMLAH]]-NOTA[[#This Row],[DISC]])</f>
        <v>246000</v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49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57" s="54">
        <f>IF(OR(NOTA[[#This Row],[QTY]]="",NOTA[[#This Row],[HARGA SATUAN]]="",),"",NOTA[[#This Row],[QTY]]*NOTA[[#This Row],[HARGA SATUAN]])</f>
        <v>246000</v>
      </c>
      <c r="AG557" s="51">
        <f ca="1">IF(NOTA[ID_H]="","",INDEX(NOTA[TANGGAL],MATCH(,INDIRECT(ADDRESS(ROW(NOTA[TANGGAL]),COLUMN(NOTA[TANGGAL]))&amp;":"&amp;ADDRESS(ROW(),COLUMN(NOTA[TANGGAL]))),-1)))</f>
        <v>44945</v>
      </c>
      <c r="AH557" s="49" t="str">
        <f ca="1">IF(NOTA[[#This Row],[NAMA BARANG]]="","",INDEX(NOTA[SUPPLIER],MATCH(,INDIRECT(ADDRESS(ROW(NOTA[ID]),COLUMN(NOTA[ID]))&amp;":"&amp;ADDRESS(ROW(),COLUMN(NOTA[ID]))),-1)))</f>
        <v>HANSA</v>
      </c>
      <c r="AI557" s="49" t="str">
        <f ca="1">IF(NOTA[[#This Row],[ID_H]]="","",IF(NOTA[[#This Row],[FAKTUR]]="",INDIRECT(ADDRESS(ROW()-1,COLUMN())),NOTA[[#This Row],[FAKTUR]]))</f>
        <v>UNTANA</v>
      </c>
      <c r="AJ557" s="38" t="str">
        <f ca="1">IF(NOTA[[#This Row],[ID]]="","",COUNTIF(NOTA[ID_H],NOTA[[#This Row],[ID_H]]))</f>
        <v/>
      </c>
      <c r="AK557" s="38">
        <f ca="1">IF(NOTA[[#This Row],[TGL.NOTA]]="",IF(NOTA[[#This Row],[SUPPLIER_H]]="","",AK556),MONTH(NOTA[[#This Row],[TGL.NOTA]]))</f>
        <v>1</v>
      </c>
      <c r="AL55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557" s="38" t="str">
        <f>IF(NOTA[C]="",NOTA[[#This Row],[CONCAT1]]&amp;NOTA[[#This Row],[HARGA SATUAN]],NOTA[[#This Row],[CONCAT1]]&amp;NOTA[[#This Row],[HARGA/ CTN_H]]&amp;NOTA[[#This Row],[DISC 1]]&amp;NOTA[[#This Row],[DISC 2]])</f>
        <v>malamshintoengtg612w4100</v>
      </c>
      <c r="AN557" s="184">
        <f>IF(NOTA[[#This Row],[CONCAT1]]="","",MATCH(NOTA[[#This Row],[CONCAT1]],[1]!db[NB NOTA_C],0)+1)</f>
        <v>1437</v>
      </c>
    </row>
    <row r="558" spans="1:40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Row],[CEK_EXP]]&lt;D557,"err","")</f>
        <v/>
      </c>
      <c r="D558" s="50">
        <f>IF(NOTA[[#This Row],[TANGGAL]]="",D557,NOTA[[#This Row],[TANGGAL]])</f>
        <v>44945</v>
      </c>
      <c r="E558" s="50">
        <f ca="1">IF(NOTA[[#This Row],[NAMA BARANG]]="","",INDEX(NOTA[ID],MATCH(,INDIRECT(ADDRESS(ROW(NOTA[ID]),COLUMN(NOTA[ID]))&amp;":"&amp;ADDRESS(ROW(),COLUMN(NOTA[ID]))),-1)))</f>
        <v>104</v>
      </c>
      <c r="F558" s="23"/>
      <c r="G558" s="26"/>
      <c r="H558" s="26"/>
      <c r="I558" s="31"/>
      <c r="J558" s="26"/>
      <c r="K558" s="51"/>
      <c r="L558" s="26"/>
      <c r="M558" s="26" t="s">
        <v>721</v>
      </c>
      <c r="N558" s="39"/>
      <c r="O558" s="26">
        <v>60</v>
      </c>
      <c r="P558" s="26" t="s">
        <v>104</v>
      </c>
      <c r="Q558" s="49">
        <v>5200</v>
      </c>
      <c r="R558" s="52"/>
      <c r="S558" s="39"/>
      <c r="T558" s="53"/>
      <c r="U558" s="53"/>
      <c r="V558" s="54"/>
      <c r="W558" s="37"/>
      <c r="X558" s="54">
        <f>IF(NOTA[[#This Row],[HARGA/ CTN]]="",NOTA[[#This Row],[JUMLAH_H]],NOTA[[#This Row],[HARGA/ CTN]]*IF(NOTA[[#This Row],[C]]="",0,NOTA[[#This Row],[C]]))</f>
        <v>312000</v>
      </c>
      <c r="Y558" s="54">
        <f>IF(NOTA[[#This Row],[JUMLAH]]="","",NOTA[[#This Row],[JUMLAH]]*NOTA[[#This Row],[DISC 1]])</f>
        <v>0</v>
      </c>
      <c r="Z558" s="54">
        <f>IF(NOTA[[#This Row],[JUMLAH]]="","",(NOTA[[#This Row],[JUMLAH]]-NOTA[[#This Row],[DISC 1-]])*NOTA[[#This Row],[DISC 2]])</f>
        <v>0</v>
      </c>
      <c r="AA558" s="54">
        <f>IF(NOTA[[#This Row],[JUMLAH]]="","",NOTA[[#This Row],[DISC 1-]]+NOTA[[#This Row],[DISC 2-]])</f>
        <v>0</v>
      </c>
      <c r="AB558" s="54">
        <f>IF(NOTA[[#This Row],[JUMLAH]]="","",NOTA[[#This Row],[JUMLAH]]-NOTA[[#This Row],[DISC]])</f>
        <v>312000</v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49">
        <f>IF(NOTA[[#This Row],[NAMA BARANG]]="","",IF(NOTA[[#This Row],[JUMLAH_H]]="",NOTA[[#This Row],[HARGA/ CTN]],NOTA[[#This Row],[QTY]]*NOTA[[#This Row],[HARGA SATUAN]]/IF(ISNUMBER(NOTA[[#This Row],[C]]),NOTA[[#This Row],[C]],1)))</f>
        <v>312000</v>
      </c>
      <c r="AF558" s="54">
        <f>IF(OR(NOTA[[#This Row],[QTY]]="",NOTA[[#This Row],[HARGA SATUAN]]="",),"",NOTA[[#This Row],[QTY]]*NOTA[[#This Row],[HARGA SATUAN]])</f>
        <v>312000</v>
      </c>
      <c r="AG558" s="51">
        <f ca="1">IF(NOTA[ID_H]="","",INDEX(NOTA[TANGGAL],MATCH(,INDIRECT(ADDRESS(ROW(NOTA[TANGGAL]),COLUMN(NOTA[TANGGAL]))&amp;":"&amp;ADDRESS(ROW(),COLUMN(NOTA[TANGGAL]))),-1)))</f>
        <v>44945</v>
      </c>
      <c r="AH558" s="49" t="str">
        <f ca="1">IF(NOTA[[#This Row],[NAMA BARANG]]="","",INDEX(NOTA[SUPPLIER],MATCH(,INDIRECT(ADDRESS(ROW(NOTA[ID]),COLUMN(NOTA[ID]))&amp;":"&amp;ADDRESS(ROW(),COLUMN(NOTA[ID]))),-1)))</f>
        <v>HANSA</v>
      </c>
      <c r="AI558" s="49" t="str">
        <f ca="1">IF(NOTA[[#This Row],[ID_H]]="","",IF(NOTA[[#This Row],[FAKTUR]]="",INDIRECT(ADDRESS(ROW()-1,COLUMN())),NOTA[[#This Row],[FAKTUR]]))</f>
        <v>UNTANA</v>
      </c>
      <c r="AJ558" s="38" t="str">
        <f ca="1">IF(NOTA[[#This Row],[ID]]="","",COUNTIF(NOTA[ID_H],NOTA[[#This Row],[ID_H]]))</f>
        <v/>
      </c>
      <c r="AK558" s="38">
        <f ca="1">IF(NOTA[[#This Row],[TGL.NOTA]]="",IF(NOTA[[#This Row],[SUPPLIER_H]]="","",AK557),MONTH(NOTA[[#This Row],[TGL.NOTA]]))</f>
        <v>1</v>
      </c>
      <c r="AL55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558" s="38" t="str">
        <f>IF(NOTA[C]="",NOTA[[#This Row],[CONCAT1]]&amp;NOTA[[#This Row],[HARGA SATUAN]],NOTA[[#This Row],[CONCAT1]]&amp;NOTA[[#This Row],[HARGA/ CTN_H]]&amp;NOTA[[#This Row],[DISC 1]]&amp;NOTA[[#This Row],[DISC 2]])</f>
        <v>malamshintoengb1wpolos5200</v>
      </c>
      <c r="AN558" s="184">
        <f>IF(NOTA[[#This Row],[CONCAT1]]="","",MATCH(NOTA[[#This Row],[CONCAT1]],[1]!db[NB NOTA_C],0)+1)</f>
        <v>1430</v>
      </c>
    </row>
    <row r="559" spans="1:40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Row],[CEK_EXP]]&lt;D558,"err","")</f>
        <v/>
      </c>
      <c r="D559" s="50">
        <f>IF(NOTA[[#This Row],[TANGGAL]]="",D558,NOTA[[#This Row],[TANGGAL]])</f>
        <v>44945</v>
      </c>
      <c r="E559" s="50">
        <f ca="1">IF(NOTA[[#This Row],[NAMA BARANG]]="","",INDEX(NOTA[ID],MATCH(,INDIRECT(ADDRESS(ROW(NOTA[ID]),COLUMN(NOTA[ID]))&amp;":"&amp;ADDRESS(ROW(),COLUMN(NOTA[ID]))),-1)))</f>
        <v>104</v>
      </c>
      <c r="F559" s="23"/>
      <c r="G559" s="26"/>
      <c r="H559" s="26"/>
      <c r="I559" s="31"/>
      <c r="J559" s="26"/>
      <c r="K559" s="51"/>
      <c r="L559" s="26"/>
      <c r="M559" s="26" t="s">
        <v>722</v>
      </c>
      <c r="N559" s="39"/>
      <c r="O559" s="26">
        <v>60</v>
      </c>
      <c r="P559" s="26" t="s">
        <v>104</v>
      </c>
      <c r="Q559" s="49">
        <v>5500</v>
      </c>
      <c r="R559" s="52"/>
      <c r="S559" s="39"/>
      <c r="T559" s="53"/>
      <c r="U559" s="53"/>
      <c r="V559" s="54"/>
      <c r="W559" s="37"/>
      <c r="X559" s="54">
        <f>IF(NOTA[[#This Row],[HARGA/ CTN]]="",NOTA[[#This Row],[JUMLAH_H]],NOTA[[#This Row],[HARGA/ CTN]]*IF(NOTA[[#This Row],[C]]="",0,NOTA[[#This Row],[C]]))</f>
        <v>330000</v>
      </c>
      <c r="Y559" s="54">
        <f>IF(NOTA[[#This Row],[JUMLAH]]="","",NOTA[[#This Row],[JUMLAH]]*NOTA[[#This Row],[DISC 1]])</f>
        <v>0</v>
      </c>
      <c r="Z559" s="54">
        <f>IF(NOTA[[#This Row],[JUMLAH]]="","",(NOTA[[#This Row],[JUMLAH]]-NOTA[[#This Row],[DISC 1-]])*NOTA[[#This Row],[DISC 2]])</f>
        <v>0</v>
      </c>
      <c r="AA559" s="54">
        <f>IF(NOTA[[#This Row],[JUMLAH]]="","",NOTA[[#This Row],[DISC 1-]]+NOTA[[#This Row],[DISC 2-]])</f>
        <v>0</v>
      </c>
      <c r="AB559" s="54">
        <f>IF(NOTA[[#This Row],[JUMLAH]]="","",NOTA[[#This Row],[JUMLAH]]-NOTA[[#This Row],[DISC]])</f>
        <v>330000</v>
      </c>
      <c r="AC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</v>
      </c>
      <c r="AE559" s="49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F559" s="54">
        <f>IF(OR(NOTA[[#This Row],[QTY]]="",NOTA[[#This Row],[HARGA SATUAN]]="",),"",NOTA[[#This Row],[QTY]]*NOTA[[#This Row],[HARGA SATUAN]])</f>
        <v>330000</v>
      </c>
      <c r="AG559" s="51">
        <f ca="1">IF(NOTA[ID_H]="","",INDEX(NOTA[TANGGAL],MATCH(,INDIRECT(ADDRESS(ROW(NOTA[TANGGAL]),COLUMN(NOTA[TANGGAL]))&amp;":"&amp;ADDRESS(ROW(),COLUMN(NOTA[TANGGAL]))),-1)))</f>
        <v>44945</v>
      </c>
      <c r="AH559" s="49" t="str">
        <f ca="1">IF(NOTA[[#This Row],[NAMA BARANG]]="","",INDEX(NOTA[SUPPLIER],MATCH(,INDIRECT(ADDRESS(ROW(NOTA[ID]),COLUMN(NOTA[ID]))&amp;":"&amp;ADDRESS(ROW(),COLUMN(NOTA[ID]))),-1)))</f>
        <v>HANSA</v>
      </c>
      <c r="AI559" s="49" t="str">
        <f ca="1">IF(NOTA[[#This Row],[ID_H]]="","",IF(NOTA[[#This Row],[FAKTUR]]="",INDIRECT(ADDRESS(ROW()-1,COLUMN())),NOTA[[#This Row],[FAKTUR]]))</f>
        <v>UNTANA</v>
      </c>
      <c r="AJ559" s="38" t="str">
        <f ca="1">IF(NOTA[[#This Row],[ID]]="","",COUNTIF(NOTA[ID_H],NOTA[[#This Row],[ID_H]]))</f>
        <v/>
      </c>
      <c r="AK559" s="38">
        <f ca="1">IF(NOTA[[#This Row],[TGL.NOTA]]="",IF(NOTA[[#This Row],[SUPPLIER_H]]="","",AK558),MONTH(NOTA[[#This Row],[TGL.NOTA]]))</f>
        <v>1</v>
      </c>
      <c r="AL55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559" s="38" t="str">
        <f>IF(NOTA[C]="",NOTA[[#This Row],[CONCAT1]]&amp;NOTA[[#This Row],[HARGA SATUAN]],NOTA[[#This Row],[CONCAT1]]&amp;NOTA[[#This Row],[HARGA/ CTN_H]]&amp;NOTA[[#This Row],[DISC 1]]&amp;NOTA[[#This Row],[DISC 2]])</f>
        <v>malamshintoengb612w5500</v>
      </c>
      <c r="AN559" s="184">
        <f>IF(NOTA[[#This Row],[CONCAT1]]="","",MATCH(NOTA[[#This Row],[CONCAT1]],[1]!db[NB NOTA_C],0)+1)</f>
        <v>1431</v>
      </c>
    </row>
    <row r="560" spans="1:40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Row],[CEK_EXP]]&lt;D559,"err","")</f>
        <v/>
      </c>
      <c r="D560" s="50">
        <f>IF(NOTA[[#This Row],[TANGGAL]]="",D559,NOTA[[#This Row],[TANGGAL]])</f>
        <v>44945</v>
      </c>
      <c r="E560" s="50" t="str">
        <f ca="1">IF(NOTA[[#This Row],[NAMA BARANG]]="","",INDEX(NOTA[ID],MATCH(,INDIRECT(ADDRESS(ROW(NOTA[ID]),COLUMN(NOTA[ID]))&amp;":"&amp;ADDRESS(ROW(),COLUMN(NOTA[ID]))),-1)))</f>
        <v/>
      </c>
      <c r="F560" s="23"/>
      <c r="G560" s="26"/>
      <c r="H560" s="26"/>
      <c r="I560" s="31"/>
      <c r="J560" s="26"/>
      <c r="K560" s="51"/>
      <c r="L560" s="26"/>
      <c r="M560" s="26"/>
      <c r="N560" s="39"/>
      <c r="O560" s="26"/>
      <c r="P560" s="26"/>
      <c r="Q560" s="49"/>
      <c r="R560" s="52"/>
      <c r="S560" s="39"/>
      <c r="T560" s="53"/>
      <c r="U560" s="53"/>
      <c r="V560" s="54"/>
      <c r="W560" s="37"/>
      <c r="X560" s="54" t="str">
        <f>IF(NOTA[[#This Row],[HARGA/ CTN]]="",NOTA[[#This Row],[JUMLAH_H]],NOTA[[#This Row],[HARGA/ CTN]]*IF(NOTA[[#This Row],[C]]="",0,NOTA[[#This Row],[C]]))</f>
        <v/>
      </c>
      <c r="Y560" s="54" t="str">
        <f>IF(NOTA[[#This Row],[JUMLAH]]="","",NOTA[[#This Row],[JUMLAH]]*NOTA[[#This Row],[DISC 1]])</f>
        <v/>
      </c>
      <c r="Z560" s="54" t="str">
        <f>IF(NOTA[[#This Row],[JUMLAH]]="","",(NOTA[[#This Row],[JUMLAH]]-NOTA[[#This Row],[DISC 1-]])*NOTA[[#This Row],[DISC 2]])</f>
        <v/>
      </c>
      <c r="AA560" s="54" t="str">
        <f>IF(NOTA[[#This Row],[JUMLAH]]="","",NOTA[[#This Row],[DISC 1-]]+NOTA[[#This Row],[DISC 2-]])</f>
        <v/>
      </c>
      <c r="AB560" s="54" t="str">
        <f>IF(NOTA[[#This Row],[JUMLAH]]="","",NOTA[[#This Row],[JUMLAH]]-NOTA[[#This Row],[DISC]])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0" s="54" t="str">
        <f>IF(OR(NOTA[[#This Row],[QTY]]="",NOTA[[#This Row],[HARGA SATUAN]]="",),"",NOTA[[#This Row],[QTY]]*NOTA[[#This Row],[HARGA SATUAN]])</f>
        <v/>
      </c>
      <c r="AG560" s="51" t="str">
        <f ca="1">IF(NOTA[ID_H]="","",INDEX(NOTA[TANGGAL],MATCH(,INDIRECT(ADDRESS(ROW(NOTA[TANGGAL]),COLUMN(NOTA[TANGGAL]))&amp;":"&amp;ADDRESS(ROW(),COLUMN(NOTA[TANGGAL]))),-1)))</f>
        <v/>
      </c>
      <c r="AH560" s="49" t="str">
        <f ca="1">IF(NOTA[[#This Row],[NAMA BARANG]]="","",INDEX(NOTA[SUPPLIER],MATCH(,INDIRECT(ADDRESS(ROW(NOTA[ID]),COLUMN(NOTA[ID]))&amp;":"&amp;ADDRESS(ROW(),COLUMN(NOTA[ID]))),-1)))</f>
        <v/>
      </c>
      <c r="AI560" s="49" t="str">
        <f ca="1">IF(NOTA[[#This Row],[ID_H]]="","",IF(NOTA[[#This Row],[FAKTUR]]="",INDIRECT(ADDRESS(ROW()-1,COLUMN())),NOTA[[#This Row],[FAKTUR]]))</f>
        <v/>
      </c>
      <c r="AJ560" s="38" t="str">
        <f ca="1">IF(NOTA[[#This Row],[ID]]="","",COUNTIF(NOTA[ID_H],NOTA[[#This Row],[ID_H]]))</f>
        <v/>
      </c>
      <c r="AK560" s="38" t="str">
        <f ca="1">IF(NOTA[[#This Row],[TGL.NOTA]]="",IF(NOTA[[#This Row],[SUPPLIER_H]]="","",AK559),MONTH(NOTA[[#This Row],[TGL.NOTA]]))</f>
        <v/>
      </c>
      <c r="AL560" s="38" t="str">
        <f>LOWER(SUBSTITUTE(SUBSTITUTE(SUBSTITUTE(SUBSTITUTE(SUBSTITUTE(SUBSTITUTE(SUBSTITUTE(SUBSTITUTE(SUBSTITUTE(NOTA[NAMA BARANG]," ",),".",""),"-",""),"(",""),")",""),",",""),"/",""),"""",""),"+",""))</f>
        <v/>
      </c>
      <c r="AM560" s="38" t="str">
        <f>IF(NOTA[C]="",NOTA[[#This Row],[CONCAT1]]&amp;NOTA[[#This Row],[HARGA SATUAN]],NOTA[[#This Row],[CONCAT1]]&amp;NOTA[[#This Row],[HARGA/ CTN_H]]&amp;NOTA[[#This Row],[DISC 1]]&amp;NOTA[[#This Row],[DISC 2]])</f>
        <v/>
      </c>
      <c r="AN560" s="184" t="str">
        <f>IF(NOTA[[#This Row],[CONCAT1]]="","",MATCH(NOTA[[#This Row],[CONCAT1]],[1]!db[NB NOTA_C],0)+1)</f>
        <v/>
      </c>
    </row>
    <row r="561" spans="1:40" ht="20.100000000000001" customHeight="1" x14ac:dyDescent="0.25">
      <c r="A561" s="49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LAY_2001_055-2</v>
      </c>
      <c r="C561" s="50" t="str">
        <f>IF(NOTA[[#This Row],[CEK_EXP]]&lt;D560,"err","")</f>
        <v/>
      </c>
      <c r="D561" s="50">
        <f>IF(NOTA[[#This Row],[TANGGAL]]="",D560,NOTA[[#This Row],[TANGGAL]])</f>
        <v>44946</v>
      </c>
      <c r="E561" s="50">
        <f ca="1">IF(NOTA[[#This Row],[NAMA BARANG]]="","",INDEX(NOTA[ID],MATCH(,INDIRECT(ADDRESS(ROW(NOTA[ID]),COLUMN(NOTA[ID]))&amp;":"&amp;ADDRESS(ROW(),COLUMN(NOTA[ID]))),-1)))</f>
        <v>105</v>
      </c>
      <c r="F561" s="23">
        <v>44946</v>
      </c>
      <c r="G561" s="26" t="s">
        <v>28</v>
      </c>
      <c r="H561" s="26" t="s">
        <v>24</v>
      </c>
      <c r="I561" s="31" t="s">
        <v>726</v>
      </c>
      <c r="J561" s="26">
        <v>201126</v>
      </c>
      <c r="K561" s="51">
        <v>44945</v>
      </c>
      <c r="L561" s="26"/>
      <c r="M561" s="26" t="s">
        <v>746</v>
      </c>
      <c r="N561" s="39">
        <v>30</v>
      </c>
      <c r="O561" s="26">
        <v>3000</v>
      </c>
      <c r="P561" s="26" t="s">
        <v>95</v>
      </c>
      <c r="Q561" s="49">
        <v>14000</v>
      </c>
      <c r="R561" s="52"/>
      <c r="S561" s="39" t="s">
        <v>122</v>
      </c>
      <c r="T561" s="53">
        <v>0.1</v>
      </c>
      <c r="U561" s="53"/>
      <c r="V561" s="54"/>
      <c r="W561" s="37"/>
      <c r="X561" s="54">
        <f>IF(NOTA[[#This Row],[HARGA/ CTN]]="",NOTA[[#This Row],[JUMLAH_H]],NOTA[[#This Row],[HARGA/ CTN]]*IF(NOTA[[#This Row],[C]]="",0,NOTA[[#This Row],[C]]))</f>
        <v>42000000</v>
      </c>
      <c r="Y561" s="54">
        <f>IF(NOTA[[#This Row],[JUMLAH]]="","",NOTA[[#This Row],[JUMLAH]]*NOTA[[#This Row],[DISC 1]])</f>
        <v>4200000</v>
      </c>
      <c r="Z561" s="54">
        <f>IF(NOTA[[#This Row],[JUMLAH]]="","",(NOTA[[#This Row],[JUMLAH]]-NOTA[[#This Row],[DISC 1-]])*NOTA[[#This Row],[DISC 2]])</f>
        <v>0</v>
      </c>
      <c r="AA561" s="54">
        <f>IF(NOTA[[#This Row],[JUMLAH]]="","",NOTA[[#This Row],[DISC 1-]]+NOTA[[#This Row],[DISC 2-]])</f>
        <v>4200000</v>
      </c>
      <c r="AB561" s="54">
        <f>IF(NOTA[[#This Row],[JUMLAH]]="","",NOTA[[#This Row],[JUMLAH]]-NOTA[[#This Row],[DISC]])</f>
        <v>37800000</v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61" s="54">
        <f>IF(OR(NOTA[[#This Row],[QTY]]="",NOTA[[#This Row],[HARGA SATUAN]]="",),"",NOTA[[#This Row],[QTY]]*NOTA[[#This Row],[HARGA SATUAN]])</f>
        <v>42000000</v>
      </c>
      <c r="AG561" s="51">
        <f ca="1">IF(NOTA[ID_H]="","",INDEX(NOTA[TANGGAL],MATCH(,INDIRECT(ADDRESS(ROW(NOTA[TANGGAL]),COLUMN(NOTA[TANGGAL]))&amp;":"&amp;ADDRESS(ROW(),COLUMN(NOTA[TANGGAL]))),-1)))</f>
        <v>44946</v>
      </c>
      <c r="AH561" s="49" t="str">
        <f ca="1">IF(NOTA[[#This Row],[NAMA BARANG]]="","",INDEX(NOTA[SUPPLIER],MATCH(,INDIRECT(ADDRESS(ROW(NOTA[ID]),COLUMN(NOTA[ID]))&amp;":"&amp;ADDRESS(ROW(),COLUMN(NOTA[ID]))),-1)))</f>
        <v>LAYS</v>
      </c>
      <c r="AI561" s="49" t="str">
        <f ca="1">IF(NOTA[[#This Row],[ID_H]]="","",IF(NOTA[[#This Row],[FAKTUR]]="",INDIRECT(ADDRESS(ROW()-1,COLUMN())),NOTA[[#This Row],[FAKTUR]]))</f>
        <v>ARTO MORO</v>
      </c>
      <c r="AJ561" s="38">
        <f ca="1">IF(NOTA[[#This Row],[ID]]="","",COUNTIF(NOTA[ID_H],NOTA[[#This Row],[ID_H]]))</f>
        <v>2</v>
      </c>
      <c r="AK561" s="38">
        <f>IF(NOTA[[#This Row],[TGL.NOTA]]="",IF(NOTA[[#This Row],[SUPPLIER_H]]="","",AK560),MONTH(NOTA[[#This Row],[TGL.NOTA]]))</f>
        <v>1</v>
      </c>
      <c r="AL561" s="38" t="str">
        <f>LOWER(SUBSTITUTE(SUBSTITUTE(SUBSTITUTE(SUBSTITUTE(SUBSTITUTE(SUBSTITUTE(SUBSTITUTE(SUBSTITUTE(SUBSTITUTE(NOTA[NAMA BARANG]," ",),".",""),"-",""),"(",""),")",""),",",""),"/",""),"""",""),"+",""))</f>
        <v>isigwno10</v>
      </c>
      <c r="AM561" s="38" t="str">
        <f>IF(NOTA[C]="",NOTA[[#This Row],[CONCAT1]]&amp;NOTA[[#This Row],[HARGA SATUAN]],NOTA[[#This Row],[CONCAT1]]&amp;NOTA[[#This Row],[HARGA/ CTN_H]]&amp;NOTA[[#This Row],[DISC 1]]&amp;NOTA[[#This Row],[DISC 2]])</f>
        <v>isigwno1014000000.1</v>
      </c>
      <c r="AN561" s="184">
        <f>IF(NOTA[[#This Row],[CONCAT1]]="","",MATCH(NOTA[[#This Row],[CONCAT1]],[1]!db[NB NOTA_C],0)+1)</f>
        <v>997</v>
      </c>
    </row>
    <row r="562" spans="1:40" s="38" customFormat="1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Row],[CEK_EXP]]&lt;D561,"err","")</f>
        <v/>
      </c>
      <c r="D562" s="50">
        <f>IF(NOTA[[#This Row],[TANGGAL]]="",D561,NOTA[[#This Row],[TANGGAL]])</f>
        <v>44946</v>
      </c>
      <c r="E562" s="50">
        <f ca="1">IF(NOTA[[#This Row],[NAMA BARANG]]="","",INDEX(NOTA[ID],MATCH(,INDIRECT(ADDRESS(ROW(NOTA[ID]),COLUMN(NOTA[ID]))&amp;":"&amp;ADDRESS(ROW(),COLUMN(NOTA[ID]))),-1)))</f>
        <v>105</v>
      </c>
      <c r="F562" s="23"/>
      <c r="G562" s="26"/>
      <c r="H562" s="26"/>
      <c r="I562" s="31"/>
      <c r="J562" s="26"/>
      <c r="K562" s="51"/>
      <c r="L562" s="26"/>
      <c r="M562" s="26" t="s">
        <v>747</v>
      </c>
      <c r="N562" s="39">
        <v>5</v>
      </c>
      <c r="O562" s="26">
        <v>250</v>
      </c>
      <c r="P562" s="26" t="s">
        <v>95</v>
      </c>
      <c r="Q562" s="49">
        <v>24000</v>
      </c>
      <c r="R562" s="52"/>
      <c r="S562" s="39" t="s">
        <v>727</v>
      </c>
      <c r="T562" s="53"/>
      <c r="U562" s="53"/>
      <c r="V562" s="54"/>
      <c r="W562" s="37"/>
      <c r="X562" s="54">
        <f>IF(NOTA[[#This Row],[HARGA/ CTN]]="",NOTA[[#This Row],[JUMLAH_H]],NOTA[[#This Row],[HARGA/ CTN]]*IF(NOTA[[#This Row],[C]]="",0,NOTA[[#This Row],[C]]))</f>
        <v>6000000</v>
      </c>
      <c r="Y562" s="54">
        <f>IF(NOTA[[#This Row],[JUMLAH]]="","",NOTA[[#This Row],[JUMLAH]]*NOTA[[#This Row],[DISC 1]])</f>
        <v>0</v>
      </c>
      <c r="Z562" s="54">
        <f>IF(NOTA[[#This Row],[JUMLAH]]="","",(NOTA[[#This Row],[JUMLAH]]-NOTA[[#This Row],[DISC 1-]])*NOTA[[#This Row],[DISC 2]])</f>
        <v>0</v>
      </c>
      <c r="AA562" s="54">
        <f>IF(NOTA[[#This Row],[JUMLAH]]="","",NOTA[[#This Row],[DISC 1-]]+NOTA[[#This Row],[DISC 2-]])</f>
        <v>0</v>
      </c>
      <c r="AB562" s="54">
        <f>IF(NOTA[[#This Row],[JUMLAH]]="","",NOTA[[#This Row],[JUMLAH]]-NOTA[[#This Row],[DISC]])</f>
        <v>6000000</v>
      </c>
      <c r="AC5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5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43800000</v>
      </c>
      <c r="AE562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2" s="54">
        <f>IF(OR(NOTA[[#This Row],[QTY]]="",NOTA[[#This Row],[HARGA SATUAN]]="",),"",NOTA[[#This Row],[QTY]]*NOTA[[#This Row],[HARGA SATUAN]])</f>
        <v>6000000</v>
      </c>
      <c r="AG562" s="51">
        <f ca="1">IF(NOTA[ID_H]="","",INDEX(NOTA[TANGGAL],MATCH(,INDIRECT(ADDRESS(ROW(NOTA[TANGGAL]),COLUMN(NOTA[TANGGAL]))&amp;":"&amp;ADDRESS(ROW(),COLUMN(NOTA[TANGGAL]))),-1)))</f>
        <v>44946</v>
      </c>
      <c r="AH562" s="49" t="str">
        <f ca="1">IF(NOTA[[#This Row],[NAMA BARANG]]="","",INDEX(NOTA[SUPPLIER],MATCH(,INDIRECT(ADDRESS(ROW(NOTA[ID]),COLUMN(NOTA[ID]))&amp;":"&amp;ADDRESS(ROW(),COLUMN(NOTA[ID]))),-1)))</f>
        <v>LAYS</v>
      </c>
      <c r="AI562" s="49" t="str">
        <f ca="1">IF(NOTA[[#This Row],[ID_H]]="","",IF(NOTA[[#This Row],[FAKTUR]]="",INDIRECT(ADDRESS(ROW()-1,COLUMN())),NOTA[[#This Row],[FAKTUR]]))</f>
        <v>ARTO MORO</v>
      </c>
      <c r="AJ562" s="38" t="str">
        <f ca="1">IF(NOTA[[#This Row],[ID]]="","",COUNTIF(NOTA[ID_H],NOTA[[#This Row],[ID_H]]))</f>
        <v/>
      </c>
      <c r="AK562" s="38">
        <f ca="1">IF(NOTA[[#This Row],[TGL.NOTA]]="",IF(NOTA[[#This Row],[SUPPLIER_H]]="","",AK561),MONTH(NOTA[[#This Row],[TGL.NOTA]]))</f>
        <v>1</v>
      </c>
      <c r="AL562" s="38" t="str">
        <f>LOWER(SUBSTITUTE(SUBSTITUTE(SUBSTITUTE(SUBSTITUTE(SUBSTITUTE(SUBSTITUTE(SUBSTITUTE(SUBSTITUTE(SUBSTITUTE(NOTA[NAMA BARANG]," ",),".",""),"-",""),"(",""),")",""),",",""),"/",""),"""",""),"+",""))</f>
        <v>isigwno369</v>
      </c>
      <c r="AM562" s="38" t="str">
        <f>IF(NOTA[C]="",NOTA[[#This Row],[CONCAT1]]&amp;NOTA[[#This Row],[HARGA SATUAN]],NOTA[[#This Row],[CONCAT1]]&amp;NOTA[[#This Row],[HARGA/ CTN_H]]&amp;NOTA[[#This Row],[DISC 1]]&amp;NOTA[[#This Row],[DISC 2]])</f>
        <v>isigwno3691200000</v>
      </c>
      <c r="AN562" s="184">
        <f>IF(NOTA[[#This Row],[CONCAT1]]="","",MATCH(NOTA[[#This Row],[CONCAT1]],[1]!db[NB NOTA_C],0)+1)</f>
        <v>998</v>
      </c>
    </row>
    <row r="563" spans="1:40" s="38" customFormat="1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Row],[CEK_EXP]]&lt;D562,"err","")</f>
        <v/>
      </c>
      <c r="D563" s="50">
        <f>IF(NOTA[[#This Row],[TANGGAL]]="",D562,NOTA[[#This Row],[TANGGAL]])</f>
        <v>44946</v>
      </c>
      <c r="E563" s="50" t="str">
        <f ca="1">IF(NOTA[[#This Row],[NAMA BARANG]]="","",INDEX(NOTA[ID],MATCH(,INDIRECT(ADDRESS(ROW(NOTA[ID]),COLUMN(NOTA[ID]))&amp;":"&amp;ADDRESS(ROW(),COLUMN(NOTA[ID]))),-1)))</f>
        <v/>
      </c>
      <c r="F563" s="23"/>
      <c r="G563" s="26"/>
      <c r="H563" s="26"/>
      <c r="I563" s="31"/>
      <c r="J563" s="26"/>
      <c r="K563" s="51"/>
      <c r="L563" s="26"/>
      <c r="M563" s="26"/>
      <c r="N563" s="39"/>
      <c r="O563" s="26"/>
      <c r="P563" s="26"/>
      <c r="Q563" s="49"/>
      <c r="R563" s="52"/>
      <c r="S563" s="39"/>
      <c r="T563" s="53"/>
      <c r="U563" s="53"/>
      <c r="V563" s="54"/>
      <c r="W563" s="37"/>
      <c r="X563" s="54" t="str">
        <f>IF(NOTA[[#This Row],[HARGA/ CTN]]="",NOTA[[#This Row],[JUMLAH_H]],NOTA[[#This Row],[HARGA/ CTN]]*IF(NOTA[[#This Row],[C]]="",0,NOTA[[#This Row],[C]]))</f>
        <v/>
      </c>
      <c r="Y563" s="54" t="str">
        <f>IF(NOTA[[#This Row],[JUMLAH]]="","",NOTA[[#This Row],[JUMLAH]]*NOTA[[#This Row],[DISC 1]])</f>
        <v/>
      </c>
      <c r="Z563" s="54" t="str">
        <f>IF(NOTA[[#This Row],[JUMLAH]]="","",(NOTA[[#This Row],[JUMLAH]]-NOTA[[#This Row],[DISC 1-]])*NOTA[[#This Row],[DISC 2]])</f>
        <v/>
      </c>
      <c r="AA563" s="54" t="str">
        <f>IF(NOTA[[#This Row],[JUMLAH]]="","",NOTA[[#This Row],[DISC 1-]]+NOTA[[#This Row],[DISC 2-]])</f>
        <v/>
      </c>
      <c r="AB563" s="54" t="str">
        <f>IF(NOTA[[#This Row],[JUMLAH]]="","",NOTA[[#This Row],[JUMLAH]]-NOTA[[#This Row],[DISC]])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3" s="54" t="str">
        <f>IF(OR(NOTA[[#This Row],[QTY]]="",NOTA[[#This Row],[HARGA SATUAN]]="",),"",NOTA[[#This Row],[QTY]]*NOTA[[#This Row],[HARGA SATUAN]])</f>
        <v/>
      </c>
      <c r="AG563" s="51" t="str">
        <f ca="1">IF(NOTA[ID_H]="","",INDEX(NOTA[TANGGAL],MATCH(,INDIRECT(ADDRESS(ROW(NOTA[TANGGAL]),COLUMN(NOTA[TANGGAL]))&amp;":"&amp;ADDRESS(ROW(),COLUMN(NOTA[TANGGAL]))),-1)))</f>
        <v/>
      </c>
      <c r="AH563" s="49" t="str">
        <f ca="1">IF(NOTA[[#This Row],[NAMA BARANG]]="","",INDEX(NOTA[SUPPLIER],MATCH(,INDIRECT(ADDRESS(ROW(NOTA[ID]),COLUMN(NOTA[ID]))&amp;":"&amp;ADDRESS(ROW(),COLUMN(NOTA[ID]))),-1)))</f>
        <v/>
      </c>
      <c r="AI563" s="49" t="str">
        <f ca="1">IF(NOTA[[#This Row],[ID_H]]="","",IF(NOTA[[#This Row],[FAKTUR]]="",INDIRECT(ADDRESS(ROW()-1,COLUMN())),NOTA[[#This Row],[FAKTUR]]))</f>
        <v/>
      </c>
      <c r="AJ563" s="38" t="str">
        <f ca="1">IF(NOTA[[#This Row],[ID]]="","",COUNTIF(NOTA[ID_H],NOTA[[#This Row],[ID_H]]))</f>
        <v/>
      </c>
      <c r="AK563" s="38" t="str">
        <f ca="1">IF(NOTA[[#This Row],[TGL.NOTA]]="",IF(NOTA[[#This Row],[SUPPLIER_H]]="","",AK562),MONTH(NOTA[[#This Row],[TGL.NOTA]]))</f>
        <v/>
      </c>
      <c r="AL563" s="38" t="str">
        <f>LOWER(SUBSTITUTE(SUBSTITUTE(SUBSTITUTE(SUBSTITUTE(SUBSTITUTE(SUBSTITUTE(SUBSTITUTE(SUBSTITUTE(SUBSTITUTE(NOTA[NAMA BARANG]," ",),".",""),"-",""),"(",""),")",""),",",""),"/",""),"""",""),"+",""))</f>
        <v/>
      </c>
      <c r="AM563" s="38" t="str">
        <f>IF(NOTA[C]="",NOTA[[#This Row],[CONCAT1]]&amp;NOTA[[#This Row],[HARGA SATUAN]],NOTA[[#This Row],[CONCAT1]]&amp;NOTA[[#This Row],[HARGA/ CTN_H]]&amp;NOTA[[#This Row],[DISC 1]]&amp;NOTA[[#This Row],[DISC 2]])</f>
        <v/>
      </c>
      <c r="AN563" s="184" t="str">
        <f>IF(NOTA[[#This Row],[CONCAT1]]="","",MATCH(NOTA[[#This Row],[CONCAT1]],[1]!db[NB NOTA_C],0)+1)</f>
        <v/>
      </c>
    </row>
    <row r="564" spans="1:40" s="38" customFormat="1" ht="20.100000000000001" customHeight="1" x14ac:dyDescent="0.25">
      <c r="A564" s="49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ATA_2001_015-8</v>
      </c>
      <c r="C564" s="50" t="str">
        <f>IF(NOTA[[#This Row],[CEK_EXP]]&lt;D563,"err","")</f>
        <v/>
      </c>
      <c r="D564" s="50">
        <f>IF(NOTA[[#This Row],[TANGGAL]]="",D563,NOTA[[#This Row],[TANGGAL]])</f>
        <v>44946</v>
      </c>
      <c r="E564" s="50">
        <f ca="1">IF(NOTA[[#This Row],[NAMA BARANG]]="","",INDEX(NOTA[ID],MATCH(,INDIRECT(ADDRESS(ROW(NOTA[ID]),COLUMN(NOTA[ID]))&amp;":"&amp;ADDRESS(ROW(),COLUMN(NOTA[ID]))),-1)))</f>
        <v>106</v>
      </c>
      <c r="F564" s="23"/>
      <c r="G564" s="26" t="s">
        <v>25</v>
      </c>
      <c r="H564" s="26" t="s">
        <v>24</v>
      </c>
      <c r="I564" s="31" t="s">
        <v>728</v>
      </c>
      <c r="J564" s="26"/>
      <c r="K564" s="51">
        <v>44943</v>
      </c>
      <c r="L564" s="26"/>
      <c r="M564" s="26" t="s">
        <v>630</v>
      </c>
      <c r="N564" s="39">
        <v>2</v>
      </c>
      <c r="O564" s="26">
        <v>48</v>
      </c>
      <c r="P564" s="26" t="s">
        <v>116</v>
      </c>
      <c r="Q564" s="49">
        <v>162000</v>
      </c>
      <c r="R564" s="52"/>
      <c r="S564" s="39" t="s">
        <v>631</v>
      </c>
      <c r="T564" s="53">
        <v>0.125</v>
      </c>
      <c r="U564" s="53">
        <v>0.05</v>
      </c>
      <c r="V564" s="54"/>
      <c r="W564" s="37"/>
      <c r="X564" s="54">
        <f>IF(NOTA[[#This Row],[HARGA/ CTN]]="",NOTA[[#This Row],[JUMLAH_H]],NOTA[[#This Row],[HARGA/ CTN]]*IF(NOTA[[#This Row],[C]]="",0,NOTA[[#This Row],[C]]))</f>
        <v>7776000</v>
      </c>
      <c r="Y564" s="54">
        <f>IF(NOTA[[#This Row],[JUMLAH]]="","",NOTA[[#This Row],[JUMLAH]]*NOTA[[#This Row],[DISC 1]])</f>
        <v>972000</v>
      </c>
      <c r="Z564" s="54">
        <f>IF(NOTA[[#This Row],[JUMLAH]]="","",(NOTA[[#This Row],[JUMLAH]]-NOTA[[#This Row],[DISC 1-]])*NOTA[[#This Row],[DISC 2]])</f>
        <v>340200</v>
      </c>
      <c r="AA564" s="54">
        <f>IF(NOTA[[#This Row],[JUMLAH]]="","",NOTA[[#This Row],[DISC 1-]]+NOTA[[#This Row],[DISC 2-]])</f>
        <v>1312200</v>
      </c>
      <c r="AB564" s="54">
        <f>IF(NOTA[[#This Row],[JUMLAH]]="","",NOTA[[#This Row],[JUMLAH]]-NOTA[[#This Row],[DISC]])</f>
        <v>6463800</v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64" s="54">
        <f>IF(OR(NOTA[[#This Row],[QTY]]="",NOTA[[#This Row],[HARGA SATUAN]]="",),"",NOTA[[#This Row],[QTY]]*NOTA[[#This Row],[HARGA SATUAN]])</f>
        <v>7776000</v>
      </c>
      <c r="AG564" s="51">
        <f ca="1">IF(NOTA[ID_H]="","",INDEX(NOTA[TANGGAL],MATCH(,INDIRECT(ADDRESS(ROW(NOTA[TANGGAL]),COLUMN(NOTA[TANGGAL]))&amp;":"&amp;ADDRESS(ROW(),COLUMN(NOTA[TANGGAL]))),-1)))</f>
        <v>44946</v>
      </c>
      <c r="AH564" s="49" t="str">
        <f ca="1">IF(NOTA[[#This Row],[NAMA BARANG]]="","",INDEX(NOTA[SUPPLIER],MATCH(,INDIRECT(ADDRESS(ROW(NOTA[ID]),COLUMN(NOTA[ID]))&amp;":"&amp;ADDRESS(ROW(),COLUMN(NOTA[ID]))),-1)))</f>
        <v>ATALI MAKMUR</v>
      </c>
      <c r="AI564" s="49" t="str">
        <f ca="1">IF(NOTA[[#This Row],[ID_H]]="","",IF(NOTA[[#This Row],[FAKTUR]]="",INDIRECT(ADDRESS(ROW()-1,COLUMN())),NOTA[[#This Row],[FAKTUR]]))</f>
        <v>ARTO MORO</v>
      </c>
      <c r="AJ564" s="38">
        <f ca="1">IF(NOTA[[#This Row],[ID]]="","",COUNTIF(NOTA[ID_H],NOTA[[#This Row],[ID_H]]))</f>
        <v>8</v>
      </c>
      <c r="AK564" s="38">
        <f>IF(NOTA[[#This Row],[TGL.NOTA]]="",IF(NOTA[[#This Row],[SUPPLIER_H]]="","",AK563),MONTH(NOTA[[#This Row],[TGL.NOTA]]))</f>
        <v>1</v>
      </c>
      <c r="AL56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M564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N564" s="184">
        <f>IF(NOTA[[#This Row],[CONCAT1]]="","",MATCH(NOTA[[#This Row],[CONCAT1]],[1]!db[NB NOTA_C],0)+1)</f>
        <v>571</v>
      </c>
    </row>
    <row r="565" spans="1:40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Row],[CEK_EXP]]&lt;D564,"err","")</f>
        <v/>
      </c>
      <c r="D565" s="50">
        <f>IF(NOTA[[#This Row],[TANGGAL]]="",D564,NOTA[[#This Row],[TANGGAL]])</f>
        <v>44946</v>
      </c>
      <c r="E565" s="50">
        <f ca="1">IF(NOTA[[#This Row],[NAMA BARANG]]="","",INDEX(NOTA[ID],MATCH(,INDIRECT(ADDRESS(ROW(NOTA[ID]),COLUMN(NOTA[ID]))&amp;":"&amp;ADDRESS(ROW(),COLUMN(NOTA[ID]))),-1)))</f>
        <v>106</v>
      </c>
      <c r="F565" s="23"/>
      <c r="G565" s="26"/>
      <c r="H565" s="26"/>
      <c r="I565" s="31"/>
      <c r="J565" s="26"/>
      <c r="K565" s="51"/>
      <c r="L565" s="26"/>
      <c r="M565" s="26" t="s">
        <v>632</v>
      </c>
      <c r="N565" s="39"/>
      <c r="O565" s="26">
        <v>48</v>
      </c>
      <c r="P565" s="26" t="s">
        <v>116</v>
      </c>
      <c r="Q565" s="49"/>
      <c r="R565" s="52"/>
      <c r="S565" s="39" t="s">
        <v>633</v>
      </c>
      <c r="T565" s="53"/>
      <c r="U565" s="53"/>
      <c r="V565" s="54"/>
      <c r="W565" s="37"/>
      <c r="X565" s="54" t="str">
        <f>IF(NOTA[[#This Row],[HARGA/ CTN]]="",NOTA[[#This Row],[JUMLAH_H]],NOTA[[#This Row],[HARGA/ CTN]]*IF(NOTA[[#This Row],[C]]="",0,NOTA[[#This Row],[C]]))</f>
        <v/>
      </c>
      <c r="Y565" s="54" t="str">
        <f>IF(NOTA[[#This Row],[JUMLAH]]="","",NOTA[[#This Row],[JUMLAH]]*NOTA[[#This Row],[DISC 1]])</f>
        <v/>
      </c>
      <c r="Z565" s="54" t="str">
        <f>IF(NOTA[[#This Row],[JUMLAH]]="","",(NOTA[[#This Row],[JUMLAH]]-NOTA[[#This Row],[DISC 1-]])*NOTA[[#This Row],[DISC 2]])</f>
        <v/>
      </c>
      <c r="AA565" s="54" t="str">
        <f>IF(NOTA[[#This Row],[JUMLAH]]="","",NOTA[[#This Row],[DISC 1-]]+NOTA[[#This Row],[DISC 2-]])</f>
        <v/>
      </c>
      <c r="AB565" s="54" t="str">
        <f>IF(NOTA[[#This Row],[JUMLAH]]="","",NOTA[[#This Row],[JUMLAH]]-NOTA[[#This Row],[DISC]])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65" s="54" t="str">
        <f>IF(OR(NOTA[[#This Row],[QTY]]="",NOTA[[#This Row],[HARGA SATUAN]]="",),"",NOTA[[#This Row],[QTY]]*NOTA[[#This Row],[HARGA SATUAN]])</f>
        <v/>
      </c>
      <c r="AG565" s="51">
        <f ca="1">IF(NOTA[ID_H]="","",INDEX(NOTA[TANGGAL],MATCH(,INDIRECT(ADDRESS(ROW(NOTA[TANGGAL]),COLUMN(NOTA[TANGGAL]))&amp;":"&amp;ADDRESS(ROW(),COLUMN(NOTA[TANGGAL]))),-1)))</f>
        <v>44946</v>
      </c>
      <c r="AH565" s="49" t="str">
        <f ca="1">IF(NOTA[[#This Row],[NAMA BARANG]]="","",INDEX(NOTA[SUPPLIER],MATCH(,INDIRECT(ADDRESS(ROW(NOTA[ID]),COLUMN(NOTA[ID]))&amp;":"&amp;ADDRESS(ROW(),COLUMN(NOTA[ID]))),-1)))</f>
        <v>ATALI MAKMUR</v>
      </c>
      <c r="AI565" s="49" t="str">
        <f ca="1">IF(NOTA[[#This Row],[ID_H]]="","",IF(NOTA[[#This Row],[FAKTUR]]="",INDIRECT(ADDRESS(ROW()-1,COLUMN())),NOTA[[#This Row],[FAKTUR]]))</f>
        <v>ARTO MORO</v>
      </c>
      <c r="AJ565" s="38" t="str">
        <f ca="1">IF(NOTA[[#This Row],[ID]]="","",COUNTIF(NOTA[ID_H],NOTA[[#This Row],[ID_H]]))</f>
        <v/>
      </c>
      <c r="AK565" s="38">
        <f ca="1">IF(NOTA[[#This Row],[TGL.NOTA]]="",IF(NOTA[[#This Row],[SUPPLIER_H]]="","",AK564),MONTH(NOTA[[#This Row],[TGL.NOTA]]))</f>
        <v>1</v>
      </c>
      <c r="AL565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565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N565" s="184">
        <f>IF(NOTA[[#This Row],[CONCAT1]]="","",MATCH(NOTA[[#This Row],[CONCAT1]],[1]!db[NB NOTA_C],0)+1)</f>
        <v>563</v>
      </c>
    </row>
    <row r="566" spans="1:40" ht="20.100000000000001" customHeight="1" x14ac:dyDescent="0.25">
      <c r="A56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Row],[CEK_EXP]]&lt;D565,"err","")</f>
        <v/>
      </c>
      <c r="D566" s="50">
        <f>IF(NOTA[[#This Row],[TANGGAL]]="",D565,NOTA[[#This Row],[TANGGAL]])</f>
        <v>44946</v>
      </c>
      <c r="E566" s="50">
        <f ca="1">IF(NOTA[[#This Row],[NAMA BARANG]]="","",INDEX(NOTA[ID],MATCH(,INDIRECT(ADDRESS(ROW(NOTA[ID]),COLUMN(NOTA[ID]))&amp;":"&amp;ADDRESS(ROW(),COLUMN(NOTA[ID]))),-1)))</f>
        <v>106</v>
      </c>
      <c r="F566" s="23"/>
      <c r="G566" s="26"/>
      <c r="H566" s="26"/>
      <c r="I566" s="31"/>
      <c r="J566" s="26"/>
      <c r="K566" s="51"/>
      <c r="L566" s="26"/>
      <c r="M566" s="26" t="s">
        <v>676</v>
      </c>
      <c r="N566" s="39">
        <v>6</v>
      </c>
      <c r="O566" s="26">
        <v>864</v>
      </c>
      <c r="P566" s="26" t="s">
        <v>128</v>
      </c>
      <c r="Q566" s="49">
        <v>11900</v>
      </c>
      <c r="R566" s="52"/>
      <c r="S566" s="39" t="s">
        <v>264</v>
      </c>
      <c r="T566" s="53">
        <v>0.125</v>
      </c>
      <c r="U566" s="53">
        <v>0.05</v>
      </c>
      <c r="V566" s="54"/>
      <c r="W566" s="37"/>
      <c r="X566" s="54">
        <f>IF(NOTA[[#This Row],[HARGA/ CTN]]="",NOTA[[#This Row],[JUMLAH_H]],NOTA[[#This Row],[HARGA/ CTN]]*IF(NOTA[[#This Row],[C]]="",0,NOTA[[#This Row],[C]]))</f>
        <v>10281600</v>
      </c>
      <c r="Y566" s="54">
        <f>IF(NOTA[[#This Row],[JUMLAH]]="","",NOTA[[#This Row],[JUMLAH]]*NOTA[[#This Row],[DISC 1]])</f>
        <v>1285200</v>
      </c>
      <c r="Z566" s="54">
        <f>IF(NOTA[[#This Row],[JUMLAH]]="","",(NOTA[[#This Row],[JUMLAH]]-NOTA[[#This Row],[DISC 1-]])*NOTA[[#This Row],[DISC 2]])</f>
        <v>449820</v>
      </c>
      <c r="AA566" s="54">
        <f>IF(NOTA[[#This Row],[JUMLAH]]="","",NOTA[[#This Row],[DISC 1-]]+NOTA[[#This Row],[DISC 2-]])</f>
        <v>1735020</v>
      </c>
      <c r="AB566" s="54">
        <f>IF(NOTA[[#This Row],[JUMLAH]]="","",NOTA[[#This Row],[JUMLAH]]-NOTA[[#This Row],[DISC]])</f>
        <v>8546580</v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66" s="54">
        <f>IF(OR(NOTA[[#This Row],[QTY]]="",NOTA[[#This Row],[HARGA SATUAN]]="",),"",NOTA[[#This Row],[QTY]]*NOTA[[#This Row],[HARGA SATUAN]])</f>
        <v>10281600</v>
      </c>
      <c r="AG566" s="51">
        <f ca="1">IF(NOTA[ID_H]="","",INDEX(NOTA[TANGGAL],MATCH(,INDIRECT(ADDRESS(ROW(NOTA[TANGGAL]),COLUMN(NOTA[TANGGAL]))&amp;":"&amp;ADDRESS(ROW(),COLUMN(NOTA[TANGGAL]))),-1)))</f>
        <v>44946</v>
      </c>
      <c r="AH566" s="49" t="str">
        <f ca="1">IF(NOTA[[#This Row],[NAMA BARANG]]="","",INDEX(NOTA[SUPPLIER],MATCH(,INDIRECT(ADDRESS(ROW(NOTA[ID]),COLUMN(NOTA[ID]))&amp;":"&amp;ADDRESS(ROW(),COLUMN(NOTA[ID]))),-1)))</f>
        <v>ATALI MAKMUR</v>
      </c>
      <c r="AI566" s="49" t="str">
        <f ca="1">IF(NOTA[[#This Row],[ID_H]]="","",IF(NOTA[[#This Row],[FAKTUR]]="",INDIRECT(ADDRESS(ROW()-1,COLUMN())),NOTA[[#This Row],[FAKTUR]]))</f>
        <v>ARTO MORO</v>
      </c>
      <c r="AJ566" s="38" t="str">
        <f ca="1">IF(NOTA[[#This Row],[ID]]="","",COUNTIF(NOTA[ID_H],NOTA[[#This Row],[ID_H]]))</f>
        <v/>
      </c>
      <c r="AK566" s="38">
        <f ca="1">IF(NOTA[[#This Row],[TGL.NOTA]]="",IF(NOTA[[#This Row],[SUPPLIER_H]]="","",AK565),MONTH(NOTA[[#This Row],[TGL.NOTA]]))</f>
        <v>1</v>
      </c>
      <c r="AL5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66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N566" s="184">
        <f>IF(NOTA[[#This Row],[CONCAT1]]="","",MATCH(NOTA[[#This Row],[CONCAT1]],[1]!db[NB NOTA_C],0)+1)</f>
        <v>1559</v>
      </c>
    </row>
    <row r="567" spans="1:40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Row],[CEK_EXP]]&lt;D566,"err","")</f>
        <v/>
      </c>
      <c r="D567" s="50">
        <f>IF(NOTA[[#This Row],[TANGGAL]]="",D566,NOTA[[#This Row],[TANGGAL]])</f>
        <v>44946</v>
      </c>
      <c r="E567" s="50">
        <f ca="1">IF(NOTA[[#This Row],[NAMA BARANG]]="","",INDEX(NOTA[ID],MATCH(,INDIRECT(ADDRESS(ROW(NOTA[ID]),COLUMN(NOTA[ID]))&amp;":"&amp;ADDRESS(ROW(),COLUMN(NOTA[ID]))),-1)))</f>
        <v>106</v>
      </c>
      <c r="F567" s="23"/>
      <c r="G567" s="26"/>
      <c r="H567" s="26"/>
      <c r="I567" s="31"/>
      <c r="J567" s="26"/>
      <c r="K567" s="51"/>
      <c r="L567" s="26"/>
      <c r="M567" s="26" t="s">
        <v>423</v>
      </c>
      <c r="N567" s="39">
        <v>1</v>
      </c>
      <c r="O567" s="26">
        <v>72</v>
      </c>
      <c r="P567" s="26" t="s">
        <v>128</v>
      </c>
      <c r="Q567" s="49">
        <v>23000</v>
      </c>
      <c r="R567" s="52"/>
      <c r="S567" s="39" t="s">
        <v>424</v>
      </c>
      <c r="T567" s="53">
        <v>0.125</v>
      </c>
      <c r="U567" s="53">
        <v>0.05</v>
      </c>
      <c r="V567" s="54"/>
      <c r="W567" s="37"/>
      <c r="X567" s="54">
        <f>IF(NOTA[[#This Row],[HARGA/ CTN]]="",NOTA[[#This Row],[JUMLAH_H]],NOTA[[#This Row],[HARGA/ CTN]]*IF(NOTA[[#This Row],[C]]="",0,NOTA[[#This Row],[C]]))</f>
        <v>1656000</v>
      </c>
      <c r="Y567" s="54">
        <f>IF(NOTA[[#This Row],[JUMLAH]]="","",NOTA[[#This Row],[JUMLAH]]*NOTA[[#This Row],[DISC 1]])</f>
        <v>207000</v>
      </c>
      <c r="Z567" s="54">
        <f>IF(NOTA[[#This Row],[JUMLAH]]="","",(NOTA[[#This Row],[JUMLAH]]-NOTA[[#This Row],[DISC 1-]])*NOTA[[#This Row],[DISC 2]])</f>
        <v>72450</v>
      </c>
      <c r="AA567" s="54">
        <f>IF(NOTA[[#This Row],[JUMLAH]]="","",NOTA[[#This Row],[DISC 1-]]+NOTA[[#This Row],[DISC 2-]])</f>
        <v>279450</v>
      </c>
      <c r="AB567" s="54">
        <f>IF(NOTA[[#This Row],[JUMLAH]]="","",NOTA[[#This Row],[JUMLAH]]-NOTA[[#This Row],[DISC]])</f>
        <v>1376550</v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67" s="54">
        <f>IF(OR(NOTA[[#This Row],[QTY]]="",NOTA[[#This Row],[HARGA SATUAN]]="",),"",NOTA[[#This Row],[QTY]]*NOTA[[#This Row],[HARGA SATUAN]])</f>
        <v>1656000</v>
      </c>
      <c r="AG567" s="51">
        <f ca="1">IF(NOTA[ID_H]="","",INDEX(NOTA[TANGGAL],MATCH(,INDIRECT(ADDRESS(ROW(NOTA[TANGGAL]),COLUMN(NOTA[TANGGAL]))&amp;":"&amp;ADDRESS(ROW(),COLUMN(NOTA[TANGGAL]))),-1)))</f>
        <v>44946</v>
      </c>
      <c r="AH567" s="49" t="str">
        <f ca="1">IF(NOTA[[#This Row],[NAMA BARANG]]="","",INDEX(NOTA[SUPPLIER],MATCH(,INDIRECT(ADDRESS(ROW(NOTA[ID]),COLUMN(NOTA[ID]))&amp;":"&amp;ADDRESS(ROW(),COLUMN(NOTA[ID]))),-1)))</f>
        <v>ATALI MAKMUR</v>
      </c>
      <c r="AI567" s="49" t="str">
        <f ca="1">IF(NOTA[[#This Row],[ID_H]]="","",IF(NOTA[[#This Row],[FAKTUR]]="",INDIRECT(ADDRESS(ROW()-1,COLUMN())),NOTA[[#This Row],[FAKTUR]]))</f>
        <v>ARTO MORO</v>
      </c>
      <c r="AJ567" s="38" t="str">
        <f ca="1">IF(NOTA[[#This Row],[ID]]="","",COUNTIF(NOTA[ID_H],NOTA[[#This Row],[ID_H]]))</f>
        <v/>
      </c>
      <c r="AK567" s="38">
        <f ca="1">IF(NOTA[[#This Row],[TGL.NOTA]]="",IF(NOTA[[#This Row],[SUPPLIER_H]]="","",AK566),MONTH(NOTA[[#This Row],[TGL.NOTA]]))</f>
        <v>1</v>
      </c>
      <c r="AL567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567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N567" s="184">
        <f>IF(NOTA[[#This Row],[CONCAT1]]="","",MATCH(NOTA[[#This Row],[CONCAT1]],[1]!db[NB NOTA_C],0)+1)</f>
        <v>1560</v>
      </c>
    </row>
    <row r="568" spans="1:40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Row],[CEK_EXP]]&lt;D567,"err","")</f>
        <v/>
      </c>
      <c r="D568" s="50">
        <f>IF(NOTA[[#This Row],[TANGGAL]]="",D567,NOTA[[#This Row],[TANGGAL]])</f>
        <v>44946</v>
      </c>
      <c r="E568" s="50">
        <f ca="1">IF(NOTA[[#This Row],[NAMA BARANG]]="","",INDEX(NOTA[ID],MATCH(,INDIRECT(ADDRESS(ROW(NOTA[ID]),COLUMN(NOTA[ID]))&amp;":"&amp;ADDRESS(ROW(),COLUMN(NOTA[ID]))),-1)))</f>
        <v>106</v>
      </c>
      <c r="F568" s="23"/>
      <c r="G568" s="26"/>
      <c r="H568" s="26"/>
      <c r="I568" s="31"/>
      <c r="J568" s="26"/>
      <c r="K568" s="51"/>
      <c r="L568" s="26"/>
      <c r="M568" s="26" t="s">
        <v>729</v>
      </c>
      <c r="N568" s="39">
        <v>3</v>
      </c>
      <c r="O568" s="26">
        <v>144</v>
      </c>
      <c r="P568" s="26" t="s">
        <v>128</v>
      </c>
      <c r="Q568" s="49">
        <v>29600</v>
      </c>
      <c r="R568" s="52"/>
      <c r="S568" s="39" t="s">
        <v>408</v>
      </c>
      <c r="T568" s="53">
        <v>0.125</v>
      </c>
      <c r="U568" s="53">
        <v>0.05</v>
      </c>
      <c r="V568" s="54"/>
      <c r="W568" s="37"/>
      <c r="X568" s="54">
        <f>IF(NOTA[[#This Row],[HARGA/ CTN]]="",NOTA[[#This Row],[JUMLAH_H]],NOTA[[#This Row],[HARGA/ CTN]]*IF(NOTA[[#This Row],[C]]="",0,NOTA[[#This Row],[C]]))</f>
        <v>4262400</v>
      </c>
      <c r="Y568" s="54">
        <f>IF(NOTA[[#This Row],[JUMLAH]]="","",NOTA[[#This Row],[JUMLAH]]*NOTA[[#This Row],[DISC 1]])</f>
        <v>532800</v>
      </c>
      <c r="Z568" s="54">
        <f>IF(NOTA[[#This Row],[JUMLAH]]="","",(NOTA[[#This Row],[JUMLAH]]-NOTA[[#This Row],[DISC 1-]])*NOTA[[#This Row],[DISC 2]])</f>
        <v>186480</v>
      </c>
      <c r="AA568" s="54">
        <f>IF(NOTA[[#This Row],[JUMLAH]]="","",NOTA[[#This Row],[DISC 1-]]+NOTA[[#This Row],[DISC 2-]])</f>
        <v>719280</v>
      </c>
      <c r="AB568" s="54">
        <f>IF(NOTA[[#This Row],[JUMLAH]]="","",NOTA[[#This Row],[JUMLAH]]-NOTA[[#This Row],[DISC]])</f>
        <v>3543120</v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568" s="54">
        <f>IF(OR(NOTA[[#This Row],[QTY]]="",NOTA[[#This Row],[HARGA SATUAN]]="",),"",NOTA[[#This Row],[QTY]]*NOTA[[#This Row],[HARGA SATUAN]])</f>
        <v>4262400</v>
      </c>
      <c r="AG568" s="51">
        <f ca="1">IF(NOTA[ID_H]="","",INDEX(NOTA[TANGGAL],MATCH(,INDIRECT(ADDRESS(ROW(NOTA[TANGGAL]),COLUMN(NOTA[TANGGAL]))&amp;":"&amp;ADDRESS(ROW(),COLUMN(NOTA[TANGGAL]))),-1)))</f>
        <v>44946</v>
      </c>
      <c r="AH568" s="49" t="str">
        <f ca="1">IF(NOTA[[#This Row],[NAMA BARANG]]="","",INDEX(NOTA[SUPPLIER],MATCH(,INDIRECT(ADDRESS(ROW(NOTA[ID]),COLUMN(NOTA[ID]))&amp;":"&amp;ADDRESS(ROW(),COLUMN(NOTA[ID]))),-1)))</f>
        <v>ATALI MAKMUR</v>
      </c>
      <c r="AI568" s="49" t="str">
        <f ca="1">IF(NOTA[[#This Row],[ID_H]]="","",IF(NOTA[[#This Row],[FAKTUR]]="",INDIRECT(ADDRESS(ROW()-1,COLUMN())),NOTA[[#This Row],[FAKTUR]]))</f>
        <v>ARTO MORO</v>
      </c>
      <c r="AJ568" s="38" t="str">
        <f ca="1">IF(NOTA[[#This Row],[ID]]="","",COUNTIF(NOTA[ID_H],NOTA[[#This Row],[ID_H]]))</f>
        <v/>
      </c>
      <c r="AK568" s="38">
        <f ca="1">IF(NOTA[[#This Row],[TGL.NOTA]]="",IF(NOTA[[#This Row],[SUPPLIER_H]]="","",AK567),MONTH(NOTA[[#This Row],[TGL.NOTA]]))</f>
        <v>1</v>
      </c>
      <c r="AL568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568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N568" s="184">
        <f>IF(NOTA[[#This Row],[CONCAT1]]="","",MATCH(NOTA[[#This Row],[CONCAT1]],[1]!db[NB NOTA_C],0)+1)</f>
        <v>1561</v>
      </c>
    </row>
    <row r="569" spans="1:40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Row],[CEK_EXP]]&lt;D568,"err","")</f>
        <v/>
      </c>
      <c r="D569" s="50">
        <f>IF(NOTA[[#This Row],[TANGGAL]]="",D568,NOTA[[#This Row],[TANGGAL]])</f>
        <v>44946</v>
      </c>
      <c r="E569" s="50">
        <f ca="1">IF(NOTA[[#This Row],[NAMA BARANG]]="","",INDEX(NOTA[ID],MATCH(,INDIRECT(ADDRESS(ROW(NOTA[ID]),COLUMN(NOTA[ID]))&amp;":"&amp;ADDRESS(ROW(),COLUMN(NOTA[ID]))),-1)))</f>
        <v>106</v>
      </c>
      <c r="F569" s="23"/>
      <c r="G569" s="26"/>
      <c r="H569" s="26"/>
      <c r="I569" s="31"/>
      <c r="J569" s="26"/>
      <c r="K569" s="51"/>
      <c r="L569" s="26"/>
      <c r="M569" s="26" t="s">
        <v>152</v>
      </c>
      <c r="N569" s="39">
        <v>3</v>
      </c>
      <c r="O569" s="26">
        <v>72</v>
      </c>
      <c r="P569" s="26" t="s">
        <v>128</v>
      </c>
      <c r="Q569" s="49">
        <v>58900</v>
      </c>
      <c r="R569" s="52"/>
      <c r="S569" s="39" t="s">
        <v>141</v>
      </c>
      <c r="T569" s="53">
        <v>0.125</v>
      </c>
      <c r="U569" s="53">
        <v>0.05</v>
      </c>
      <c r="V569" s="54"/>
      <c r="W569" s="37"/>
      <c r="X569" s="54">
        <f>IF(NOTA[[#This Row],[HARGA/ CTN]]="",NOTA[[#This Row],[JUMLAH_H]],NOTA[[#This Row],[HARGA/ CTN]]*IF(NOTA[[#This Row],[C]]="",0,NOTA[[#This Row],[C]]))</f>
        <v>4240800</v>
      </c>
      <c r="Y569" s="54">
        <f>IF(NOTA[[#This Row],[JUMLAH]]="","",NOTA[[#This Row],[JUMLAH]]*NOTA[[#This Row],[DISC 1]])</f>
        <v>530100</v>
      </c>
      <c r="Z569" s="54">
        <f>IF(NOTA[[#This Row],[JUMLAH]]="","",(NOTA[[#This Row],[JUMLAH]]-NOTA[[#This Row],[DISC 1-]])*NOTA[[#This Row],[DISC 2]])</f>
        <v>185535</v>
      </c>
      <c r="AA569" s="54">
        <f>IF(NOTA[[#This Row],[JUMLAH]]="","",NOTA[[#This Row],[DISC 1-]]+NOTA[[#This Row],[DISC 2-]])</f>
        <v>715635</v>
      </c>
      <c r="AB569" s="54">
        <f>IF(NOTA[[#This Row],[JUMLAH]]="","",NOTA[[#This Row],[JUMLAH]]-NOTA[[#This Row],[DISC]])</f>
        <v>3525165</v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569" s="54">
        <f>IF(OR(NOTA[[#This Row],[QTY]]="",NOTA[[#This Row],[HARGA SATUAN]]="",),"",NOTA[[#This Row],[QTY]]*NOTA[[#This Row],[HARGA SATUAN]])</f>
        <v>4240800</v>
      </c>
      <c r="AG569" s="51">
        <f ca="1">IF(NOTA[ID_H]="","",INDEX(NOTA[TANGGAL],MATCH(,INDIRECT(ADDRESS(ROW(NOTA[TANGGAL]),COLUMN(NOTA[TANGGAL]))&amp;":"&amp;ADDRESS(ROW(),COLUMN(NOTA[TANGGAL]))),-1)))</f>
        <v>44946</v>
      </c>
      <c r="AH569" s="49" t="str">
        <f ca="1">IF(NOTA[[#This Row],[NAMA BARANG]]="","",INDEX(NOTA[SUPPLIER],MATCH(,INDIRECT(ADDRESS(ROW(NOTA[ID]),COLUMN(NOTA[ID]))&amp;":"&amp;ADDRESS(ROW(),COLUMN(NOTA[ID]))),-1)))</f>
        <v>ATALI MAKMUR</v>
      </c>
      <c r="AI569" s="49" t="str">
        <f ca="1">IF(NOTA[[#This Row],[ID_H]]="","",IF(NOTA[[#This Row],[FAKTUR]]="",INDIRECT(ADDRESS(ROW()-1,COLUMN())),NOTA[[#This Row],[FAKTUR]]))</f>
        <v>ARTO MORO</v>
      </c>
      <c r="AJ569" s="38" t="str">
        <f ca="1">IF(NOTA[[#This Row],[ID]]="","",COUNTIF(NOTA[ID_H],NOTA[[#This Row],[ID_H]]))</f>
        <v/>
      </c>
      <c r="AK569" s="38">
        <f ca="1">IF(NOTA[[#This Row],[TGL.NOTA]]="",IF(NOTA[[#This Row],[SUPPLIER_H]]="","",AK568),MONTH(NOTA[[#This Row],[TGL.NOTA]]))</f>
        <v>1</v>
      </c>
      <c r="AL569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569" s="38" t="str">
        <f>IF(NOTA[C]="",NOTA[[#This Row],[CONCAT1]]&amp;NOTA[[#This Row],[HARGA SATUAN]],NOTA[[#This Row],[CONCAT1]]&amp;NOTA[[#This Row],[HARGA/ CTN_H]]&amp;NOTA[[#This Row],[DISC 1]]&amp;NOTA[[#This Row],[DISC 2]])</f>
        <v>oilpastelop48sppcaseseaworldjk14136000.1250.05</v>
      </c>
      <c r="AN569" s="184">
        <f>IF(NOTA[[#This Row],[CONCAT1]]="","",MATCH(NOTA[[#This Row],[CONCAT1]],[1]!db[NB NOTA_C],0)+1)</f>
        <v>1563</v>
      </c>
    </row>
    <row r="570" spans="1:40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Row],[CEK_EXP]]&lt;D569,"err","")</f>
        <v/>
      </c>
      <c r="D570" s="50">
        <f>IF(NOTA[[#This Row],[TANGGAL]]="",D569,NOTA[[#This Row],[TANGGAL]])</f>
        <v>44946</v>
      </c>
      <c r="E570" s="50">
        <f ca="1">IF(NOTA[[#This Row],[NAMA BARANG]]="","",INDEX(NOTA[ID],MATCH(,INDIRECT(ADDRESS(ROW(NOTA[ID]),COLUMN(NOTA[ID]))&amp;":"&amp;ADDRESS(ROW(),COLUMN(NOTA[ID]))),-1)))</f>
        <v>106</v>
      </c>
      <c r="F570" s="23"/>
      <c r="G570" s="26"/>
      <c r="H570" s="26"/>
      <c r="I570" s="31"/>
      <c r="J570" s="26"/>
      <c r="K570" s="51"/>
      <c r="L570" s="26"/>
      <c r="M570" s="26" t="s">
        <v>153</v>
      </c>
      <c r="N570" s="39">
        <v>3</v>
      </c>
      <c r="O570" s="26">
        <v>72</v>
      </c>
      <c r="P570" s="26" t="s">
        <v>128</v>
      </c>
      <c r="Q570" s="49">
        <v>66900</v>
      </c>
      <c r="R570" s="52"/>
      <c r="S570" s="39" t="s">
        <v>141</v>
      </c>
      <c r="T570" s="53">
        <v>0.125</v>
      </c>
      <c r="U570" s="53">
        <v>0.05</v>
      </c>
      <c r="V570" s="54"/>
      <c r="W570" s="37"/>
      <c r="X570" s="54">
        <f>IF(NOTA[[#This Row],[HARGA/ CTN]]="",NOTA[[#This Row],[JUMLAH_H]],NOTA[[#This Row],[HARGA/ CTN]]*IF(NOTA[[#This Row],[C]]="",0,NOTA[[#This Row],[C]]))</f>
        <v>4816800</v>
      </c>
      <c r="Y570" s="54">
        <f>IF(NOTA[[#This Row],[JUMLAH]]="","",NOTA[[#This Row],[JUMLAH]]*NOTA[[#This Row],[DISC 1]])</f>
        <v>602100</v>
      </c>
      <c r="Z570" s="54">
        <f>IF(NOTA[[#This Row],[JUMLAH]]="","",(NOTA[[#This Row],[JUMLAH]]-NOTA[[#This Row],[DISC 1-]])*NOTA[[#This Row],[DISC 2]])</f>
        <v>210735</v>
      </c>
      <c r="AA570" s="54">
        <f>IF(NOTA[[#This Row],[JUMLAH]]="","",NOTA[[#This Row],[DISC 1-]]+NOTA[[#This Row],[DISC 2-]])</f>
        <v>812835</v>
      </c>
      <c r="AB570" s="54">
        <f>IF(NOTA[[#This Row],[JUMLAH]]="","",NOTA[[#This Row],[JUMLAH]]-NOTA[[#This Row],[DISC]])</f>
        <v>4003965</v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570" s="54">
        <f>IF(OR(NOTA[[#This Row],[QTY]]="",NOTA[[#This Row],[HARGA SATUAN]]="",),"",NOTA[[#This Row],[QTY]]*NOTA[[#This Row],[HARGA SATUAN]])</f>
        <v>4816800</v>
      </c>
      <c r="AG570" s="51">
        <f ca="1">IF(NOTA[ID_H]="","",INDEX(NOTA[TANGGAL],MATCH(,INDIRECT(ADDRESS(ROW(NOTA[TANGGAL]),COLUMN(NOTA[TANGGAL]))&amp;":"&amp;ADDRESS(ROW(),COLUMN(NOTA[TANGGAL]))),-1)))</f>
        <v>44946</v>
      </c>
      <c r="AH570" s="49" t="str">
        <f ca="1">IF(NOTA[[#This Row],[NAMA BARANG]]="","",INDEX(NOTA[SUPPLIER],MATCH(,INDIRECT(ADDRESS(ROW(NOTA[ID]),COLUMN(NOTA[ID]))&amp;":"&amp;ADDRESS(ROW(),COLUMN(NOTA[ID]))),-1)))</f>
        <v>ATALI MAKMUR</v>
      </c>
      <c r="AI570" s="49" t="str">
        <f ca="1">IF(NOTA[[#This Row],[ID_H]]="","",IF(NOTA[[#This Row],[FAKTUR]]="",INDIRECT(ADDRESS(ROW()-1,COLUMN())),NOTA[[#This Row],[FAKTUR]]))</f>
        <v>ARTO MORO</v>
      </c>
      <c r="AJ570" s="38" t="str">
        <f ca="1">IF(NOTA[[#This Row],[ID]]="","",COUNTIF(NOTA[ID_H],NOTA[[#This Row],[ID_H]]))</f>
        <v/>
      </c>
      <c r="AK570" s="38">
        <f ca="1">IF(NOTA[[#This Row],[TGL.NOTA]]="",IF(NOTA[[#This Row],[SUPPLIER_H]]="","",AK569),MONTH(NOTA[[#This Row],[TGL.NOTA]]))</f>
        <v>1</v>
      </c>
      <c r="AL570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570" s="38" t="str">
        <f>IF(NOTA[C]="",NOTA[[#This Row],[CONCAT1]]&amp;NOTA[[#This Row],[HARGA SATUAN]],NOTA[[#This Row],[CONCAT1]]&amp;NOTA[[#This Row],[HARGA/ CTN_H]]&amp;NOTA[[#This Row],[DISC 1]]&amp;NOTA[[#This Row],[DISC 2]])</f>
        <v>oilpastelop55sppcaseseaworldjk16056000.1250.05</v>
      </c>
      <c r="AN570" s="184">
        <f>IF(NOTA[[#This Row],[CONCAT1]]="","",MATCH(NOTA[[#This Row],[CONCAT1]],[1]!db[NB NOTA_C],0)+1)</f>
        <v>1564</v>
      </c>
    </row>
    <row r="571" spans="1:40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Row],[CEK_EXP]]&lt;D570,"err","")</f>
        <v/>
      </c>
      <c r="D571" s="50">
        <f>IF(NOTA[[#This Row],[TANGGAL]]="",D570,NOTA[[#This Row],[TANGGAL]])</f>
        <v>44946</v>
      </c>
      <c r="E571" s="50">
        <f ca="1">IF(NOTA[[#This Row],[NAMA BARANG]]="","",INDEX(NOTA[ID],MATCH(,INDIRECT(ADDRESS(ROW(NOTA[ID]),COLUMN(NOTA[ID]))&amp;":"&amp;ADDRESS(ROW(),COLUMN(NOTA[ID]))),-1)))</f>
        <v>106</v>
      </c>
      <c r="F571" s="23"/>
      <c r="G571" s="26"/>
      <c r="H571" s="26"/>
      <c r="I571" s="31"/>
      <c r="J571" s="26"/>
      <c r="K571" s="51"/>
      <c r="L571" s="26"/>
      <c r="M571" s="26" t="s">
        <v>275</v>
      </c>
      <c r="N571" s="39"/>
      <c r="O571" s="26">
        <v>192</v>
      </c>
      <c r="P571" s="26" t="s">
        <v>104</v>
      </c>
      <c r="Q571" s="49">
        <v>2350</v>
      </c>
      <c r="R571" s="52"/>
      <c r="S571" s="39" t="s">
        <v>276</v>
      </c>
      <c r="T571" s="53">
        <v>0.125</v>
      </c>
      <c r="U571" s="53">
        <v>0.05</v>
      </c>
      <c r="V571" s="54">
        <v>375060</v>
      </c>
      <c r="W571" s="37" t="s">
        <v>155</v>
      </c>
      <c r="X571" s="54">
        <f>IF(NOTA[[#This Row],[HARGA/ CTN]]="",NOTA[[#This Row],[JUMLAH_H]],NOTA[[#This Row],[HARGA/ CTN]]*IF(NOTA[[#This Row],[C]]="",0,NOTA[[#This Row],[C]]))</f>
        <v>451200</v>
      </c>
      <c r="Y571" s="54">
        <f>IF(NOTA[[#This Row],[JUMLAH]]="","",NOTA[[#This Row],[JUMLAH]]*NOTA[[#This Row],[DISC 1]])</f>
        <v>56400</v>
      </c>
      <c r="Z571" s="54">
        <f>IF(NOTA[[#This Row],[JUMLAH]]="","",(NOTA[[#This Row],[JUMLAH]]-NOTA[[#This Row],[DISC 1-]])*NOTA[[#This Row],[DISC 2]])</f>
        <v>19740</v>
      </c>
      <c r="AA571" s="54">
        <f>IF(NOTA[[#This Row],[JUMLAH]]="","",NOTA[[#This Row],[DISC 1-]]+NOTA[[#This Row],[DISC 2-]])</f>
        <v>76140</v>
      </c>
      <c r="AB571" s="54">
        <f>IF(NOTA[[#This Row],[JUMLAH]]="","",NOTA[[#This Row],[JUMLAH]]-NOTA[[#This Row],[DISC]])</f>
        <v>375060</v>
      </c>
      <c r="AC5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6025620</v>
      </c>
      <c r="AD5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27459180</v>
      </c>
      <c r="AE571" s="49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F571" s="54">
        <f>IF(OR(NOTA[[#This Row],[QTY]]="",NOTA[[#This Row],[HARGA SATUAN]]="",),"",NOTA[[#This Row],[QTY]]*NOTA[[#This Row],[HARGA SATUAN]])</f>
        <v>451200</v>
      </c>
      <c r="AG571" s="51">
        <f ca="1">IF(NOTA[ID_H]="","",INDEX(NOTA[TANGGAL],MATCH(,INDIRECT(ADDRESS(ROW(NOTA[TANGGAL]),COLUMN(NOTA[TANGGAL]))&amp;":"&amp;ADDRESS(ROW(),COLUMN(NOTA[TANGGAL]))),-1)))</f>
        <v>44946</v>
      </c>
      <c r="AH571" s="49" t="str">
        <f ca="1">IF(NOTA[[#This Row],[NAMA BARANG]]="","",INDEX(NOTA[SUPPLIER],MATCH(,INDIRECT(ADDRESS(ROW(NOTA[ID]),COLUMN(NOTA[ID]))&amp;":"&amp;ADDRESS(ROW(),COLUMN(NOTA[ID]))),-1)))</f>
        <v>ATALI MAKMUR</v>
      </c>
      <c r="AI571" s="49" t="str">
        <f ca="1">IF(NOTA[[#This Row],[ID_H]]="","",IF(NOTA[[#This Row],[FAKTUR]]="",INDIRECT(ADDRESS(ROW()-1,COLUMN())),NOTA[[#This Row],[FAKTUR]]))</f>
        <v>ARTO MORO</v>
      </c>
      <c r="AJ571" s="38" t="str">
        <f ca="1">IF(NOTA[[#This Row],[ID]]="","",COUNTIF(NOTA[ID_H],NOTA[[#This Row],[ID_H]]))</f>
        <v/>
      </c>
      <c r="AK571" s="38">
        <f ca="1">IF(NOTA[[#This Row],[TGL.NOTA]]="",IF(NOTA[[#This Row],[SUPPLIER_H]]="","",AK570),MONTH(NOTA[[#This Row],[TGL.NOTA]]))</f>
        <v>1</v>
      </c>
      <c r="AL571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M571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N571" s="184">
        <f>IF(NOTA[[#This Row],[CONCAT1]]="","",MATCH(NOTA[[#This Row],[CONCAT1]],[1]!db[NB NOTA_C],0)+1)</f>
        <v>1834</v>
      </c>
    </row>
    <row r="572" spans="1:40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Row],[CEK_EXP]]&lt;D571,"err","")</f>
        <v/>
      </c>
      <c r="D572" s="50">
        <f>IF(NOTA[[#This Row],[TANGGAL]]="",D571,NOTA[[#This Row],[TANGGAL]])</f>
        <v>44946</v>
      </c>
      <c r="E572" s="50" t="str">
        <f ca="1">IF(NOTA[[#This Row],[NAMA BARANG]]="","",INDEX(NOTA[ID],MATCH(,INDIRECT(ADDRESS(ROW(NOTA[ID]),COLUMN(NOTA[ID]))&amp;":"&amp;ADDRESS(ROW(),COLUMN(NOTA[ID]))),-1)))</f>
        <v/>
      </c>
      <c r="F572" s="23"/>
      <c r="G572" s="26"/>
      <c r="H572" s="26"/>
      <c r="I572" s="31"/>
      <c r="J572" s="26"/>
      <c r="K572" s="51"/>
      <c r="L572" s="26"/>
      <c r="M572" s="26"/>
      <c r="N572" s="39"/>
      <c r="O572" s="26"/>
      <c r="P572" s="26"/>
      <c r="Q572" s="49"/>
      <c r="R572" s="52"/>
      <c r="S572" s="39"/>
      <c r="T572" s="53"/>
      <c r="U572" s="53"/>
      <c r="V572" s="54"/>
      <c r="W572" s="37"/>
      <c r="X572" s="54" t="str">
        <f>IF(NOTA[[#This Row],[HARGA/ CTN]]="",NOTA[[#This Row],[JUMLAH_H]],NOTA[[#This Row],[HARGA/ CTN]]*IF(NOTA[[#This Row],[C]]="",0,NOTA[[#This Row],[C]]))</f>
        <v/>
      </c>
      <c r="Y572" s="54" t="str">
        <f>IF(NOTA[[#This Row],[JUMLAH]]="","",NOTA[[#This Row],[JUMLAH]]*NOTA[[#This Row],[DISC 1]])</f>
        <v/>
      </c>
      <c r="Z572" s="54" t="str">
        <f>IF(NOTA[[#This Row],[JUMLAH]]="","",(NOTA[[#This Row],[JUMLAH]]-NOTA[[#This Row],[DISC 1-]])*NOTA[[#This Row],[DISC 2]])</f>
        <v/>
      </c>
      <c r="AA572" s="54" t="str">
        <f>IF(NOTA[[#This Row],[JUMLAH]]="","",NOTA[[#This Row],[DISC 1-]]+NOTA[[#This Row],[DISC 2-]])</f>
        <v/>
      </c>
      <c r="AB572" s="54" t="str">
        <f>IF(NOTA[[#This Row],[JUMLAH]]="","",NOTA[[#This Row],[JUMLAH]]-NOTA[[#This Row],[DISC]])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2" s="54" t="str">
        <f>IF(OR(NOTA[[#This Row],[QTY]]="",NOTA[[#This Row],[HARGA SATUAN]]="",),"",NOTA[[#This Row],[QTY]]*NOTA[[#This Row],[HARGA SATUAN]])</f>
        <v/>
      </c>
      <c r="AG572" s="51" t="str">
        <f ca="1">IF(NOTA[ID_H]="","",INDEX(NOTA[TANGGAL],MATCH(,INDIRECT(ADDRESS(ROW(NOTA[TANGGAL]),COLUMN(NOTA[TANGGAL]))&amp;":"&amp;ADDRESS(ROW(),COLUMN(NOTA[TANGGAL]))),-1)))</f>
        <v/>
      </c>
      <c r="AH572" s="49" t="str">
        <f ca="1">IF(NOTA[[#This Row],[NAMA BARANG]]="","",INDEX(NOTA[SUPPLIER],MATCH(,INDIRECT(ADDRESS(ROW(NOTA[ID]),COLUMN(NOTA[ID]))&amp;":"&amp;ADDRESS(ROW(),COLUMN(NOTA[ID]))),-1)))</f>
        <v/>
      </c>
      <c r="AI572" s="49" t="str">
        <f ca="1">IF(NOTA[[#This Row],[ID_H]]="","",IF(NOTA[[#This Row],[FAKTUR]]="",INDIRECT(ADDRESS(ROW()-1,COLUMN())),NOTA[[#This Row],[FAKTUR]]))</f>
        <v/>
      </c>
      <c r="AJ572" s="38" t="str">
        <f ca="1">IF(NOTA[[#This Row],[ID]]="","",COUNTIF(NOTA[ID_H],NOTA[[#This Row],[ID_H]]))</f>
        <v/>
      </c>
      <c r="AK572" s="38" t="str">
        <f ca="1">IF(NOTA[[#This Row],[TGL.NOTA]]="",IF(NOTA[[#This Row],[SUPPLIER_H]]="","",AK571),MONTH(NOTA[[#This Row],[TGL.NOTA]]))</f>
        <v/>
      </c>
      <c r="AL572" s="38" t="str">
        <f>LOWER(SUBSTITUTE(SUBSTITUTE(SUBSTITUTE(SUBSTITUTE(SUBSTITUTE(SUBSTITUTE(SUBSTITUTE(SUBSTITUTE(SUBSTITUTE(NOTA[NAMA BARANG]," ",),".",""),"-",""),"(",""),")",""),",",""),"/",""),"""",""),"+",""))</f>
        <v/>
      </c>
      <c r="AM572" s="38" t="str">
        <f>IF(NOTA[C]="",NOTA[[#This Row],[CONCAT1]]&amp;NOTA[[#This Row],[HARGA SATUAN]],NOTA[[#This Row],[CONCAT1]]&amp;NOTA[[#This Row],[HARGA/ CTN_H]]&amp;NOTA[[#This Row],[DISC 1]]&amp;NOTA[[#This Row],[DISC 2]])</f>
        <v/>
      </c>
      <c r="AN572" s="184" t="str">
        <f>IF(NOTA[[#This Row],[CONCAT1]]="","",MATCH(NOTA[[#This Row],[CONCAT1]],[1]!db[NB NOTA_C],0)+1)</f>
        <v/>
      </c>
    </row>
    <row r="573" spans="1:40" ht="20.100000000000001" customHeight="1" x14ac:dyDescent="0.25">
      <c r="A573" s="49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ATA_2001_013-11</v>
      </c>
      <c r="C573" s="50" t="str">
        <f>IF(NOTA[[#This Row],[CEK_EXP]]&lt;D572,"err","")</f>
        <v/>
      </c>
      <c r="D573" s="50">
        <f>IF(NOTA[[#This Row],[TANGGAL]]="",D572,NOTA[[#This Row],[TANGGAL]])</f>
        <v>44946</v>
      </c>
      <c r="E573" s="50">
        <f ca="1">IF(NOTA[[#This Row],[NAMA BARANG]]="","",INDEX(NOTA[ID],MATCH(,INDIRECT(ADDRESS(ROW(NOTA[ID]),COLUMN(NOTA[ID]))&amp;":"&amp;ADDRESS(ROW(),COLUMN(NOTA[ID]))),-1)))</f>
        <v>107</v>
      </c>
      <c r="F573" s="23"/>
      <c r="G573" s="26" t="s">
        <v>25</v>
      </c>
      <c r="H573" s="26" t="s">
        <v>24</v>
      </c>
      <c r="I573" s="31" t="s">
        <v>730</v>
      </c>
      <c r="J573" s="26"/>
      <c r="K573" s="51">
        <v>44943</v>
      </c>
      <c r="L573" s="26"/>
      <c r="M573" s="26" t="s">
        <v>648</v>
      </c>
      <c r="N573" s="39">
        <v>1</v>
      </c>
      <c r="O573" s="26">
        <v>144</v>
      </c>
      <c r="P573" s="26" t="s">
        <v>128</v>
      </c>
      <c r="Q573" s="49">
        <v>10600</v>
      </c>
      <c r="R573" s="52"/>
      <c r="S573" s="39" t="s">
        <v>264</v>
      </c>
      <c r="T573" s="53">
        <v>0.125</v>
      </c>
      <c r="U573" s="53">
        <v>0.05</v>
      </c>
      <c r="V573" s="54"/>
      <c r="W573" s="37"/>
      <c r="X573" s="54">
        <f>IF(NOTA[[#This Row],[HARGA/ CTN]]="",NOTA[[#This Row],[JUMLAH_H]],NOTA[[#This Row],[HARGA/ CTN]]*IF(NOTA[[#This Row],[C]]="",0,NOTA[[#This Row],[C]]))</f>
        <v>1526400</v>
      </c>
      <c r="Y573" s="54">
        <f>IF(NOTA[[#This Row],[JUMLAH]]="","",NOTA[[#This Row],[JUMLAH]]*NOTA[[#This Row],[DISC 1]])</f>
        <v>190800</v>
      </c>
      <c r="Z573" s="54">
        <f>IF(NOTA[[#This Row],[JUMLAH]]="","",(NOTA[[#This Row],[JUMLAH]]-NOTA[[#This Row],[DISC 1-]])*NOTA[[#This Row],[DISC 2]])</f>
        <v>66780</v>
      </c>
      <c r="AA573" s="54">
        <f>IF(NOTA[[#This Row],[JUMLAH]]="","",NOTA[[#This Row],[DISC 1-]]+NOTA[[#This Row],[DISC 2-]])</f>
        <v>257580</v>
      </c>
      <c r="AB573" s="54">
        <f>IF(NOTA[[#This Row],[JUMLAH]]="","",NOTA[[#This Row],[JUMLAH]]-NOTA[[#This Row],[DISC]])</f>
        <v>1268820</v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73" s="54">
        <f>IF(OR(NOTA[[#This Row],[QTY]]="",NOTA[[#This Row],[HARGA SATUAN]]="",),"",NOTA[[#This Row],[QTY]]*NOTA[[#This Row],[HARGA SATUAN]])</f>
        <v>1526400</v>
      </c>
      <c r="AG573" s="51">
        <f ca="1">IF(NOTA[ID_H]="","",INDEX(NOTA[TANGGAL],MATCH(,INDIRECT(ADDRESS(ROW(NOTA[TANGGAL]),COLUMN(NOTA[TANGGAL]))&amp;":"&amp;ADDRESS(ROW(),COLUMN(NOTA[TANGGAL]))),-1)))</f>
        <v>44946</v>
      </c>
      <c r="AH573" s="49" t="str">
        <f ca="1">IF(NOTA[[#This Row],[NAMA BARANG]]="","",INDEX(NOTA[SUPPLIER],MATCH(,INDIRECT(ADDRESS(ROW(NOTA[ID]),COLUMN(NOTA[ID]))&amp;":"&amp;ADDRESS(ROW(),COLUMN(NOTA[ID]))),-1)))</f>
        <v>ATALI MAKMUR</v>
      </c>
      <c r="AI573" s="49" t="str">
        <f ca="1">IF(NOTA[[#This Row],[ID_H]]="","",IF(NOTA[[#This Row],[FAKTUR]]="",INDIRECT(ADDRESS(ROW()-1,COLUMN())),NOTA[[#This Row],[FAKTUR]]))</f>
        <v>ARTO MORO</v>
      </c>
      <c r="AJ573" s="38">
        <f ca="1">IF(NOTA[[#This Row],[ID]]="","",COUNTIF(NOTA[ID_H],NOTA[[#This Row],[ID_H]]))</f>
        <v>11</v>
      </c>
      <c r="AK573" s="38">
        <f>IF(NOTA[[#This Row],[TGL.NOTA]]="",IF(NOTA[[#This Row],[SUPPLIER_H]]="","",AK572),MONTH(NOTA[[#This Row],[TGL.NOTA]]))</f>
        <v>1</v>
      </c>
      <c r="AL573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573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N573" s="184">
        <f>IF(NOTA[[#This Row],[CONCAT1]]="","",MATCH(NOTA[[#This Row],[CONCAT1]],[1]!db[NB NOTA_C],0)+1)</f>
        <v>488</v>
      </c>
    </row>
    <row r="574" spans="1:40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Row],[CEK_EXP]]&lt;D573,"err","")</f>
        <v/>
      </c>
      <c r="D574" s="50">
        <f>IF(NOTA[[#This Row],[TANGGAL]]="",D573,NOTA[[#This Row],[TANGGAL]])</f>
        <v>44946</v>
      </c>
      <c r="E574" s="50">
        <f ca="1">IF(NOTA[[#This Row],[NAMA BARANG]]="","",INDEX(NOTA[ID],MATCH(,INDIRECT(ADDRESS(ROW(NOTA[ID]),COLUMN(NOTA[ID]))&amp;":"&amp;ADDRESS(ROW(),COLUMN(NOTA[ID]))),-1)))</f>
        <v>107</v>
      </c>
      <c r="F574" s="23"/>
      <c r="G574" s="26"/>
      <c r="H574" s="26"/>
      <c r="I574" s="31"/>
      <c r="J574" s="26"/>
      <c r="K574" s="51"/>
      <c r="L574" s="26"/>
      <c r="M574" s="26" t="s">
        <v>270</v>
      </c>
      <c r="N574" s="39">
        <v>2</v>
      </c>
      <c r="O574" s="26">
        <v>288</v>
      </c>
      <c r="P574" s="26" t="s">
        <v>104</v>
      </c>
      <c r="Q574" s="49">
        <v>4350</v>
      </c>
      <c r="R574" s="52"/>
      <c r="S574" s="39" t="s">
        <v>271</v>
      </c>
      <c r="T574" s="53">
        <v>0.125</v>
      </c>
      <c r="U574" s="53">
        <v>0.05</v>
      </c>
      <c r="V574" s="54"/>
      <c r="W574" s="37"/>
      <c r="X574" s="54">
        <f>IF(NOTA[[#This Row],[HARGA/ CTN]]="",NOTA[[#This Row],[JUMLAH_H]],NOTA[[#This Row],[HARGA/ CTN]]*IF(NOTA[[#This Row],[C]]="",0,NOTA[[#This Row],[C]]))</f>
        <v>1252800</v>
      </c>
      <c r="Y574" s="54">
        <f>IF(NOTA[[#This Row],[JUMLAH]]="","",NOTA[[#This Row],[JUMLAH]]*NOTA[[#This Row],[DISC 1]])</f>
        <v>156600</v>
      </c>
      <c r="Z574" s="54">
        <f>IF(NOTA[[#This Row],[JUMLAH]]="","",(NOTA[[#This Row],[JUMLAH]]-NOTA[[#This Row],[DISC 1-]])*NOTA[[#This Row],[DISC 2]])</f>
        <v>54810</v>
      </c>
      <c r="AA574" s="54">
        <f>IF(NOTA[[#This Row],[JUMLAH]]="","",NOTA[[#This Row],[DISC 1-]]+NOTA[[#This Row],[DISC 2-]])</f>
        <v>211410</v>
      </c>
      <c r="AB574" s="54">
        <f>IF(NOTA[[#This Row],[JUMLAH]]="","",NOTA[[#This Row],[JUMLAH]]-NOTA[[#This Row],[DISC]])</f>
        <v>1041390</v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74" s="54">
        <f>IF(OR(NOTA[[#This Row],[QTY]]="",NOTA[[#This Row],[HARGA SATUAN]]="",),"",NOTA[[#This Row],[QTY]]*NOTA[[#This Row],[HARGA SATUAN]])</f>
        <v>1252800</v>
      </c>
      <c r="AG574" s="51">
        <f ca="1">IF(NOTA[ID_H]="","",INDEX(NOTA[TANGGAL],MATCH(,INDIRECT(ADDRESS(ROW(NOTA[TANGGAL]),COLUMN(NOTA[TANGGAL]))&amp;":"&amp;ADDRESS(ROW(),COLUMN(NOTA[TANGGAL]))),-1)))</f>
        <v>44946</v>
      </c>
      <c r="AH574" s="49" t="str">
        <f ca="1">IF(NOTA[[#This Row],[NAMA BARANG]]="","",INDEX(NOTA[SUPPLIER],MATCH(,INDIRECT(ADDRESS(ROW(NOTA[ID]),COLUMN(NOTA[ID]))&amp;":"&amp;ADDRESS(ROW(),COLUMN(NOTA[ID]))),-1)))</f>
        <v>ATALI MAKMUR</v>
      </c>
      <c r="AI574" s="49" t="str">
        <f ca="1">IF(NOTA[[#This Row],[ID_H]]="","",IF(NOTA[[#This Row],[FAKTUR]]="",INDIRECT(ADDRESS(ROW()-1,COLUMN())),NOTA[[#This Row],[FAKTUR]]))</f>
        <v>ARTO MORO</v>
      </c>
      <c r="AJ574" s="38" t="str">
        <f ca="1">IF(NOTA[[#This Row],[ID]]="","",COUNTIF(NOTA[ID_H],NOTA[[#This Row],[ID_H]]))</f>
        <v/>
      </c>
      <c r="AK574" s="38">
        <f ca="1">IF(NOTA[[#This Row],[TGL.NOTA]]="",IF(NOTA[[#This Row],[SUPPLIER_H]]="","",AK573),MONTH(NOTA[[#This Row],[TGL.NOTA]]))</f>
        <v>1</v>
      </c>
      <c r="AL574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M574" s="38" t="str">
        <f>IF(NOTA[C]="",NOTA[[#This Row],[CONCAT1]]&amp;NOTA[[#This Row],[HARGA SATUAN]],NOTA[[#This Row],[CONCAT1]]&amp;NOTA[[#This Row],[HARGA/ CTN_H]]&amp;NOTA[[#This Row],[DISC 1]]&amp;NOTA[[#This Row],[DISC 2]])</f>
        <v>scissorsc828jk6264000.1250.05</v>
      </c>
      <c r="AN574" s="184">
        <f>IF(NOTA[[#This Row],[CONCAT1]]="","",MATCH(NOTA[[#This Row],[CONCAT1]],[1]!db[NB NOTA_C],0)+1)</f>
        <v>1920</v>
      </c>
    </row>
    <row r="575" spans="1:40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Row],[CEK_EXP]]&lt;D574,"err","")</f>
        <v/>
      </c>
      <c r="D575" s="50">
        <f>IF(NOTA[[#This Row],[TANGGAL]]="",D574,NOTA[[#This Row],[TANGGAL]])</f>
        <v>44946</v>
      </c>
      <c r="E575" s="50">
        <f ca="1">IF(NOTA[[#This Row],[NAMA BARANG]]="","",INDEX(NOTA[ID],MATCH(,INDIRECT(ADDRESS(ROW(NOTA[ID]),COLUMN(NOTA[ID]))&amp;":"&amp;ADDRESS(ROW(),COLUMN(NOTA[ID]))),-1)))</f>
        <v>107</v>
      </c>
      <c r="F575" s="23"/>
      <c r="G575" s="26"/>
      <c r="H575" s="26"/>
      <c r="I575" s="31"/>
      <c r="J575" s="26"/>
      <c r="K575" s="51"/>
      <c r="L575" s="26"/>
      <c r="M575" s="26" t="s">
        <v>291</v>
      </c>
      <c r="N575" s="39">
        <v>1</v>
      </c>
      <c r="O575" s="26">
        <v>144</v>
      </c>
      <c r="P575" s="26" t="s">
        <v>104</v>
      </c>
      <c r="Q575" s="49">
        <v>6500</v>
      </c>
      <c r="R575" s="52"/>
      <c r="S575" s="39" t="s">
        <v>271</v>
      </c>
      <c r="T575" s="53">
        <v>0.125</v>
      </c>
      <c r="U575" s="53">
        <v>0.05</v>
      </c>
      <c r="V575" s="54"/>
      <c r="W575" s="37"/>
      <c r="X575" s="54">
        <f>IF(NOTA[[#This Row],[HARGA/ CTN]]="",NOTA[[#This Row],[JUMLAH_H]],NOTA[[#This Row],[HARGA/ CTN]]*IF(NOTA[[#This Row],[C]]="",0,NOTA[[#This Row],[C]]))</f>
        <v>936000</v>
      </c>
      <c r="Y575" s="54">
        <f>IF(NOTA[[#This Row],[JUMLAH]]="","",NOTA[[#This Row],[JUMLAH]]*NOTA[[#This Row],[DISC 1]])</f>
        <v>117000</v>
      </c>
      <c r="Z575" s="54">
        <f>IF(NOTA[[#This Row],[JUMLAH]]="","",(NOTA[[#This Row],[JUMLAH]]-NOTA[[#This Row],[DISC 1-]])*NOTA[[#This Row],[DISC 2]])</f>
        <v>40950</v>
      </c>
      <c r="AA575" s="54">
        <f>IF(NOTA[[#This Row],[JUMLAH]]="","",NOTA[[#This Row],[DISC 1-]]+NOTA[[#This Row],[DISC 2-]])</f>
        <v>157950</v>
      </c>
      <c r="AB575" s="54">
        <f>IF(NOTA[[#This Row],[JUMLAH]]="","",NOTA[[#This Row],[JUMLAH]]-NOTA[[#This Row],[DISC]])</f>
        <v>778050</v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575" s="54">
        <f>IF(OR(NOTA[[#This Row],[QTY]]="",NOTA[[#This Row],[HARGA SATUAN]]="",),"",NOTA[[#This Row],[QTY]]*NOTA[[#This Row],[HARGA SATUAN]])</f>
        <v>936000</v>
      </c>
      <c r="AG575" s="51">
        <f ca="1">IF(NOTA[ID_H]="","",INDEX(NOTA[TANGGAL],MATCH(,INDIRECT(ADDRESS(ROW(NOTA[TANGGAL]),COLUMN(NOTA[TANGGAL]))&amp;":"&amp;ADDRESS(ROW(),COLUMN(NOTA[TANGGAL]))),-1)))</f>
        <v>44946</v>
      </c>
      <c r="AH575" s="49" t="str">
        <f ca="1">IF(NOTA[[#This Row],[NAMA BARANG]]="","",INDEX(NOTA[SUPPLIER],MATCH(,INDIRECT(ADDRESS(ROW(NOTA[ID]),COLUMN(NOTA[ID]))&amp;":"&amp;ADDRESS(ROW(),COLUMN(NOTA[ID]))),-1)))</f>
        <v>ATALI MAKMUR</v>
      </c>
      <c r="AI575" s="49" t="str">
        <f ca="1">IF(NOTA[[#This Row],[ID_H]]="","",IF(NOTA[[#This Row],[FAKTUR]]="",INDIRECT(ADDRESS(ROW()-1,COLUMN())),NOTA[[#This Row],[FAKTUR]]))</f>
        <v>ARTO MORO</v>
      </c>
      <c r="AJ575" s="38" t="str">
        <f ca="1">IF(NOTA[[#This Row],[ID]]="","",COUNTIF(NOTA[ID_H],NOTA[[#This Row],[ID_H]]))</f>
        <v/>
      </c>
      <c r="AK575" s="38">
        <f ca="1">IF(NOTA[[#This Row],[TGL.NOTA]]="",IF(NOTA[[#This Row],[SUPPLIER_H]]="","",AK574),MONTH(NOTA[[#This Row],[TGL.NOTA]]))</f>
        <v>1</v>
      </c>
      <c r="AL575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M575" s="38" t="str">
        <f>IF(NOTA[C]="",NOTA[[#This Row],[CONCAT1]]&amp;NOTA[[#This Row],[HARGA SATUAN]],NOTA[[#This Row],[CONCAT1]]&amp;NOTA[[#This Row],[HARGA/ CTN_H]]&amp;NOTA[[#This Row],[DISC 1]]&amp;NOTA[[#This Row],[DISC 2]])</f>
        <v>scissorsc838jk9360000.1250.05</v>
      </c>
      <c r="AN575" s="184">
        <f>IF(NOTA[[#This Row],[CONCAT1]]="","",MATCH(NOTA[[#This Row],[CONCAT1]],[1]!db[NB NOTA_C],0)+1)</f>
        <v>1922</v>
      </c>
    </row>
    <row r="576" spans="1:40" s="48" customFormat="1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Row],[CEK_EXP]]&lt;D575,"err","")</f>
        <v/>
      </c>
      <c r="D576" s="50">
        <f>IF(NOTA[[#This Row],[TANGGAL]]="",D575,NOTA[[#This Row],[TANGGAL]])</f>
        <v>44946</v>
      </c>
      <c r="E576" s="50">
        <f ca="1">IF(NOTA[[#This Row],[NAMA BARANG]]="","",INDEX(NOTA[ID],MATCH(,INDIRECT(ADDRESS(ROW(NOTA[ID]),COLUMN(NOTA[ID]))&amp;":"&amp;ADDRESS(ROW(),COLUMN(NOTA[ID]))),-1)))</f>
        <v>107</v>
      </c>
      <c r="F576" s="23"/>
      <c r="G576" s="26"/>
      <c r="H576" s="26"/>
      <c r="I576" s="31"/>
      <c r="J576" s="26"/>
      <c r="K576" s="51"/>
      <c r="L576" s="26"/>
      <c r="M576" s="26" t="s">
        <v>272</v>
      </c>
      <c r="N576" s="39">
        <v>1</v>
      </c>
      <c r="O576" s="26">
        <v>144</v>
      </c>
      <c r="P576" s="26" t="s">
        <v>104</v>
      </c>
      <c r="Q576" s="49">
        <v>9750</v>
      </c>
      <c r="R576" s="52"/>
      <c r="S576" s="39" t="s">
        <v>271</v>
      </c>
      <c r="T576" s="53">
        <v>0.125</v>
      </c>
      <c r="U576" s="53">
        <v>0.05</v>
      </c>
      <c r="V576" s="54"/>
      <c r="W576" s="37"/>
      <c r="X576" s="54">
        <f>IF(NOTA[[#This Row],[HARGA/ CTN]]="",NOTA[[#This Row],[JUMLAH_H]],NOTA[[#This Row],[HARGA/ CTN]]*IF(NOTA[[#This Row],[C]]="",0,NOTA[[#This Row],[C]]))</f>
        <v>1404000</v>
      </c>
      <c r="Y576" s="54">
        <f>IF(NOTA[[#This Row],[JUMLAH]]="","",NOTA[[#This Row],[JUMLAH]]*NOTA[[#This Row],[DISC 1]])</f>
        <v>175500</v>
      </c>
      <c r="Z576" s="54">
        <f>IF(NOTA[[#This Row],[JUMLAH]]="","",(NOTA[[#This Row],[JUMLAH]]-NOTA[[#This Row],[DISC 1-]])*NOTA[[#This Row],[DISC 2]])</f>
        <v>61425</v>
      </c>
      <c r="AA576" s="54">
        <f>IF(NOTA[[#This Row],[JUMLAH]]="","",NOTA[[#This Row],[DISC 1-]]+NOTA[[#This Row],[DISC 2-]])</f>
        <v>236925</v>
      </c>
      <c r="AB576" s="54">
        <f>IF(NOTA[[#This Row],[JUMLAH]]="","",NOTA[[#This Row],[JUMLAH]]-NOTA[[#This Row],[DISC]])</f>
        <v>1167075</v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76" s="54">
        <f>IF(OR(NOTA[[#This Row],[QTY]]="",NOTA[[#This Row],[HARGA SATUAN]]="",),"",NOTA[[#This Row],[QTY]]*NOTA[[#This Row],[HARGA SATUAN]])</f>
        <v>1404000</v>
      </c>
      <c r="AG576" s="51">
        <f ca="1">IF(NOTA[ID_H]="","",INDEX(NOTA[TANGGAL],MATCH(,INDIRECT(ADDRESS(ROW(NOTA[TANGGAL]),COLUMN(NOTA[TANGGAL]))&amp;":"&amp;ADDRESS(ROW(),COLUMN(NOTA[TANGGAL]))),-1)))</f>
        <v>44946</v>
      </c>
      <c r="AH576" s="49" t="str">
        <f ca="1">IF(NOTA[[#This Row],[NAMA BARANG]]="","",INDEX(NOTA[SUPPLIER],MATCH(,INDIRECT(ADDRESS(ROW(NOTA[ID]),COLUMN(NOTA[ID]))&amp;":"&amp;ADDRESS(ROW(),COLUMN(NOTA[ID]))),-1)))</f>
        <v>ATALI MAKMUR</v>
      </c>
      <c r="AI576" s="49" t="str">
        <f ca="1">IF(NOTA[[#This Row],[ID_H]]="","",IF(NOTA[[#This Row],[FAKTUR]]="",INDIRECT(ADDRESS(ROW()-1,COLUMN())),NOTA[[#This Row],[FAKTUR]]))</f>
        <v>ARTO MORO</v>
      </c>
      <c r="AJ576" s="38" t="str">
        <f ca="1">IF(NOTA[[#This Row],[ID]]="","",COUNTIF(NOTA[ID_H],NOTA[[#This Row],[ID_H]]))</f>
        <v/>
      </c>
      <c r="AK576" s="38">
        <f ca="1">IF(NOTA[[#This Row],[TGL.NOTA]]="",IF(NOTA[[#This Row],[SUPPLIER_H]]="","",AK575),MONTH(NOTA[[#This Row],[TGL.NOTA]]))</f>
        <v>1</v>
      </c>
      <c r="AL576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M576" s="38" t="str">
        <f>IF(NOTA[C]="",NOTA[[#This Row],[CONCAT1]]&amp;NOTA[[#This Row],[HARGA SATUAN]],NOTA[[#This Row],[CONCAT1]]&amp;NOTA[[#This Row],[HARGA/ CTN_H]]&amp;NOTA[[#This Row],[DISC 1]]&amp;NOTA[[#This Row],[DISC 2]])</f>
        <v>scissorsc848jk14040000.1250.05</v>
      </c>
      <c r="AN576" s="184">
        <f>IF(NOTA[[#This Row],[CONCAT1]]="","",MATCH(NOTA[[#This Row],[CONCAT1]],[1]!db[NB NOTA_C],0)+1)</f>
        <v>1924</v>
      </c>
    </row>
    <row r="577" spans="1:40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Row],[CEK_EXP]]&lt;D576,"err","")</f>
        <v/>
      </c>
      <c r="D577" s="50">
        <f>IF(NOTA[[#This Row],[TANGGAL]]="",D576,NOTA[[#This Row],[TANGGAL]])</f>
        <v>44946</v>
      </c>
      <c r="E577" s="50">
        <f ca="1">IF(NOTA[[#This Row],[NAMA BARANG]]="","",INDEX(NOTA[ID],MATCH(,INDIRECT(ADDRESS(ROW(NOTA[ID]),COLUMN(NOTA[ID]))&amp;":"&amp;ADDRESS(ROW(),COLUMN(NOTA[ID]))),-1)))</f>
        <v>107</v>
      </c>
      <c r="F577" s="23"/>
      <c r="G577" s="26"/>
      <c r="H577" s="26"/>
      <c r="I577" s="31"/>
      <c r="J577" s="26"/>
      <c r="K577" s="51"/>
      <c r="L577" s="26"/>
      <c r="M577" s="26" t="s">
        <v>426</v>
      </c>
      <c r="N577" s="39">
        <v>3</v>
      </c>
      <c r="O577" s="26">
        <v>216</v>
      </c>
      <c r="P577" s="26" t="s">
        <v>116</v>
      </c>
      <c r="Q577" s="49">
        <v>37200</v>
      </c>
      <c r="R577" s="52"/>
      <c r="S577" s="39" t="s">
        <v>427</v>
      </c>
      <c r="T577" s="53">
        <v>0.125</v>
      </c>
      <c r="U577" s="53">
        <v>0.05</v>
      </c>
      <c r="V577" s="54"/>
      <c r="W577" s="37"/>
      <c r="X577" s="54">
        <f>IF(NOTA[[#This Row],[HARGA/ CTN]]="",NOTA[[#This Row],[JUMLAH_H]],NOTA[[#This Row],[HARGA/ CTN]]*IF(NOTA[[#This Row],[C]]="",0,NOTA[[#This Row],[C]]))</f>
        <v>8035200</v>
      </c>
      <c r="Y577" s="54">
        <f>IF(NOTA[[#This Row],[JUMLAH]]="","",NOTA[[#This Row],[JUMLAH]]*NOTA[[#This Row],[DISC 1]])</f>
        <v>1004400</v>
      </c>
      <c r="Z577" s="54">
        <f>IF(NOTA[[#This Row],[JUMLAH]]="","",(NOTA[[#This Row],[JUMLAH]]-NOTA[[#This Row],[DISC 1-]])*NOTA[[#This Row],[DISC 2]])</f>
        <v>351540</v>
      </c>
      <c r="AA577" s="54">
        <f>IF(NOTA[[#This Row],[JUMLAH]]="","",NOTA[[#This Row],[DISC 1-]]+NOTA[[#This Row],[DISC 2-]])</f>
        <v>1355940</v>
      </c>
      <c r="AB577" s="54">
        <f>IF(NOTA[[#This Row],[JUMLAH]]="","",NOTA[[#This Row],[JUMLAH]]-NOTA[[#This Row],[DISC]])</f>
        <v>6679260</v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77" s="54">
        <f>IF(OR(NOTA[[#This Row],[QTY]]="",NOTA[[#This Row],[HARGA SATUAN]]="",),"",NOTA[[#This Row],[QTY]]*NOTA[[#This Row],[HARGA SATUAN]])</f>
        <v>8035200</v>
      </c>
      <c r="AG577" s="51">
        <f ca="1">IF(NOTA[ID_H]="","",INDEX(NOTA[TANGGAL],MATCH(,INDIRECT(ADDRESS(ROW(NOTA[TANGGAL]),COLUMN(NOTA[TANGGAL]))&amp;":"&amp;ADDRESS(ROW(),COLUMN(NOTA[TANGGAL]))),-1)))</f>
        <v>44946</v>
      </c>
      <c r="AH577" s="49" t="str">
        <f ca="1">IF(NOTA[[#This Row],[NAMA BARANG]]="","",INDEX(NOTA[SUPPLIER],MATCH(,INDIRECT(ADDRESS(ROW(NOTA[ID]),COLUMN(NOTA[ID]))&amp;":"&amp;ADDRESS(ROW(),COLUMN(NOTA[ID]))),-1)))</f>
        <v>ATALI MAKMUR</v>
      </c>
      <c r="AI577" s="49" t="str">
        <f ca="1">IF(NOTA[[#This Row],[ID_H]]="","",IF(NOTA[[#This Row],[FAKTUR]]="",INDIRECT(ADDRESS(ROW()-1,COLUMN())),NOTA[[#This Row],[FAKTUR]]))</f>
        <v>ARTO MORO</v>
      </c>
      <c r="AJ577" s="38" t="str">
        <f ca="1">IF(NOTA[[#This Row],[ID]]="","",COUNTIF(NOTA[ID_H],NOTA[[#This Row],[ID_H]]))</f>
        <v/>
      </c>
      <c r="AK577" s="38">
        <f ca="1">IF(NOTA[[#This Row],[TGL.NOTA]]="",IF(NOTA[[#This Row],[SUPPLIER_H]]="","",AK576),MONTH(NOTA[[#This Row],[TGL.NOTA]]))</f>
        <v>1</v>
      </c>
      <c r="AL57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577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N577" s="184">
        <f>IF(NOTA[[#This Row],[CONCAT1]]="","",MATCH(NOTA[[#This Row],[CONCAT1]],[1]!db[NB NOTA_C],0)+1)</f>
        <v>1762</v>
      </c>
    </row>
    <row r="578" spans="1:40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Row],[CEK_EXP]]&lt;D577,"err","")</f>
        <v/>
      </c>
      <c r="D578" s="50">
        <f>IF(NOTA[[#This Row],[TANGGAL]]="",D577,NOTA[[#This Row],[TANGGAL]])</f>
        <v>44946</v>
      </c>
      <c r="E578" s="50">
        <f ca="1">IF(NOTA[[#This Row],[NAMA BARANG]]="","",INDEX(NOTA[ID],MATCH(,INDIRECT(ADDRESS(ROW(NOTA[ID]),COLUMN(NOTA[ID]))&amp;":"&amp;ADDRESS(ROW(),COLUMN(NOTA[ID]))),-1)))</f>
        <v>107</v>
      </c>
      <c r="F578" s="23"/>
      <c r="G578" s="26"/>
      <c r="H578" s="26"/>
      <c r="I578" s="31"/>
      <c r="J578" s="26"/>
      <c r="K578" s="51"/>
      <c r="L578" s="26"/>
      <c r="M578" s="26" t="s">
        <v>731</v>
      </c>
      <c r="N578" s="39">
        <v>3</v>
      </c>
      <c r="O578" s="26">
        <v>864</v>
      </c>
      <c r="P578" s="26" t="s">
        <v>104</v>
      </c>
      <c r="Q578" s="49">
        <v>2150</v>
      </c>
      <c r="R578" s="52"/>
      <c r="S578" s="39" t="s">
        <v>664</v>
      </c>
      <c r="T578" s="53">
        <v>0.125</v>
      </c>
      <c r="U578" s="53">
        <v>0.05</v>
      </c>
      <c r="V578" s="54"/>
      <c r="W578" s="37"/>
      <c r="X578" s="54">
        <f>IF(NOTA[[#This Row],[HARGA/ CTN]]="",NOTA[[#This Row],[JUMLAH_H]],NOTA[[#This Row],[HARGA/ CTN]]*IF(NOTA[[#This Row],[C]]="",0,NOTA[[#This Row],[C]]))</f>
        <v>1857600</v>
      </c>
      <c r="Y578" s="54">
        <f>IF(NOTA[[#This Row],[JUMLAH]]="","",NOTA[[#This Row],[JUMLAH]]*NOTA[[#This Row],[DISC 1]])</f>
        <v>232200</v>
      </c>
      <c r="Z578" s="54">
        <f>IF(NOTA[[#This Row],[JUMLAH]]="","",(NOTA[[#This Row],[JUMLAH]]-NOTA[[#This Row],[DISC 1-]])*NOTA[[#This Row],[DISC 2]])</f>
        <v>81270</v>
      </c>
      <c r="AA578" s="54">
        <f>IF(NOTA[[#This Row],[JUMLAH]]="","",NOTA[[#This Row],[DISC 1-]]+NOTA[[#This Row],[DISC 2-]])</f>
        <v>313470</v>
      </c>
      <c r="AB578" s="54">
        <f>IF(NOTA[[#This Row],[JUMLAH]]="","",NOTA[[#This Row],[JUMLAH]]-NOTA[[#This Row],[DISC]])</f>
        <v>1544130</v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49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578" s="54">
        <f>IF(OR(NOTA[[#This Row],[QTY]]="",NOTA[[#This Row],[HARGA SATUAN]]="",),"",NOTA[[#This Row],[QTY]]*NOTA[[#This Row],[HARGA SATUAN]])</f>
        <v>1857600</v>
      </c>
      <c r="AG578" s="51">
        <f ca="1">IF(NOTA[ID_H]="","",INDEX(NOTA[TANGGAL],MATCH(,INDIRECT(ADDRESS(ROW(NOTA[TANGGAL]),COLUMN(NOTA[TANGGAL]))&amp;":"&amp;ADDRESS(ROW(),COLUMN(NOTA[TANGGAL]))),-1)))</f>
        <v>44946</v>
      </c>
      <c r="AH578" s="49" t="str">
        <f ca="1">IF(NOTA[[#This Row],[NAMA BARANG]]="","",INDEX(NOTA[SUPPLIER],MATCH(,INDIRECT(ADDRESS(ROW(NOTA[ID]),COLUMN(NOTA[ID]))&amp;":"&amp;ADDRESS(ROW(),COLUMN(NOTA[ID]))),-1)))</f>
        <v>ATALI MAKMUR</v>
      </c>
      <c r="AI578" s="49" t="str">
        <f ca="1">IF(NOTA[[#This Row],[ID_H]]="","",IF(NOTA[[#This Row],[FAKTUR]]="",INDIRECT(ADDRESS(ROW()-1,COLUMN())),NOTA[[#This Row],[FAKTUR]]))</f>
        <v>ARTO MORO</v>
      </c>
      <c r="AJ578" s="38" t="str">
        <f ca="1">IF(NOTA[[#This Row],[ID]]="","",COUNTIF(NOTA[ID_H],NOTA[[#This Row],[ID_H]]))</f>
        <v/>
      </c>
      <c r="AK578" s="38">
        <f ca="1">IF(NOTA[[#This Row],[TGL.NOTA]]="",IF(NOTA[[#This Row],[SUPPLIER_H]]="","",AK577),MONTH(NOTA[[#This Row],[TGL.NOTA]]))</f>
        <v>1</v>
      </c>
      <c r="AL57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M578" s="38" t="str">
        <f>IF(NOTA[C]="",NOTA[[#This Row],[CONCAT1]]&amp;NOTA[[#This Row],[HARGA SATUAN]],NOTA[[#This Row],[CONCAT1]]&amp;NOTA[[#This Row],[HARGA/ CTN_H]]&amp;NOTA[[#This Row],[DISC 1]]&amp;NOTA[[#This Row],[DISC 2]])</f>
        <v>glueglr50jk6192000.1250.05</v>
      </c>
      <c r="AN578" s="184">
        <f>IF(NOTA[[#This Row],[CONCAT1]]="","",MATCH(NOTA[[#This Row],[CONCAT1]],[1]!db[NB NOTA_C],0)+1)</f>
        <v>921</v>
      </c>
    </row>
    <row r="579" spans="1:40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Row],[CEK_EXP]]&lt;D578,"err","")</f>
        <v/>
      </c>
      <c r="D579" s="50">
        <f>IF(NOTA[[#This Row],[TANGGAL]]="",D578,NOTA[[#This Row],[TANGGAL]])</f>
        <v>44946</v>
      </c>
      <c r="E579" s="50">
        <f ca="1">IF(NOTA[[#This Row],[NAMA BARANG]]="","",INDEX(NOTA[ID],MATCH(,INDIRECT(ADDRESS(ROW(NOTA[ID]),COLUMN(NOTA[ID]))&amp;":"&amp;ADDRESS(ROW(),COLUMN(NOTA[ID]))),-1)))</f>
        <v>107</v>
      </c>
      <c r="F579" s="23"/>
      <c r="G579" s="26"/>
      <c r="H579" s="26"/>
      <c r="I579" s="31"/>
      <c r="J579" s="26"/>
      <c r="K579" s="51"/>
      <c r="L579" s="26"/>
      <c r="M579" s="26" t="s">
        <v>680</v>
      </c>
      <c r="N579" s="39">
        <v>4</v>
      </c>
      <c r="O579" s="26">
        <v>3456</v>
      </c>
      <c r="P579" s="26" t="s">
        <v>104</v>
      </c>
      <c r="Q579" s="49">
        <v>2100</v>
      </c>
      <c r="R579" s="52"/>
      <c r="S579" s="39" t="s">
        <v>681</v>
      </c>
      <c r="T579" s="53">
        <v>0.125</v>
      </c>
      <c r="U579" s="53">
        <v>0.05</v>
      </c>
      <c r="V579" s="54"/>
      <c r="W579" s="37"/>
      <c r="X579" s="54">
        <f>IF(NOTA[[#This Row],[HARGA/ CTN]]="",NOTA[[#This Row],[JUMLAH_H]],NOTA[[#This Row],[HARGA/ CTN]]*IF(NOTA[[#This Row],[C]]="",0,NOTA[[#This Row],[C]]))</f>
        <v>7257600</v>
      </c>
      <c r="Y579" s="54">
        <f>IF(NOTA[[#This Row],[JUMLAH]]="","",NOTA[[#This Row],[JUMLAH]]*NOTA[[#This Row],[DISC 1]])</f>
        <v>907200</v>
      </c>
      <c r="Z579" s="54">
        <f>IF(NOTA[[#This Row],[JUMLAH]]="","",(NOTA[[#This Row],[JUMLAH]]-NOTA[[#This Row],[DISC 1-]])*NOTA[[#This Row],[DISC 2]])</f>
        <v>317520</v>
      </c>
      <c r="AA579" s="54">
        <f>IF(NOTA[[#This Row],[JUMLAH]]="","",NOTA[[#This Row],[DISC 1-]]+NOTA[[#This Row],[DISC 2-]])</f>
        <v>1224720</v>
      </c>
      <c r="AB579" s="54">
        <f>IF(NOTA[[#This Row],[JUMLAH]]="","",NOTA[[#This Row],[JUMLAH]]-NOTA[[#This Row],[DISC]])</f>
        <v>6032880</v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79" s="54">
        <f>IF(OR(NOTA[[#This Row],[QTY]]="",NOTA[[#This Row],[HARGA SATUAN]]="",),"",NOTA[[#This Row],[QTY]]*NOTA[[#This Row],[HARGA SATUAN]])</f>
        <v>7257600</v>
      </c>
      <c r="AG579" s="51">
        <f ca="1">IF(NOTA[ID_H]="","",INDEX(NOTA[TANGGAL],MATCH(,INDIRECT(ADDRESS(ROW(NOTA[TANGGAL]),COLUMN(NOTA[TANGGAL]))&amp;":"&amp;ADDRESS(ROW(),COLUMN(NOTA[TANGGAL]))),-1)))</f>
        <v>44946</v>
      </c>
      <c r="AH579" s="49" t="str">
        <f ca="1">IF(NOTA[[#This Row],[NAMA BARANG]]="","",INDEX(NOTA[SUPPLIER],MATCH(,INDIRECT(ADDRESS(ROW(NOTA[ID]),COLUMN(NOTA[ID]))&amp;":"&amp;ADDRESS(ROW(),COLUMN(NOTA[ID]))),-1)))</f>
        <v>ATALI MAKMUR</v>
      </c>
      <c r="AI579" s="49" t="str">
        <f ca="1">IF(NOTA[[#This Row],[ID_H]]="","",IF(NOTA[[#This Row],[FAKTUR]]="",INDIRECT(ADDRESS(ROW()-1,COLUMN())),NOTA[[#This Row],[FAKTUR]]))</f>
        <v>ARTO MORO</v>
      </c>
      <c r="AJ579" s="38" t="str">
        <f ca="1">IF(NOTA[[#This Row],[ID]]="","",COUNTIF(NOTA[ID_H],NOTA[[#This Row],[ID_H]]))</f>
        <v/>
      </c>
      <c r="AK579" s="38">
        <f ca="1">IF(NOTA[[#This Row],[TGL.NOTA]]="",IF(NOTA[[#This Row],[SUPPLIER_H]]="","",AK578),MONTH(NOTA[[#This Row],[TGL.NOTA]]))</f>
        <v>1</v>
      </c>
      <c r="AL579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79" s="38" t="str">
        <f>IF(NOTA[C]="",NOTA[[#This Row],[CONCAT1]]&amp;NOTA[[#This Row],[HARGA SATUAN]],NOTA[[#This Row],[CONCAT1]]&amp;NOTA[[#This Row],[HARGA/ CTN_H]]&amp;NOTA[[#This Row],[DISC 1]]&amp;NOTA[[#This Row],[DISC 2]])</f>
        <v>gluestickgs1008gramjk18144000.1250.05</v>
      </c>
      <c r="AN579" s="184">
        <f>IF(NOTA[[#This Row],[CONCAT1]]="","",MATCH(NOTA[[#This Row],[CONCAT1]],[1]!db[NB NOTA_C],0)+1)</f>
        <v>928</v>
      </c>
    </row>
    <row r="580" spans="1:40" s="48" customFormat="1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Row],[CEK_EXP]]&lt;D579,"err","")</f>
        <v/>
      </c>
      <c r="D580" s="50">
        <f>IF(NOTA[[#This Row],[TANGGAL]]="",D579,NOTA[[#This Row],[TANGGAL]])</f>
        <v>44946</v>
      </c>
      <c r="E580" s="50">
        <f ca="1">IF(NOTA[[#This Row],[NAMA BARANG]]="","",INDEX(NOTA[ID],MATCH(,INDIRECT(ADDRESS(ROW(NOTA[ID]),COLUMN(NOTA[ID]))&amp;":"&amp;ADDRESS(ROW(),COLUMN(NOTA[ID]))),-1)))</f>
        <v>107</v>
      </c>
      <c r="F580" s="23"/>
      <c r="G580" s="26"/>
      <c r="H580" s="26"/>
      <c r="I580" s="31"/>
      <c r="J580" s="26"/>
      <c r="K580" s="51"/>
      <c r="L580" s="26"/>
      <c r="M580" s="26" t="s">
        <v>486</v>
      </c>
      <c r="N580" s="39">
        <v>2</v>
      </c>
      <c r="O580" s="26">
        <v>40</v>
      </c>
      <c r="P580" s="26" t="s">
        <v>104</v>
      </c>
      <c r="Q580" s="49">
        <v>40500</v>
      </c>
      <c r="R580" s="52"/>
      <c r="S580" s="39" t="s">
        <v>487</v>
      </c>
      <c r="T580" s="53">
        <v>0.125</v>
      </c>
      <c r="U580" s="53">
        <v>0.05</v>
      </c>
      <c r="V580" s="54"/>
      <c r="W580" s="37"/>
      <c r="X580" s="54">
        <f>IF(NOTA[[#This Row],[HARGA/ CTN]]="",NOTA[[#This Row],[JUMLAH_H]],NOTA[[#This Row],[HARGA/ CTN]]*IF(NOTA[[#This Row],[C]]="",0,NOTA[[#This Row],[C]]))</f>
        <v>1620000</v>
      </c>
      <c r="Y580" s="54">
        <f>IF(NOTA[[#This Row],[JUMLAH]]="","",NOTA[[#This Row],[JUMLAH]]*NOTA[[#This Row],[DISC 1]])</f>
        <v>202500</v>
      </c>
      <c r="Z580" s="54">
        <f>IF(NOTA[[#This Row],[JUMLAH]]="","",(NOTA[[#This Row],[JUMLAH]]-NOTA[[#This Row],[DISC 1-]])*NOTA[[#This Row],[DISC 2]])</f>
        <v>70875</v>
      </c>
      <c r="AA580" s="54">
        <f>IF(NOTA[[#This Row],[JUMLAH]]="","",NOTA[[#This Row],[DISC 1-]]+NOTA[[#This Row],[DISC 2-]])</f>
        <v>273375</v>
      </c>
      <c r="AB580" s="54">
        <f>IF(NOTA[[#This Row],[JUMLAH]]="","",NOTA[[#This Row],[JUMLAH]]-NOTA[[#This Row],[DISC]])</f>
        <v>1346625</v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80" s="54">
        <f>IF(OR(NOTA[[#This Row],[QTY]]="",NOTA[[#This Row],[HARGA SATUAN]]="",),"",NOTA[[#This Row],[QTY]]*NOTA[[#This Row],[HARGA SATUAN]])</f>
        <v>1620000</v>
      </c>
      <c r="AG580" s="51">
        <f ca="1">IF(NOTA[ID_H]="","",INDEX(NOTA[TANGGAL],MATCH(,INDIRECT(ADDRESS(ROW(NOTA[TANGGAL]),COLUMN(NOTA[TANGGAL]))&amp;":"&amp;ADDRESS(ROW(),COLUMN(NOTA[TANGGAL]))),-1)))</f>
        <v>44946</v>
      </c>
      <c r="AH580" s="49" t="str">
        <f ca="1">IF(NOTA[[#This Row],[NAMA BARANG]]="","",INDEX(NOTA[SUPPLIER],MATCH(,INDIRECT(ADDRESS(ROW(NOTA[ID]),COLUMN(NOTA[ID]))&amp;":"&amp;ADDRESS(ROW(),COLUMN(NOTA[ID]))),-1)))</f>
        <v>ATALI MAKMUR</v>
      </c>
      <c r="AI580" s="49" t="str">
        <f ca="1">IF(NOTA[[#This Row],[ID_H]]="","",IF(NOTA[[#This Row],[FAKTUR]]="",INDIRECT(ADDRESS(ROW()-1,COLUMN())),NOTA[[#This Row],[FAKTUR]]))</f>
        <v>ARTO MORO</v>
      </c>
      <c r="AJ580" s="38" t="str">
        <f ca="1">IF(NOTA[[#This Row],[ID]]="","",COUNTIF(NOTA[ID_H],NOTA[[#This Row],[ID_H]]))</f>
        <v/>
      </c>
      <c r="AK580" s="38">
        <f ca="1">IF(NOTA[[#This Row],[TGL.NOTA]]="",IF(NOTA[[#This Row],[SUPPLIER_H]]="","",AK579),MONTH(NOTA[[#This Row],[TGL.NOTA]]))</f>
        <v>1</v>
      </c>
      <c r="AL580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580" s="38" t="str">
        <f>IF(NOTA[C]="",NOTA[[#This Row],[CONCAT1]]&amp;NOTA[[#This Row],[HARGA SATUAN]],NOTA[[#This Row],[CONCAT1]]&amp;NOTA[[#This Row],[HARGA/ CTN_H]]&amp;NOTA[[#This Row],[DISC 1]]&amp;NOTA[[#This Row],[DISC 2]])</f>
        <v>labellermx5500m8digitsjk8100000.1250.05</v>
      </c>
      <c r="AN580" s="184">
        <f>IF(NOTA[[#This Row],[CONCAT1]]="","",MATCH(NOTA[[#This Row],[CONCAT1]],[1]!db[NB NOTA_C],0)+1)</f>
        <v>1355</v>
      </c>
    </row>
    <row r="581" spans="1:40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Row],[CEK_EXP]]&lt;D580,"err","")</f>
        <v/>
      </c>
      <c r="D581" s="50">
        <f>IF(NOTA[[#This Row],[TANGGAL]]="",D580,NOTA[[#This Row],[TANGGAL]])</f>
        <v>44946</v>
      </c>
      <c r="E581" s="50">
        <f ca="1">IF(NOTA[[#This Row],[NAMA BARANG]]="","",INDEX(NOTA[ID],MATCH(,INDIRECT(ADDRESS(ROW(NOTA[ID]),COLUMN(NOTA[ID]))&amp;":"&amp;ADDRESS(ROW(),COLUMN(NOTA[ID]))),-1)))</f>
        <v>107</v>
      </c>
      <c r="F581" s="23"/>
      <c r="G581" s="26"/>
      <c r="H581" s="26"/>
      <c r="I581" s="31"/>
      <c r="J581" s="26"/>
      <c r="K581" s="51"/>
      <c r="L581" s="26"/>
      <c r="M581" s="26" t="s">
        <v>438</v>
      </c>
      <c r="N581" s="39">
        <v>2</v>
      </c>
      <c r="O581" s="26">
        <v>1000</v>
      </c>
      <c r="P581" s="26" t="s">
        <v>131</v>
      </c>
      <c r="Q581" s="49">
        <v>1625</v>
      </c>
      <c r="R581" s="52"/>
      <c r="S581" s="39" t="s">
        <v>479</v>
      </c>
      <c r="T581" s="53">
        <v>0.125</v>
      </c>
      <c r="U581" s="53">
        <v>0.05</v>
      </c>
      <c r="V581" s="54"/>
      <c r="W581" s="37"/>
      <c r="X581" s="54">
        <f>IF(NOTA[[#This Row],[HARGA/ CTN]]="",NOTA[[#This Row],[JUMLAH_H]],NOTA[[#This Row],[HARGA/ CTN]]*IF(NOTA[[#This Row],[C]]="",0,NOTA[[#This Row],[C]]))</f>
        <v>1625000</v>
      </c>
      <c r="Y581" s="54">
        <f>IF(NOTA[[#This Row],[JUMLAH]]="","",NOTA[[#This Row],[JUMLAH]]*NOTA[[#This Row],[DISC 1]])</f>
        <v>203125</v>
      </c>
      <c r="Z581" s="54">
        <f>IF(NOTA[[#This Row],[JUMLAH]]="","",(NOTA[[#This Row],[JUMLAH]]-NOTA[[#This Row],[DISC 1-]])*NOTA[[#This Row],[DISC 2]])</f>
        <v>71093.75</v>
      </c>
      <c r="AA581" s="54">
        <f>IF(NOTA[[#This Row],[JUMLAH]]="","",NOTA[[#This Row],[DISC 1-]]+NOTA[[#This Row],[DISC 2-]])</f>
        <v>274218.75</v>
      </c>
      <c r="AB581" s="54">
        <f>IF(NOTA[[#This Row],[JUMLAH]]="","",NOTA[[#This Row],[JUMLAH]]-NOTA[[#This Row],[DISC]])</f>
        <v>1350781.25</v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581" s="54">
        <f>IF(OR(NOTA[[#This Row],[QTY]]="",NOTA[[#This Row],[HARGA SATUAN]]="",),"",NOTA[[#This Row],[QTY]]*NOTA[[#This Row],[HARGA SATUAN]])</f>
        <v>1625000</v>
      </c>
      <c r="AG581" s="51">
        <f ca="1">IF(NOTA[ID_H]="","",INDEX(NOTA[TANGGAL],MATCH(,INDIRECT(ADDRESS(ROW(NOTA[TANGGAL]),COLUMN(NOTA[TANGGAL]))&amp;":"&amp;ADDRESS(ROW(),COLUMN(NOTA[TANGGAL]))),-1)))</f>
        <v>44946</v>
      </c>
      <c r="AH581" s="49" t="str">
        <f ca="1">IF(NOTA[[#This Row],[NAMA BARANG]]="","",INDEX(NOTA[SUPPLIER],MATCH(,INDIRECT(ADDRESS(ROW(NOTA[ID]),COLUMN(NOTA[ID]))&amp;":"&amp;ADDRESS(ROW(),COLUMN(NOTA[ID]))),-1)))</f>
        <v>ATALI MAKMUR</v>
      </c>
      <c r="AI581" s="49" t="str">
        <f ca="1">IF(NOTA[[#This Row],[ID_H]]="","",IF(NOTA[[#This Row],[FAKTUR]]="",INDIRECT(ADDRESS(ROW()-1,COLUMN())),NOTA[[#This Row],[FAKTUR]]))</f>
        <v>ARTO MORO</v>
      </c>
      <c r="AJ581" s="38" t="str">
        <f ca="1">IF(NOTA[[#This Row],[ID]]="","",COUNTIF(NOTA[ID_H],NOTA[[#This Row],[ID_H]]))</f>
        <v/>
      </c>
      <c r="AK581" s="38">
        <f ca="1">IF(NOTA[[#This Row],[TGL.NOTA]]="",IF(NOTA[[#This Row],[SUPPLIER_H]]="","",AK580),MONTH(NOTA[[#This Row],[TGL.NOTA]]))</f>
        <v>1</v>
      </c>
      <c r="AL58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581" s="38" t="str">
        <f>IF(NOTA[C]="",NOTA[[#This Row],[CONCAT1]]&amp;NOTA[[#This Row],[HARGA SATUAN]],NOTA[[#This Row],[CONCAT1]]&amp;NOTA[[#This Row],[HARGA/ CTN_H]]&amp;NOTA[[#This Row],[DISC 1]]&amp;NOTA[[#This Row],[DISC 2]])</f>
        <v>trigonalclipno3jk8125000.1250.05</v>
      </c>
      <c r="AN581" s="184">
        <f>IF(NOTA[[#This Row],[CONCAT1]]="","",MATCH(NOTA[[#This Row],[CONCAT1]],[1]!db[NB NOTA_C],0)+1)</f>
        <v>2090</v>
      </c>
    </row>
    <row r="582" spans="1:40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Row],[CEK_EXP]]&lt;D581,"err","")</f>
        <v/>
      </c>
      <c r="D582" s="50">
        <f>IF(NOTA[[#This Row],[TANGGAL]]="",D581,NOTA[[#This Row],[TANGGAL]])</f>
        <v>44946</v>
      </c>
      <c r="E582" s="50">
        <f ca="1">IF(NOTA[[#This Row],[NAMA BARANG]]="","",INDEX(NOTA[ID],MATCH(,INDIRECT(ADDRESS(ROW(NOTA[ID]),COLUMN(NOTA[ID]))&amp;":"&amp;ADDRESS(ROW(),COLUMN(NOTA[ID]))),-1)))</f>
        <v>107</v>
      </c>
      <c r="F582" s="23"/>
      <c r="G582" s="26"/>
      <c r="H582" s="26"/>
      <c r="I582" s="31"/>
      <c r="J582" s="26"/>
      <c r="K582" s="51"/>
      <c r="L582" s="26"/>
      <c r="M582" s="26" t="s">
        <v>278</v>
      </c>
      <c r="N582" s="39">
        <v>2</v>
      </c>
      <c r="O582" s="26">
        <v>100</v>
      </c>
      <c r="P582" s="26" t="s">
        <v>131</v>
      </c>
      <c r="Q582" s="49">
        <v>28300</v>
      </c>
      <c r="R582" s="52"/>
      <c r="S582" s="39" t="s">
        <v>279</v>
      </c>
      <c r="T582" s="53">
        <v>0.125</v>
      </c>
      <c r="U582" s="53">
        <v>0.05</v>
      </c>
      <c r="V582" s="54"/>
      <c r="W582" s="37"/>
      <c r="X582" s="54">
        <f>IF(NOTA[[#This Row],[HARGA/ CTN]]="",NOTA[[#This Row],[JUMLAH_H]],NOTA[[#This Row],[HARGA/ CTN]]*IF(NOTA[[#This Row],[C]]="",0,NOTA[[#This Row],[C]]))</f>
        <v>2830000</v>
      </c>
      <c r="Y582" s="54">
        <f>IF(NOTA[[#This Row],[JUMLAH]]="","",NOTA[[#This Row],[JUMLAH]]*NOTA[[#This Row],[DISC 1]])</f>
        <v>353750</v>
      </c>
      <c r="Z582" s="54">
        <f>IF(NOTA[[#This Row],[JUMLAH]]="","",(NOTA[[#This Row],[JUMLAH]]-NOTA[[#This Row],[DISC 1-]])*NOTA[[#This Row],[DISC 2]])</f>
        <v>123812.5</v>
      </c>
      <c r="AA582" s="54">
        <f>IF(NOTA[[#This Row],[JUMLAH]]="","",NOTA[[#This Row],[DISC 1-]]+NOTA[[#This Row],[DISC 2-]])</f>
        <v>477562.5</v>
      </c>
      <c r="AB582" s="54">
        <f>IF(NOTA[[#This Row],[JUMLAH]]="","",NOTA[[#This Row],[JUMLAH]]-NOTA[[#This Row],[DISC]])</f>
        <v>2352437.5</v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82" s="54">
        <f>IF(OR(NOTA[[#This Row],[QTY]]="",NOTA[[#This Row],[HARGA SATUAN]]="",),"",NOTA[[#This Row],[QTY]]*NOTA[[#This Row],[HARGA SATUAN]])</f>
        <v>2830000</v>
      </c>
      <c r="AG582" s="51">
        <f ca="1">IF(NOTA[ID_H]="","",INDEX(NOTA[TANGGAL],MATCH(,INDIRECT(ADDRESS(ROW(NOTA[TANGGAL]),COLUMN(NOTA[TANGGAL]))&amp;":"&amp;ADDRESS(ROW(),COLUMN(NOTA[TANGGAL]))),-1)))</f>
        <v>44946</v>
      </c>
      <c r="AH582" s="49" t="str">
        <f ca="1">IF(NOTA[[#This Row],[NAMA BARANG]]="","",INDEX(NOTA[SUPPLIER],MATCH(,INDIRECT(ADDRESS(ROW(NOTA[ID]),COLUMN(NOTA[ID]))&amp;":"&amp;ADDRESS(ROW(),COLUMN(NOTA[ID]))),-1)))</f>
        <v>ATALI MAKMUR</v>
      </c>
      <c r="AI582" s="49" t="str">
        <f ca="1">IF(NOTA[[#This Row],[ID_H]]="","",IF(NOTA[[#This Row],[FAKTUR]]="",INDIRECT(ADDRESS(ROW()-1,COLUMN())),NOTA[[#This Row],[FAKTUR]]))</f>
        <v>ARTO MORO</v>
      </c>
      <c r="AJ582" s="38" t="str">
        <f ca="1">IF(NOTA[[#This Row],[ID]]="","",COUNTIF(NOTA[ID_H],NOTA[[#This Row],[ID_H]]))</f>
        <v/>
      </c>
      <c r="AK582" s="38">
        <f ca="1">IF(NOTA[[#This Row],[TGL.NOTA]]="",IF(NOTA[[#This Row],[SUPPLIER_H]]="","",AK581),MONTH(NOTA[[#This Row],[TGL.NOTA]]))</f>
        <v>1</v>
      </c>
      <c r="AL58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582" s="38" t="str">
        <f>IF(NOTA[C]="",NOTA[[#This Row],[CONCAT1]]&amp;NOTA[[#This Row],[HARGA SATUAN]],NOTA[[#This Row],[CONCAT1]]&amp;NOTA[[#This Row],[HARGA/ CTN_H]]&amp;NOTA[[#This Row],[DISC 1]]&amp;NOTA[[#This Row],[DISC 2]])</f>
        <v>eraser526b40pjk14150000.1250.05</v>
      </c>
      <c r="AN582" s="184">
        <f>IF(NOTA[[#This Row],[CONCAT1]]="","",MATCH(NOTA[[#This Row],[CONCAT1]],[1]!db[NB NOTA_C],0)+1)</f>
        <v>680</v>
      </c>
    </row>
    <row r="583" spans="1:40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Row],[CEK_EXP]]&lt;D582,"err","")</f>
        <v/>
      </c>
      <c r="D583" s="50">
        <f>IF(NOTA[[#This Row],[TANGGAL]]="",D582,NOTA[[#This Row],[TANGGAL]])</f>
        <v>44946</v>
      </c>
      <c r="E583" s="50">
        <f ca="1">IF(NOTA[[#This Row],[NAMA BARANG]]="","",INDEX(NOTA[ID],MATCH(,INDIRECT(ADDRESS(ROW(NOTA[ID]),COLUMN(NOTA[ID]))&amp;":"&amp;ADDRESS(ROW(),COLUMN(NOTA[ID]))),-1)))</f>
        <v>107</v>
      </c>
      <c r="F583" s="23"/>
      <c r="G583" s="26"/>
      <c r="H583" s="26"/>
      <c r="I583" s="31"/>
      <c r="J583" s="26"/>
      <c r="K583" s="51"/>
      <c r="L583" s="26"/>
      <c r="M583" s="26" t="s">
        <v>283</v>
      </c>
      <c r="N583" s="39">
        <v>1</v>
      </c>
      <c r="O583" s="26">
        <v>50</v>
      </c>
      <c r="P583" s="26" t="s">
        <v>131</v>
      </c>
      <c r="Q583" s="49">
        <v>28300</v>
      </c>
      <c r="R583" s="52"/>
      <c r="S583" s="39" t="s">
        <v>279</v>
      </c>
      <c r="T583" s="53">
        <v>0.125</v>
      </c>
      <c r="U583" s="53">
        <v>0.05</v>
      </c>
      <c r="V583" s="54"/>
      <c r="W583" s="37"/>
      <c r="X583" s="54">
        <f>IF(NOTA[[#This Row],[HARGA/ CTN]]="",NOTA[[#This Row],[JUMLAH_H]],NOTA[[#This Row],[HARGA/ CTN]]*IF(NOTA[[#This Row],[C]]="",0,NOTA[[#This Row],[C]]))</f>
        <v>1415000</v>
      </c>
      <c r="Y583" s="54">
        <f>IF(NOTA[[#This Row],[JUMLAH]]="","",NOTA[[#This Row],[JUMLAH]]*NOTA[[#This Row],[DISC 1]])</f>
        <v>176875</v>
      </c>
      <c r="Z583" s="54">
        <f>IF(NOTA[[#This Row],[JUMLAH]]="","",(NOTA[[#This Row],[JUMLAH]]-NOTA[[#This Row],[DISC 1-]])*NOTA[[#This Row],[DISC 2]])</f>
        <v>61906.25</v>
      </c>
      <c r="AA583" s="54">
        <f>IF(NOTA[[#This Row],[JUMLAH]]="","",NOTA[[#This Row],[DISC 1-]]+NOTA[[#This Row],[DISC 2-]])</f>
        <v>238781.25</v>
      </c>
      <c r="AB583" s="54">
        <f>IF(NOTA[[#This Row],[JUMLAH]]="","",NOTA[[#This Row],[JUMLAH]]-NOTA[[#This Row],[DISC]])</f>
        <v>1176218.75</v>
      </c>
      <c r="AC5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5021932.5</v>
      </c>
      <c r="AD5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24737667.5</v>
      </c>
      <c r="AE58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83" s="54">
        <f>IF(OR(NOTA[[#This Row],[QTY]]="",NOTA[[#This Row],[HARGA SATUAN]]="",),"",NOTA[[#This Row],[QTY]]*NOTA[[#This Row],[HARGA SATUAN]])</f>
        <v>1415000</v>
      </c>
      <c r="AG583" s="51">
        <f ca="1">IF(NOTA[ID_H]="","",INDEX(NOTA[TANGGAL],MATCH(,INDIRECT(ADDRESS(ROW(NOTA[TANGGAL]),COLUMN(NOTA[TANGGAL]))&amp;":"&amp;ADDRESS(ROW(),COLUMN(NOTA[TANGGAL]))),-1)))</f>
        <v>44946</v>
      </c>
      <c r="AH583" s="49" t="str">
        <f ca="1">IF(NOTA[[#This Row],[NAMA BARANG]]="","",INDEX(NOTA[SUPPLIER],MATCH(,INDIRECT(ADDRESS(ROW(NOTA[ID]),COLUMN(NOTA[ID]))&amp;":"&amp;ADDRESS(ROW(),COLUMN(NOTA[ID]))),-1)))</f>
        <v>ATALI MAKMUR</v>
      </c>
      <c r="AI583" s="49" t="str">
        <f ca="1">IF(NOTA[[#This Row],[ID_H]]="","",IF(NOTA[[#This Row],[FAKTUR]]="",INDIRECT(ADDRESS(ROW()-1,COLUMN())),NOTA[[#This Row],[FAKTUR]]))</f>
        <v>ARTO MORO</v>
      </c>
      <c r="AJ583" s="38" t="str">
        <f ca="1">IF(NOTA[[#This Row],[ID]]="","",COUNTIF(NOTA[ID_H],NOTA[[#This Row],[ID_H]]))</f>
        <v/>
      </c>
      <c r="AK583" s="38">
        <f ca="1">IF(NOTA[[#This Row],[TGL.NOTA]]="",IF(NOTA[[#This Row],[SUPPLIER_H]]="","",AK582),MONTH(NOTA[[#This Row],[TGL.NOTA]]))</f>
        <v>1</v>
      </c>
      <c r="AL58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M583" s="38" t="str">
        <f>IF(NOTA[C]="",NOTA[[#This Row],[CONCAT1]]&amp;NOTA[[#This Row],[HARGA SATUAN]],NOTA[[#This Row],[CONCAT1]]&amp;NOTA[[#This Row],[HARGA/ CTN_H]]&amp;NOTA[[#This Row],[DISC 1]]&amp;NOTA[[#This Row],[DISC 2]])</f>
        <v>eraser526b40bljk14150000.1250.05</v>
      </c>
      <c r="AN583" s="184">
        <f>IF(NOTA[[#This Row],[CONCAT1]]="","",MATCH(NOTA[[#This Row],[CONCAT1]],[1]!db[NB NOTA_C],0)+1)</f>
        <v>679</v>
      </c>
    </row>
    <row r="584" spans="1:40" s="48" customFormat="1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Row],[CEK_EXP]]&lt;D583,"err","")</f>
        <v/>
      </c>
      <c r="D584" s="50">
        <f>IF(NOTA[[#This Row],[TANGGAL]]="",D583,NOTA[[#This Row],[TANGGAL]])</f>
        <v>44946</v>
      </c>
      <c r="E584" s="50" t="str">
        <f ca="1">IF(NOTA[[#This Row],[NAMA BARANG]]="","",INDEX(NOTA[ID],MATCH(,INDIRECT(ADDRESS(ROW(NOTA[ID]),COLUMN(NOTA[ID]))&amp;":"&amp;ADDRESS(ROW(),COLUMN(NOTA[ID]))),-1)))</f>
        <v/>
      </c>
      <c r="F584" s="23"/>
      <c r="G584" s="26"/>
      <c r="H584" s="26"/>
      <c r="I584" s="31"/>
      <c r="J584" s="26"/>
      <c r="K584" s="51"/>
      <c r="L584" s="26"/>
      <c r="M584" s="26"/>
      <c r="N584" s="39"/>
      <c r="O584" s="26"/>
      <c r="P584" s="26"/>
      <c r="Q584" s="49"/>
      <c r="R584" s="52"/>
      <c r="S584" s="39"/>
      <c r="T584" s="53"/>
      <c r="U584" s="53"/>
      <c r="V584" s="54"/>
      <c r="W584" s="37"/>
      <c r="X584" s="54" t="str">
        <f>IF(NOTA[[#This Row],[HARGA/ CTN]]="",NOTA[[#This Row],[JUMLAH_H]],NOTA[[#This Row],[HARGA/ CTN]]*IF(NOTA[[#This Row],[C]]="",0,NOTA[[#This Row],[C]]))</f>
        <v/>
      </c>
      <c r="Y584" s="54" t="str">
        <f>IF(NOTA[[#This Row],[JUMLAH]]="","",NOTA[[#This Row],[JUMLAH]]*NOTA[[#This Row],[DISC 1]])</f>
        <v/>
      </c>
      <c r="Z584" s="54" t="str">
        <f>IF(NOTA[[#This Row],[JUMLAH]]="","",(NOTA[[#This Row],[JUMLAH]]-NOTA[[#This Row],[DISC 1-]])*NOTA[[#This Row],[DISC 2]])</f>
        <v/>
      </c>
      <c r="AA584" s="54" t="str">
        <f>IF(NOTA[[#This Row],[JUMLAH]]="","",NOTA[[#This Row],[DISC 1-]]+NOTA[[#This Row],[DISC 2-]])</f>
        <v/>
      </c>
      <c r="AB584" s="54" t="str">
        <f>IF(NOTA[[#This Row],[JUMLAH]]="","",NOTA[[#This Row],[JUMLAH]]-NOTA[[#This Row],[DISC]])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4" t="str">
        <f>IF(OR(NOTA[[#This Row],[QTY]]="",NOTA[[#This Row],[HARGA SATUAN]]="",),"",NOTA[[#This Row],[QTY]]*NOTA[[#This Row],[HARGA SATUAN]])</f>
        <v/>
      </c>
      <c r="AG584" s="51" t="str">
        <f ca="1">IF(NOTA[ID_H]="","",INDEX(NOTA[TANGGAL],MATCH(,INDIRECT(ADDRESS(ROW(NOTA[TANGGAL]),COLUMN(NOTA[TANGGAL]))&amp;":"&amp;ADDRESS(ROW(),COLUMN(NOTA[TANGGAL]))),-1)))</f>
        <v/>
      </c>
      <c r="AH584" s="49" t="str">
        <f ca="1">IF(NOTA[[#This Row],[NAMA BARANG]]="","",INDEX(NOTA[SUPPLIER],MATCH(,INDIRECT(ADDRESS(ROW(NOTA[ID]),COLUMN(NOTA[ID]))&amp;":"&amp;ADDRESS(ROW(),COLUMN(NOTA[ID]))),-1)))</f>
        <v/>
      </c>
      <c r="AI584" s="49" t="str">
        <f ca="1">IF(NOTA[[#This Row],[ID_H]]="","",IF(NOTA[[#This Row],[FAKTUR]]="",INDIRECT(ADDRESS(ROW()-1,COLUMN())),NOTA[[#This Row],[FAKTUR]]))</f>
        <v/>
      </c>
      <c r="AJ584" s="38" t="str">
        <f ca="1">IF(NOTA[[#This Row],[ID]]="","",COUNTIF(NOTA[ID_H],NOTA[[#This Row],[ID_H]]))</f>
        <v/>
      </c>
      <c r="AK584" s="38" t="str">
        <f ca="1">IF(NOTA[[#This Row],[TGL.NOTA]]="",IF(NOTA[[#This Row],[SUPPLIER_H]]="","",AK583),MONTH(NOTA[[#This Row],[TGL.NOTA]]))</f>
        <v/>
      </c>
      <c r="AL584" s="38" t="str">
        <f>LOWER(SUBSTITUTE(SUBSTITUTE(SUBSTITUTE(SUBSTITUTE(SUBSTITUTE(SUBSTITUTE(SUBSTITUTE(SUBSTITUTE(SUBSTITUTE(NOTA[NAMA BARANG]," ",),".",""),"-",""),"(",""),")",""),",",""),"/",""),"""",""),"+",""))</f>
        <v/>
      </c>
      <c r="AM584" s="38" t="str">
        <f>IF(NOTA[C]="",NOTA[[#This Row],[CONCAT1]]&amp;NOTA[[#This Row],[HARGA SATUAN]],NOTA[[#This Row],[CONCAT1]]&amp;NOTA[[#This Row],[HARGA/ CTN_H]]&amp;NOTA[[#This Row],[DISC 1]]&amp;NOTA[[#This Row],[DISC 2]])</f>
        <v/>
      </c>
      <c r="AN584" s="184" t="str">
        <f>IF(NOTA[[#This Row],[CONCAT1]]="","",MATCH(NOTA[[#This Row],[CONCAT1]],[1]!db[NB NOTA_C],0)+1)</f>
        <v/>
      </c>
    </row>
    <row r="585" spans="1:40" ht="20.100000000000001" customHeight="1" x14ac:dyDescent="0.25">
      <c r="A585" s="49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ATA_2001_014-5</v>
      </c>
      <c r="C585" s="50" t="str">
        <f>IF(NOTA[[#This Row],[CEK_EXP]]&lt;D584,"err","")</f>
        <v/>
      </c>
      <c r="D585" s="50">
        <f>IF(NOTA[[#This Row],[TANGGAL]]="",D584,NOTA[[#This Row],[TANGGAL]])</f>
        <v>44946</v>
      </c>
      <c r="E585" s="50">
        <f ca="1">IF(NOTA[[#This Row],[NAMA BARANG]]="","",INDEX(NOTA[ID],MATCH(,INDIRECT(ADDRESS(ROW(NOTA[ID]),COLUMN(NOTA[ID]))&amp;":"&amp;ADDRESS(ROW(),COLUMN(NOTA[ID]))),-1)))</f>
        <v>108</v>
      </c>
      <c r="F585" s="23"/>
      <c r="G585" s="26" t="s">
        <v>25</v>
      </c>
      <c r="H585" s="26" t="s">
        <v>24</v>
      </c>
      <c r="I585" s="31" t="s">
        <v>732</v>
      </c>
      <c r="J585" s="26"/>
      <c r="K585" s="51">
        <v>44943</v>
      </c>
      <c r="L585" s="26"/>
      <c r="M585" s="26" t="s">
        <v>745</v>
      </c>
      <c r="N585" s="39">
        <v>1</v>
      </c>
      <c r="O585" s="26">
        <v>36</v>
      </c>
      <c r="P585" s="26" t="s">
        <v>116</v>
      </c>
      <c r="Q585" s="49">
        <v>41400</v>
      </c>
      <c r="R585" s="52"/>
      <c r="S585" s="39" t="s">
        <v>503</v>
      </c>
      <c r="T585" s="53">
        <v>0.125</v>
      </c>
      <c r="U585" s="53">
        <v>0.05</v>
      </c>
      <c r="V585" s="54"/>
      <c r="W585" s="37"/>
      <c r="X585" s="54">
        <f>IF(NOTA[[#This Row],[HARGA/ CTN]]="",NOTA[[#This Row],[JUMLAH_H]],NOTA[[#This Row],[HARGA/ CTN]]*IF(NOTA[[#This Row],[C]]="",0,NOTA[[#This Row],[C]]))</f>
        <v>1490400</v>
      </c>
      <c r="Y585" s="54">
        <f>IF(NOTA[[#This Row],[JUMLAH]]="","",NOTA[[#This Row],[JUMLAH]]*NOTA[[#This Row],[DISC 1]])</f>
        <v>186300</v>
      </c>
      <c r="Z585" s="54">
        <f>IF(NOTA[[#This Row],[JUMLAH]]="","",(NOTA[[#This Row],[JUMLAH]]-NOTA[[#This Row],[DISC 1-]])*NOTA[[#This Row],[DISC 2]])</f>
        <v>65205</v>
      </c>
      <c r="AA585" s="54">
        <f>IF(NOTA[[#This Row],[JUMLAH]]="","",NOTA[[#This Row],[DISC 1-]]+NOTA[[#This Row],[DISC 2-]])</f>
        <v>251505</v>
      </c>
      <c r="AB585" s="54">
        <f>IF(NOTA[[#This Row],[JUMLAH]]="","",NOTA[[#This Row],[JUMLAH]]-NOTA[[#This Row],[DISC]])</f>
        <v>1238895</v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585" s="54">
        <f>IF(OR(NOTA[[#This Row],[QTY]]="",NOTA[[#This Row],[HARGA SATUAN]]="",),"",NOTA[[#This Row],[QTY]]*NOTA[[#This Row],[HARGA SATUAN]])</f>
        <v>1490400</v>
      </c>
      <c r="AG585" s="51">
        <f ca="1">IF(NOTA[ID_H]="","",INDEX(NOTA[TANGGAL],MATCH(,INDIRECT(ADDRESS(ROW(NOTA[TANGGAL]),COLUMN(NOTA[TANGGAL]))&amp;":"&amp;ADDRESS(ROW(),COLUMN(NOTA[TANGGAL]))),-1)))</f>
        <v>44946</v>
      </c>
      <c r="AH585" s="49" t="str">
        <f ca="1">IF(NOTA[[#This Row],[NAMA BARANG]]="","",INDEX(NOTA[SUPPLIER],MATCH(,INDIRECT(ADDRESS(ROW(NOTA[ID]),COLUMN(NOTA[ID]))&amp;":"&amp;ADDRESS(ROW(),COLUMN(NOTA[ID]))),-1)))</f>
        <v>ATALI MAKMUR</v>
      </c>
      <c r="AI585" s="49" t="str">
        <f ca="1">IF(NOTA[[#This Row],[ID_H]]="","",IF(NOTA[[#This Row],[FAKTUR]]="",INDIRECT(ADDRESS(ROW()-1,COLUMN())),NOTA[[#This Row],[FAKTUR]]))</f>
        <v>ARTO MORO</v>
      </c>
      <c r="AJ585" s="38">
        <f ca="1">IF(NOTA[[#This Row],[ID]]="","",COUNTIF(NOTA[ID_H],NOTA[[#This Row],[ID_H]]))</f>
        <v>5</v>
      </c>
      <c r="AK585" s="38">
        <f>IF(NOTA[[#This Row],[TGL.NOTA]]="",IF(NOTA[[#This Row],[SUPPLIER_H]]="","",AK584),MONTH(NOTA[[#This Row],[TGL.NOTA]]))</f>
        <v>1</v>
      </c>
      <c r="AL58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585" s="38" t="str">
        <f>IF(NOTA[C]="",NOTA[[#This Row],[CONCAT1]]&amp;NOTA[[#This Row],[HARGA SATUAN]],NOTA[[#This Row],[CONCAT1]]&amp;NOTA[[#This Row],[HARGA/ CTN_H]]&amp;NOTA[[#This Row],[DISC 1]]&amp;NOTA[[#This Row],[DISC 2]])</f>
        <v>correctionfluidcfs209ajk14904000.1250.05</v>
      </c>
      <c r="AN585" s="184">
        <f>IF(NOTA[[#This Row],[CONCAT1]]="","",MATCH(NOTA[[#This Row],[CONCAT1]],[1]!db[NB NOTA_C],0)+1)</f>
        <v>508</v>
      </c>
    </row>
    <row r="586" spans="1:40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Row],[CEK_EXP]]&lt;D585,"err","")</f>
        <v/>
      </c>
      <c r="D586" s="50">
        <f>IF(NOTA[[#This Row],[TANGGAL]]="",D585,NOTA[[#This Row],[TANGGAL]])</f>
        <v>44946</v>
      </c>
      <c r="E586" s="50">
        <f ca="1">IF(NOTA[[#This Row],[NAMA BARANG]]="","",INDEX(NOTA[ID],MATCH(,INDIRECT(ADDRESS(ROW(NOTA[ID]),COLUMN(NOTA[ID]))&amp;":"&amp;ADDRESS(ROW(),COLUMN(NOTA[ID]))),-1)))</f>
        <v>108</v>
      </c>
      <c r="F586" s="23"/>
      <c r="G586" s="26"/>
      <c r="H586" s="26"/>
      <c r="I586" s="31"/>
      <c r="J586" s="26"/>
      <c r="K586" s="51"/>
      <c r="L586" s="26"/>
      <c r="M586" s="26" t="s">
        <v>621</v>
      </c>
      <c r="N586" s="39">
        <v>1</v>
      </c>
      <c r="O586" s="26">
        <v>72</v>
      </c>
      <c r="P586" s="26" t="s">
        <v>128</v>
      </c>
      <c r="Q586" s="49">
        <v>21200</v>
      </c>
      <c r="R586" s="52"/>
      <c r="S586" s="39" t="s">
        <v>622</v>
      </c>
      <c r="T586" s="53">
        <v>0.125</v>
      </c>
      <c r="U586" s="53">
        <v>0.05</v>
      </c>
      <c r="V586" s="54"/>
      <c r="W586" s="37"/>
      <c r="X586" s="54">
        <f>IF(NOTA[[#This Row],[HARGA/ CTN]]="",NOTA[[#This Row],[JUMLAH_H]],NOTA[[#This Row],[HARGA/ CTN]]*IF(NOTA[[#This Row],[C]]="",0,NOTA[[#This Row],[C]]))</f>
        <v>1526400</v>
      </c>
      <c r="Y586" s="54">
        <f>IF(NOTA[[#This Row],[JUMLAH]]="","",NOTA[[#This Row],[JUMLAH]]*NOTA[[#This Row],[DISC 1]])</f>
        <v>190800</v>
      </c>
      <c r="Z586" s="54">
        <f>IF(NOTA[[#This Row],[JUMLAH]]="","",(NOTA[[#This Row],[JUMLAH]]-NOTA[[#This Row],[DISC 1-]])*NOTA[[#This Row],[DISC 2]])</f>
        <v>66780</v>
      </c>
      <c r="AA586" s="54">
        <f>IF(NOTA[[#This Row],[JUMLAH]]="","",NOTA[[#This Row],[DISC 1-]]+NOTA[[#This Row],[DISC 2-]])</f>
        <v>257580</v>
      </c>
      <c r="AB586" s="54">
        <f>IF(NOTA[[#This Row],[JUMLAH]]="","",NOTA[[#This Row],[JUMLAH]]-NOTA[[#This Row],[DISC]])</f>
        <v>1268820</v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86" s="54">
        <f>IF(OR(NOTA[[#This Row],[QTY]]="",NOTA[[#This Row],[HARGA SATUAN]]="",),"",NOTA[[#This Row],[QTY]]*NOTA[[#This Row],[HARGA SATUAN]])</f>
        <v>1526400</v>
      </c>
      <c r="AG586" s="51">
        <f ca="1">IF(NOTA[ID_H]="","",INDEX(NOTA[TANGGAL],MATCH(,INDIRECT(ADDRESS(ROW(NOTA[TANGGAL]),COLUMN(NOTA[TANGGAL]))&amp;":"&amp;ADDRESS(ROW(),COLUMN(NOTA[TANGGAL]))),-1)))</f>
        <v>44946</v>
      </c>
      <c r="AH586" s="49" t="str">
        <f ca="1">IF(NOTA[[#This Row],[NAMA BARANG]]="","",INDEX(NOTA[SUPPLIER],MATCH(,INDIRECT(ADDRESS(ROW(NOTA[ID]),COLUMN(NOTA[ID]))&amp;":"&amp;ADDRESS(ROW(),COLUMN(NOTA[ID]))),-1)))</f>
        <v>ATALI MAKMUR</v>
      </c>
      <c r="AI586" s="49" t="str">
        <f ca="1">IF(NOTA[[#This Row],[ID_H]]="","",IF(NOTA[[#This Row],[FAKTUR]]="",INDIRECT(ADDRESS(ROW()-1,COLUMN())),NOTA[[#This Row],[FAKTUR]]))</f>
        <v>ARTO MORO</v>
      </c>
      <c r="AJ586" s="38" t="str">
        <f ca="1">IF(NOTA[[#This Row],[ID]]="","",COUNTIF(NOTA[ID_H],NOTA[[#This Row],[ID_H]]))</f>
        <v/>
      </c>
      <c r="AK586" s="38">
        <f ca="1">IF(NOTA[[#This Row],[TGL.NOTA]]="",IF(NOTA[[#This Row],[SUPPLIER_H]]="","",AK585),MONTH(NOTA[[#This Row],[TGL.NOTA]]))</f>
        <v>1</v>
      </c>
      <c r="AL58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586" s="38" t="str">
        <f>IF(NOTA[C]="",NOTA[[#This Row],[CONCAT1]]&amp;NOTA[[#This Row],[HARGA SATUAN]],NOTA[[#This Row],[CONCAT1]]&amp;NOTA[[#This Row],[HARGA/ CTN_H]]&amp;NOTA[[#This Row],[DISC 1]]&amp;NOTA[[#This Row],[DISC 2]])</f>
        <v>colorpencilcp24pbjk15264000.1250.05</v>
      </c>
      <c r="AN586" s="184">
        <f>IF(NOTA[[#This Row],[CONCAT1]]="","",MATCH(NOTA[[#This Row],[CONCAT1]],[1]!db[NB NOTA_C],0)+1)</f>
        <v>490</v>
      </c>
    </row>
    <row r="587" spans="1:40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Row],[CEK_EXP]]&lt;D586,"err","")</f>
        <v/>
      </c>
      <c r="D587" s="50">
        <f>IF(NOTA[[#This Row],[TANGGAL]]="",D586,NOTA[[#This Row],[TANGGAL]])</f>
        <v>44946</v>
      </c>
      <c r="E587" s="50">
        <f ca="1">IF(NOTA[[#This Row],[NAMA BARANG]]="","",INDEX(NOTA[ID],MATCH(,INDIRECT(ADDRESS(ROW(NOTA[ID]),COLUMN(NOTA[ID]))&amp;":"&amp;ADDRESS(ROW(),COLUMN(NOTA[ID]))),-1)))</f>
        <v>108</v>
      </c>
      <c r="F587" s="23"/>
      <c r="G587" s="26"/>
      <c r="H587" s="26"/>
      <c r="I587" s="31"/>
      <c r="J587" s="26"/>
      <c r="K587" s="51"/>
      <c r="L587" s="26"/>
      <c r="M587" s="26" t="s">
        <v>435</v>
      </c>
      <c r="N587" s="39">
        <v>2</v>
      </c>
      <c r="O587" s="26">
        <v>2000</v>
      </c>
      <c r="P587" s="26" t="s">
        <v>133</v>
      </c>
      <c r="Q587" s="49">
        <v>2050</v>
      </c>
      <c r="R587" s="52"/>
      <c r="S587" s="39" t="s">
        <v>436</v>
      </c>
      <c r="T587" s="53">
        <v>0.125</v>
      </c>
      <c r="U587" s="53">
        <v>0.05</v>
      </c>
      <c r="V587" s="54"/>
      <c r="W587" s="37"/>
      <c r="X587" s="54">
        <f>IF(NOTA[[#This Row],[HARGA/ CTN]]="",NOTA[[#This Row],[JUMLAH_H]],NOTA[[#This Row],[HARGA/ CTN]]*IF(NOTA[[#This Row],[C]]="",0,NOTA[[#This Row],[C]]))</f>
        <v>4100000</v>
      </c>
      <c r="Y587" s="54">
        <f>IF(NOTA[[#This Row],[JUMLAH]]="","",NOTA[[#This Row],[JUMLAH]]*NOTA[[#This Row],[DISC 1]])</f>
        <v>512500</v>
      </c>
      <c r="Z587" s="54">
        <f>IF(NOTA[[#This Row],[JUMLAH]]="","",(NOTA[[#This Row],[JUMLAH]]-NOTA[[#This Row],[DISC 1-]])*NOTA[[#This Row],[DISC 2]])</f>
        <v>179375</v>
      </c>
      <c r="AA587" s="54">
        <f>IF(NOTA[[#This Row],[JUMLAH]]="","",NOTA[[#This Row],[DISC 1-]]+NOTA[[#This Row],[DISC 2-]])</f>
        <v>691875</v>
      </c>
      <c r="AB587" s="54">
        <f>IF(NOTA[[#This Row],[JUMLAH]]="","",NOTA[[#This Row],[JUMLAH]]-NOTA[[#This Row],[DISC]])</f>
        <v>3408125</v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587" s="54">
        <f>IF(OR(NOTA[[#This Row],[QTY]]="",NOTA[[#This Row],[HARGA SATUAN]]="",),"",NOTA[[#This Row],[QTY]]*NOTA[[#This Row],[HARGA SATUAN]])</f>
        <v>4100000</v>
      </c>
      <c r="AG587" s="51">
        <f ca="1">IF(NOTA[ID_H]="","",INDEX(NOTA[TANGGAL],MATCH(,INDIRECT(ADDRESS(ROW(NOTA[TANGGAL]),COLUMN(NOTA[TANGGAL]))&amp;":"&amp;ADDRESS(ROW(),COLUMN(NOTA[TANGGAL]))),-1)))</f>
        <v>44946</v>
      </c>
      <c r="AH587" s="49" t="str">
        <f ca="1">IF(NOTA[[#This Row],[NAMA BARANG]]="","",INDEX(NOTA[SUPPLIER],MATCH(,INDIRECT(ADDRESS(ROW(NOTA[ID]),COLUMN(NOTA[ID]))&amp;":"&amp;ADDRESS(ROW(),COLUMN(NOTA[ID]))),-1)))</f>
        <v>ATALI MAKMUR</v>
      </c>
      <c r="AI587" s="49" t="str">
        <f ca="1">IF(NOTA[[#This Row],[ID_H]]="","",IF(NOTA[[#This Row],[FAKTUR]]="",INDIRECT(ADDRESS(ROW()-1,COLUMN())),NOTA[[#This Row],[FAKTUR]]))</f>
        <v>ARTO MORO</v>
      </c>
      <c r="AJ587" s="38" t="str">
        <f ca="1">IF(NOTA[[#This Row],[ID]]="","",COUNTIF(NOTA[ID_H],NOTA[[#This Row],[ID_H]]))</f>
        <v/>
      </c>
      <c r="AK587" s="38">
        <f ca="1">IF(NOTA[[#This Row],[TGL.NOTA]]="",IF(NOTA[[#This Row],[SUPPLIER_H]]="","",AK586),MONTH(NOTA[[#This Row],[TGL.NOTA]]))</f>
        <v>1</v>
      </c>
      <c r="AL58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587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N587" s="184">
        <f>IF(NOTA[[#This Row],[CONCAT1]]="","",MATCH(NOTA[[#This Row],[CONCAT1]],[1]!db[NB NOTA_C],0)+1)</f>
        <v>1349</v>
      </c>
    </row>
    <row r="588" spans="1:40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Row],[CEK_EXP]]&lt;D587,"err","")</f>
        <v/>
      </c>
      <c r="D588" s="29">
        <f>IF(NOTA[[#This Row],[TANGGAL]]="",D587,NOTA[[#This Row],[TANGGAL]])</f>
        <v>44946</v>
      </c>
      <c r="E588" s="29">
        <f ca="1">IF(NOTA[[#This Row],[NAMA BARANG]]="","",INDEX(NOTA[ID],MATCH(,INDIRECT(ADDRESS(ROW(NOTA[ID]),COLUMN(NOTA[ID]))&amp;":"&amp;ADDRESS(ROW(),COLUMN(NOTA[ID]))),-1)))</f>
        <v>108</v>
      </c>
      <c r="F588" s="30"/>
      <c r="G588" s="26"/>
      <c r="H588" s="26"/>
      <c r="I588" s="31"/>
      <c r="J588" s="32"/>
      <c r="K588" s="33"/>
      <c r="L588" s="26"/>
      <c r="M588" s="26" t="s">
        <v>733</v>
      </c>
      <c r="N588" s="34">
        <v>1</v>
      </c>
      <c r="O588" s="26">
        <v>144</v>
      </c>
      <c r="P588" s="26" t="s">
        <v>116</v>
      </c>
      <c r="Q588" s="28">
        <v>40800</v>
      </c>
      <c r="R588" s="46"/>
      <c r="S588" s="39" t="s">
        <v>129</v>
      </c>
      <c r="T588" s="53">
        <v>0.125</v>
      </c>
      <c r="U588" s="35">
        <v>0.05</v>
      </c>
      <c r="V588" s="36"/>
      <c r="W588" s="37"/>
      <c r="X588" s="36">
        <f>IF(NOTA[[#This Row],[HARGA/ CTN]]="",NOTA[[#This Row],[JUMLAH_H]],NOTA[[#This Row],[HARGA/ CTN]]*IF(NOTA[[#This Row],[C]]="",0,NOTA[[#This Row],[C]]))</f>
        <v>5875200</v>
      </c>
      <c r="Y588" s="36">
        <f>IF(NOTA[[#This Row],[JUMLAH]]="","",NOTA[[#This Row],[JUMLAH]]*NOTA[[#This Row],[DISC 1]])</f>
        <v>734400</v>
      </c>
      <c r="Z588" s="36">
        <f>IF(NOTA[[#This Row],[JUMLAH]]="","",(NOTA[[#This Row],[JUMLAH]]-NOTA[[#This Row],[DISC 1-]])*NOTA[[#This Row],[DISC 2]])</f>
        <v>257040</v>
      </c>
      <c r="AA588" s="36">
        <f>IF(NOTA[[#This Row],[JUMLAH]]="","",NOTA[[#This Row],[DISC 1-]]+NOTA[[#This Row],[DISC 2-]])</f>
        <v>991440</v>
      </c>
      <c r="AB588" s="36">
        <f>IF(NOTA[[#This Row],[JUMLAH]]="","",NOTA[[#This Row],[JUMLAH]]-NOTA[[#This Row],[DISC]])</f>
        <v>4883760</v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28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588" s="36">
        <f>IF(OR(NOTA[[#This Row],[QTY]]="",NOTA[[#This Row],[HARGA SATUAN]]="",),"",NOTA[[#This Row],[QTY]]*NOTA[[#This Row],[HARGA SATUAN]])</f>
        <v>5875200</v>
      </c>
      <c r="AG588" s="33">
        <f ca="1">IF(NOTA[ID_H]="","",INDEX(NOTA[TANGGAL],MATCH(,INDIRECT(ADDRESS(ROW(NOTA[TANGGAL]),COLUMN(NOTA[TANGGAL]))&amp;":"&amp;ADDRESS(ROW(),COLUMN(NOTA[TANGGAL]))),-1)))</f>
        <v>44946</v>
      </c>
      <c r="AH588" s="28" t="str">
        <f ca="1">IF(NOTA[[#This Row],[NAMA BARANG]]="","",INDEX(NOTA[SUPPLIER],MATCH(,INDIRECT(ADDRESS(ROW(NOTA[ID]),COLUMN(NOTA[ID]))&amp;":"&amp;ADDRESS(ROW(),COLUMN(NOTA[ID]))),-1)))</f>
        <v>ATALI MAKMUR</v>
      </c>
      <c r="AI588" s="28" t="str">
        <f ca="1">IF(NOTA[[#This Row],[ID_H]]="","",IF(NOTA[[#This Row],[FAKTUR]]="",INDIRECT(ADDRESS(ROW()-1,COLUMN())),NOTA[[#This Row],[FAKTUR]]))</f>
        <v>ARTO MORO</v>
      </c>
      <c r="AJ588" s="38" t="str">
        <f ca="1">IF(NOTA[[#This Row],[ID]]="","",COUNTIF(NOTA[ID_H],NOTA[[#This Row],[ID_H]]))</f>
        <v/>
      </c>
      <c r="AK588" s="38">
        <f ca="1">IF(NOTA[[#This Row],[TGL.NOTA]]="",IF(NOTA[[#This Row],[SUPPLIER_H]]="","",AK587),MONTH(NOTA[[#This Row],[TGL.NOTA]]))</f>
        <v>1</v>
      </c>
      <c r="AL588" s="38" t="str">
        <f>LOWER(SUBSTITUTE(SUBSTITUTE(SUBSTITUTE(SUBSTITUTE(SUBSTITUTE(SUBSTITUTE(SUBSTITUTE(SUBSTITUTE(SUBSTITUTE(NOTA[NAMA BARANG]," ",),".",""),"-",""),"(",""),")",""),",",""),"/",""),"""",""),"+",""))</f>
        <v>mechpencilmp21jk</v>
      </c>
      <c r="AM588" s="38" t="str">
        <f>IF(NOTA[C]="",NOTA[[#This Row],[CONCAT1]]&amp;NOTA[[#This Row],[HARGA SATUAN]],NOTA[[#This Row],[CONCAT1]]&amp;NOTA[[#This Row],[HARGA/ CTN_H]]&amp;NOTA[[#This Row],[DISC 1]]&amp;NOTA[[#This Row],[DISC 2]])</f>
        <v>mechpencilmp21jk58752000.1250.05</v>
      </c>
      <c r="AN588" s="184">
        <f>IF(NOTA[[#This Row],[CONCAT1]]="","",MATCH(NOTA[[#This Row],[CONCAT1]],[1]!db[NB NOTA_C],0)+1)</f>
        <v>1493</v>
      </c>
    </row>
    <row r="589" spans="1:40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Row],[CEK_EXP]]&lt;D588,"err","")</f>
        <v/>
      </c>
      <c r="D589" s="29">
        <f>IF(NOTA[[#This Row],[TANGGAL]]="",D588,NOTA[[#This Row],[TANGGAL]])</f>
        <v>44946</v>
      </c>
      <c r="E589" s="29">
        <f ca="1">IF(NOTA[[#This Row],[NAMA BARANG]]="","",INDEX(NOTA[ID],MATCH(,INDIRECT(ADDRESS(ROW(NOTA[ID]),COLUMN(NOTA[ID]))&amp;":"&amp;ADDRESS(ROW(),COLUMN(NOTA[ID]))),-1)))</f>
        <v>108</v>
      </c>
      <c r="F589" s="30"/>
      <c r="G589" s="32"/>
      <c r="H589" s="32"/>
      <c r="I589" s="55"/>
      <c r="J589" s="32"/>
      <c r="K589" s="33"/>
      <c r="L589" s="32"/>
      <c r="M589" s="26" t="s">
        <v>734</v>
      </c>
      <c r="N589" s="34">
        <v>1</v>
      </c>
      <c r="O589" s="32">
        <v>60</v>
      </c>
      <c r="P589" s="26" t="s">
        <v>131</v>
      </c>
      <c r="Q589" s="28">
        <v>22200</v>
      </c>
      <c r="R589" s="46"/>
      <c r="S589" s="39" t="s">
        <v>490</v>
      </c>
      <c r="T589" s="35">
        <v>0.125</v>
      </c>
      <c r="U589" s="35">
        <v>0.05</v>
      </c>
      <c r="V589" s="36"/>
      <c r="W589" s="37"/>
      <c r="X589" s="36">
        <f>IF(NOTA[[#This Row],[HARGA/ CTN]]="",NOTA[[#This Row],[JUMLAH_H]],NOTA[[#This Row],[HARGA/ CTN]]*IF(NOTA[[#This Row],[C]]="",0,NOTA[[#This Row],[C]]))</f>
        <v>1332000</v>
      </c>
      <c r="Y589" s="36">
        <f>IF(NOTA[[#This Row],[JUMLAH]]="","",NOTA[[#This Row],[JUMLAH]]*NOTA[[#This Row],[DISC 1]])</f>
        <v>166500</v>
      </c>
      <c r="Z589" s="36">
        <f>IF(NOTA[[#This Row],[JUMLAH]]="","",(NOTA[[#This Row],[JUMLAH]]-NOTA[[#This Row],[DISC 1-]])*NOTA[[#This Row],[DISC 2]])</f>
        <v>58275</v>
      </c>
      <c r="AA589" s="36">
        <f>IF(NOTA[[#This Row],[JUMLAH]]="","",NOTA[[#This Row],[DISC 1-]]+NOTA[[#This Row],[DISC 2-]])</f>
        <v>224775</v>
      </c>
      <c r="AB589" s="36">
        <f>IF(NOTA[[#This Row],[JUMLAH]]="","",NOTA[[#This Row],[JUMLAH]]-NOTA[[#This Row],[DISC]])</f>
        <v>1107225</v>
      </c>
      <c r="AC5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2417175</v>
      </c>
      <c r="AD5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11906825</v>
      </c>
      <c r="AE589" s="28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589" s="36">
        <f>IF(OR(NOTA[[#This Row],[QTY]]="",NOTA[[#This Row],[HARGA SATUAN]]="",),"",NOTA[[#This Row],[QTY]]*NOTA[[#This Row],[HARGA SATUAN]])</f>
        <v>1332000</v>
      </c>
      <c r="AG589" s="33">
        <f ca="1">IF(NOTA[ID_H]="","",INDEX(NOTA[TANGGAL],MATCH(,INDIRECT(ADDRESS(ROW(NOTA[TANGGAL]),COLUMN(NOTA[TANGGAL]))&amp;":"&amp;ADDRESS(ROW(),COLUMN(NOTA[TANGGAL]))),-1)))</f>
        <v>44946</v>
      </c>
      <c r="AH589" s="28" t="str">
        <f ca="1">IF(NOTA[[#This Row],[NAMA BARANG]]="","",INDEX(NOTA[SUPPLIER],MATCH(,INDIRECT(ADDRESS(ROW(NOTA[ID]),COLUMN(NOTA[ID]))&amp;":"&amp;ADDRESS(ROW(),COLUMN(NOTA[ID]))),-1)))</f>
        <v>ATALI MAKMUR</v>
      </c>
      <c r="AI589" s="28" t="str">
        <f ca="1">IF(NOTA[[#This Row],[ID_H]]="","",IF(NOTA[[#This Row],[FAKTUR]]="",INDIRECT(ADDRESS(ROW()-1,COLUMN())),NOTA[[#This Row],[FAKTUR]]))</f>
        <v>ARTO MORO</v>
      </c>
      <c r="AJ589" s="38" t="str">
        <f ca="1">IF(NOTA[[#This Row],[ID]]="","",COUNTIF(NOTA[ID_H],NOTA[[#This Row],[ID_H]]))</f>
        <v/>
      </c>
      <c r="AK589" s="38">
        <f ca="1">IF(NOTA[[#This Row],[TGL.NOTA]]="",IF(NOTA[[#This Row],[SUPPLIER_H]]="","",AK588),MONTH(NOTA[[#This Row],[TGL.NOTA]]))</f>
        <v>1</v>
      </c>
      <c r="AL58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M589" s="38" t="str">
        <f>IF(NOTA[C]="",NOTA[[#This Row],[CONCAT1]]&amp;NOTA[[#This Row],[HARGA SATUAN]],NOTA[[#This Row],[CONCAT1]]&amp;NOTA[[#This Row],[HARGA/ CTN_H]]&amp;NOTA[[#This Row],[DISC 1]]&amp;NOTA[[#This Row],[DISC 2]])</f>
        <v>sharpenerb23jk13320000.1250.05</v>
      </c>
      <c r="AN589" s="184">
        <f>IF(NOTA[[#This Row],[CONCAT1]]="","",MATCH(NOTA[[#This Row],[CONCAT1]],[1]!db[NB NOTA_C],0)+1)</f>
        <v>1959</v>
      </c>
    </row>
    <row r="590" spans="1:40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Row],[CEK_EXP]]&lt;D589,"err","")</f>
        <v/>
      </c>
      <c r="D590" s="29">
        <f>IF(NOTA[[#This Row],[TANGGAL]]="",D589,NOTA[[#This Row],[TANGGAL]])</f>
        <v>44946</v>
      </c>
      <c r="E590" s="29" t="str">
        <f ca="1">IF(NOTA[[#This Row],[NAMA BARANG]]="","",INDEX(NOTA[ID],MATCH(,INDIRECT(ADDRESS(ROW(NOTA[ID]),COLUMN(NOTA[ID]))&amp;":"&amp;ADDRESS(ROW(),COLUMN(NOTA[ID]))),-1)))</f>
        <v/>
      </c>
      <c r="F590" s="30"/>
      <c r="G590" s="26"/>
      <c r="H590" s="26"/>
      <c r="I590" s="31"/>
      <c r="J590" s="32"/>
      <c r="K590" s="33"/>
      <c r="L590" s="32"/>
      <c r="M590" s="26"/>
      <c r="N590" s="34"/>
      <c r="O590" s="32"/>
      <c r="P590" s="26"/>
      <c r="Q590" s="28"/>
      <c r="R590" s="46"/>
      <c r="S590" s="39"/>
      <c r="T590" s="35"/>
      <c r="U590" s="35"/>
      <c r="V590" s="36"/>
      <c r="W590" s="37"/>
      <c r="X590" s="36" t="str">
        <f>IF(NOTA[[#This Row],[HARGA/ CTN]]="",NOTA[[#This Row],[JUMLAH_H]],NOTA[[#This Row],[HARGA/ CTN]]*IF(NOTA[[#This Row],[C]]="",0,NOTA[[#This Row],[C]]))</f>
        <v/>
      </c>
      <c r="Y590" s="36" t="str">
        <f>IF(NOTA[[#This Row],[JUMLAH]]="","",NOTA[[#This Row],[JUMLAH]]*NOTA[[#This Row],[DISC 1]])</f>
        <v/>
      </c>
      <c r="Z590" s="36" t="str">
        <f>IF(NOTA[[#This Row],[JUMLAH]]="","",(NOTA[[#This Row],[JUMLAH]]-NOTA[[#This Row],[DISC 1-]])*NOTA[[#This Row],[DISC 2]])</f>
        <v/>
      </c>
      <c r="AA590" s="36" t="str">
        <f>IF(NOTA[[#This Row],[JUMLAH]]="","",NOTA[[#This Row],[DISC 1-]]+NOTA[[#This Row],[DISC 2-]])</f>
        <v/>
      </c>
      <c r="AB590" s="36" t="str">
        <f>IF(NOTA[[#This Row],[JUMLAH]]="","",NOTA[[#This Row],[JUMLAH]]-NOTA[[#This Row],[DISC]])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0" s="36" t="str">
        <f>IF(OR(NOTA[[#This Row],[QTY]]="",NOTA[[#This Row],[HARGA SATUAN]]="",),"",NOTA[[#This Row],[QTY]]*NOTA[[#This Row],[HARGA SATUAN]])</f>
        <v/>
      </c>
      <c r="AG590" s="33" t="str">
        <f ca="1">IF(NOTA[ID_H]="","",INDEX(NOTA[TANGGAL],MATCH(,INDIRECT(ADDRESS(ROW(NOTA[TANGGAL]),COLUMN(NOTA[TANGGAL]))&amp;":"&amp;ADDRESS(ROW(),COLUMN(NOTA[TANGGAL]))),-1)))</f>
        <v/>
      </c>
      <c r="AH590" s="28" t="str">
        <f ca="1">IF(NOTA[[#This Row],[NAMA BARANG]]="","",INDEX(NOTA[SUPPLIER],MATCH(,INDIRECT(ADDRESS(ROW(NOTA[ID]),COLUMN(NOTA[ID]))&amp;":"&amp;ADDRESS(ROW(),COLUMN(NOTA[ID]))),-1)))</f>
        <v/>
      </c>
      <c r="AI590" s="28" t="str">
        <f ca="1">IF(NOTA[[#This Row],[ID_H]]="","",IF(NOTA[[#This Row],[FAKTUR]]="",INDIRECT(ADDRESS(ROW()-1,COLUMN())),NOTA[[#This Row],[FAKTUR]]))</f>
        <v/>
      </c>
      <c r="AJ590" s="38" t="str">
        <f ca="1">IF(NOTA[[#This Row],[ID]]="","",COUNTIF(NOTA[ID_H],NOTA[[#This Row],[ID_H]]))</f>
        <v/>
      </c>
      <c r="AK590" s="38" t="str">
        <f ca="1">IF(NOTA[[#This Row],[TGL.NOTA]]="",IF(NOTA[[#This Row],[SUPPLIER_H]]="","",AK589),MONTH(NOTA[[#This Row],[TGL.NOTA]]))</f>
        <v/>
      </c>
      <c r="AL590" s="38" t="str">
        <f>LOWER(SUBSTITUTE(SUBSTITUTE(SUBSTITUTE(SUBSTITUTE(SUBSTITUTE(SUBSTITUTE(SUBSTITUTE(SUBSTITUTE(SUBSTITUTE(NOTA[NAMA BARANG]," ",),".",""),"-",""),"(",""),")",""),",",""),"/",""),"""",""),"+",""))</f>
        <v/>
      </c>
      <c r="AM590" s="38" t="str">
        <f>IF(NOTA[C]="",NOTA[[#This Row],[CONCAT1]]&amp;NOTA[[#This Row],[HARGA SATUAN]],NOTA[[#This Row],[CONCAT1]]&amp;NOTA[[#This Row],[HARGA/ CTN_H]]&amp;NOTA[[#This Row],[DISC 1]]&amp;NOTA[[#This Row],[DISC 2]])</f>
        <v/>
      </c>
      <c r="AN590" s="184" t="str">
        <f>IF(NOTA[[#This Row],[CONCAT1]]="","",MATCH(NOTA[[#This Row],[CONCAT1]],[1]!db[NB NOTA_C],0)+1)</f>
        <v/>
      </c>
    </row>
    <row r="591" spans="1:40" ht="20.100000000000001" customHeight="1" x14ac:dyDescent="0.25">
      <c r="A591" s="28">
        <f ca="1">IF(INDIRECT(ADDRESS(ROW()-1,COLUMN(NOTA[[#Headers],[ID]])))="ID",1,IF(NOTA[[#This Row],[FAKTUR]]="","",COUNT(INDIRECT(ADDRESS(ROW(NOTA[ID]),COLUMN(NOTA[ID]))&amp;":"&amp;ADDRESS(ROW()-1,COLUMN(NOTA[ID]))))+1))</f>
        <v>109</v>
      </c>
      <c r="B5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KAL_2001_172-3</v>
      </c>
      <c r="C591" s="29" t="str">
        <f>IF(NOTA[[#This Row],[CEK_EXP]]&lt;D590,"err","")</f>
        <v/>
      </c>
      <c r="D591" s="29">
        <f>IF(NOTA[[#This Row],[TANGGAL]]="",D590,NOTA[[#This Row],[TANGGAL]])</f>
        <v>44946</v>
      </c>
      <c r="E591" s="29">
        <f ca="1">IF(NOTA[[#This Row],[NAMA BARANG]]="","",INDEX(NOTA[ID],MATCH(,INDIRECT(ADDRESS(ROW(NOTA[ID]),COLUMN(NOTA[ID]))&amp;":"&amp;ADDRESS(ROW(),COLUMN(NOTA[ID]))),-1)))</f>
        <v>109</v>
      </c>
      <c r="F591" s="30"/>
      <c r="G591" s="26" t="s">
        <v>52</v>
      </c>
      <c r="H591" s="26" t="s">
        <v>24</v>
      </c>
      <c r="I591" s="31" t="s">
        <v>735</v>
      </c>
      <c r="J591" s="33"/>
      <c r="K591" s="33">
        <v>44943</v>
      </c>
      <c r="L591" s="32"/>
      <c r="M591" s="26" t="s">
        <v>509</v>
      </c>
      <c r="N591" s="34"/>
      <c r="O591" s="32">
        <v>40</v>
      </c>
      <c r="P591" s="26" t="s">
        <v>104</v>
      </c>
      <c r="Q591" s="28">
        <v>47000</v>
      </c>
      <c r="R591" s="46"/>
      <c r="S591" s="39" t="s">
        <v>517</v>
      </c>
      <c r="T591" s="35">
        <v>0.125</v>
      </c>
      <c r="U591" s="35">
        <v>0.05</v>
      </c>
      <c r="V591" s="36"/>
      <c r="W591" s="37"/>
      <c r="X591" s="36">
        <f>IF(NOTA[[#This Row],[HARGA/ CTN]]="",NOTA[[#This Row],[JUMLAH_H]],NOTA[[#This Row],[HARGA/ CTN]]*IF(NOTA[[#This Row],[C]]="",0,NOTA[[#This Row],[C]]))</f>
        <v>1880000</v>
      </c>
      <c r="Y591" s="36">
        <f>IF(NOTA[[#This Row],[JUMLAH]]="","",NOTA[[#This Row],[JUMLAH]]*NOTA[[#This Row],[DISC 1]])</f>
        <v>235000</v>
      </c>
      <c r="Z591" s="36">
        <f>IF(NOTA[[#This Row],[JUMLAH]]="","",(NOTA[[#This Row],[JUMLAH]]-NOTA[[#This Row],[DISC 1-]])*NOTA[[#This Row],[DISC 2]])</f>
        <v>82250</v>
      </c>
      <c r="AA591" s="36">
        <f>IF(NOTA[[#This Row],[JUMLAH]]="","",NOTA[[#This Row],[DISC 1-]]+NOTA[[#This Row],[DISC 2-]])</f>
        <v>317250</v>
      </c>
      <c r="AB591" s="36">
        <f>IF(NOTA[[#This Row],[JUMLAH]]="","",NOTA[[#This Row],[JUMLAH]]-NOTA[[#This Row],[DISC]])</f>
        <v>1562750</v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591" s="36">
        <f>IF(OR(NOTA[[#This Row],[QTY]]="",NOTA[[#This Row],[HARGA SATUAN]]="",),"",NOTA[[#This Row],[QTY]]*NOTA[[#This Row],[HARGA SATUAN]])</f>
        <v>1880000</v>
      </c>
      <c r="AG591" s="33">
        <f ca="1">IF(NOTA[ID_H]="","",INDEX(NOTA[TANGGAL],MATCH(,INDIRECT(ADDRESS(ROW(NOTA[TANGGAL]),COLUMN(NOTA[TANGGAL]))&amp;":"&amp;ADDRESS(ROW(),COLUMN(NOTA[TANGGAL]))),-1)))</f>
        <v>44946</v>
      </c>
      <c r="AH591" s="28" t="str">
        <f ca="1">IF(NOTA[[#This Row],[NAMA BARANG]]="","",INDEX(NOTA[SUPPLIER],MATCH(,INDIRECT(ADDRESS(ROW(NOTA[ID]),COLUMN(NOTA[ID]))&amp;":"&amp;ADDRESS(ROW(),COLUMN(NOTA[ID]))),-1)))</f>
        <v>KALINDO SUKSES</v>
      </c>
      <c r="AI591" s="28" t="str">
        <f ca="1">IF(NOTA[[#This Row],[ID_H]]="","",IF(NOTA[[#This Row],[FAKTUR]]="",INDIRECT(ADDRESS(ROW()-1,COLUMN())),NOTA[[#This Row],[FAKTUR]]))</f>
        <v>ARTO MORO</v>
      </c>
      <c r="AJ591" s="38">
        <f ca="1">IF(NOTA[[#This Row],[ID]]="","",COUNTIF(NOTA[ID_H],NOTA[[#This Row],[ID_H]]))</f>
        <v>3</v>
      </c>
      <c r="AK591" s="38">
        <f>IF(NOTA[[#This Row],[TGL.NOTA]]="",IF(NOTA[[#This Row],[SUPPLIER_H]]="","",AK590),MONTH(NOTA[[#This Row],[TGL.NOTA]]))</f>
        <v>1</v>
      </c>
      <c r="AL591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591" s="38" t="str">
        <f>IF(NOTA[C]="",NOTA[[#This Row],[CONCAT1]]&amp;NOTA[[#This Row],[HARGA SATUAN]],NOTA[[#This Row],[CONCAT1]]&amp;NOTA[[#This Row],[HARGA/ CTN_H]]&amp;NOTA[[#This Row],[DISC 1]]&amp;NOTA[[#This Row],[DISC 2]])</f>
        <v>calculatorjoykocc8coblue47000</v>
      </c>
      <c r="AN591" s="184">
        <f>IF(NOTA[[#This Row],[CONCAT1]]="","",MATCH(NOTA[[#This Row],[CONCAT1]],[1]!db[NB NOTA_C],0)+1)</f>
        <v>425</v>
      </c>
    </row>
    <row r="592" spans="1:40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Row],[CEK_EXP]]&lt;D591,"err","")</f>
        <v/>
      </c>
      <c r="D592" s="29">
        <f>IF(NOTA[[#This Row],[TANGGAL]]="",D591,NOTA[[#This Row],[TANGGAL]])</f>
        <v>44946</v>
      </c>
      <c r="E592" s="29">
        <f ca="1">IF(NOTA[[#This Row],[NAMA BARANG]]="","",INDEX(NOTA[ID],MATCH(,INDIRECT(ADDRESS(ROW(NOTA[ID]),COLUMN(NOTA[ID]))&amp;":"&amp;ADDRESS(ROW(),COLUMN(NOTA[ID]))),-1)))</f>
        <v>109</v>
      </c>
      <c r="F592" s="30"/>
      <c r="G592" s="26"/>
      <c r="H592" s="26"/>
      <c r="I592" s="31"/>
      <c r="J592" s="32"/>
      <c r="K592" s="33"/>
      <c r="L592" s="32"/>
      <c r="M592" s="26" t="s">
        <v>510</v>
      </c>
      <c r="N592" s="34"/>
      <c r="O592" s="32">
        <v>40</v>
      </c>
      <c r="P592" s="26" t="s">
        <v>104</v>
      </c>
      <c r="Q592" s="28">
        <v>47000</v>
      </c>
      <c r="R592" s="46"/>
      <c r="S592" s="39" t="s">
        <v>517</v>
      </c>
      <c r="T592" s="35">
        <v>0.125</v>
      </c>
      <c r="U592" s="35">
        <v>0.05</v>
      </c>
      <c r="V592" s="36"/>
      <c r="W592" s="37"/>
      <c r="X592" s="36">
        <f>IF(NOTA[[#This Row],[HARGA/ CTN]]="",NOTA[[#This Row],[JUMLAH_H]],NOTA[[#This Row],[HARGA/ CTN]]*IF(NOTA[[#This Row],[C]]="",0,NOTA[[#This Row],[C]]))</f>
        <v>1880000</v>
      </c>
      <c r="Y592" s="36">
        <f>IF(NOTA[[#This Row],[JUMLAH]]="","",NOTA[[#This Row],[JUMLAH]]*NOTA[[#This Row],[DISC 1]])</f>
        <v>235000</v>
      </c>
      <c r="Z592" s="36">
        <f>IF(NOTA[[#This Row],[JUMLAH]]="","",(NOTA[[#This Row],[JUMLAH]]-NOTA[[#This Row],[DISC 1-]])*NOTA[[#This Row],[DISC 2]])</f>
        <v>82250</v>
      </c>
      <c r="AA592" s="36">
        <f>IF(NOTA[[#This Row],[JUMLAH]]="","",NOTA[[#This Row],[DISC 1-]]+NOTA[[#This Row],[DISC 2-]])</f>
        <v>317250</v>
      </c>
      <c r="AB592" s="36">
        <f>IF(NOTA[[#This Row],[JUMLAH]]="","",NOTA[[#This Row],[JUMLAH]]-NOTA[[#This Row],[DISC]])</f>
        <v>1562750</v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592" s="36">
        <f>IF(OR(NOTA[[#This Row],[QTY]]="",NOTA[[#This Row],[HARGA SATUAN]]="",),"",NOTA[[#This Row],[QTY]]*NOTA[[#This Row],[HARGA SATUAN]])</f>
        <v>1880000</v>
      </c>
      <c r="AG592" s="33">
        <f ca="1">IF(NOTA[ID_H]="","",INDEX(NOTA[TANGGAL],MATCH(,INDIRECT(ADDRESS(ROW(NOTA[TANGGAL]),COLUMN(NOTA[TANGGAL]))&amp;":"&amp;ADDRESS(ROW(),COLUMN(NOTA[TANGGAL]))),-1)))</f>
        <v>44946</v>
      </c>
      <c r="AH592" s="28" t="str">
        <f ca="1">IF(NOTA[[#This Row],[NAMA BARANG]]="","",INDEX(NOTA[SUPPLIER],MATCH(,INDIRECT(ADDRESS(ROW(NOTA[ID]),COLUMN(NOTA[ID]))&amp;":"&amp;ADDRESS(ROW(),COLUMN(NOTA[ID]))),-1)))</f>
        <v>KALINDO SUKSES</v>
      </c>
      <c r="AI592" s="28" t="str">
        <f ca="1">IF(NOTA[[#This Row],[ID_H]]="","",IF(NOTA[[#This Row],[FAKTUR]]="",INDIRECT(ADDRESS(ROW()-1,COLUMN())),NOTA[[#This Row],[FAKTUR]]))</f>
        <v>ARTO MORO</v>
      </c>
      <c r="AJ592" s="38" t="str">
        <f ca="1">IF(NOTA[[#This Row],[ID]]="","",COUNTIF(NOTA[ID_H],NOTA[[#This Row],[ID_H]]))</f>
        <v/>
      </c>
      <c r="AK592" s="38">
        <f ca="1">IF(NOTA[[#This Row],[TGL.NOTA]]="",IF(NOTA[[#This Row],[SUPPLIER_H]]="","",AK591),MONTH(NOTA[[#This Row],[TGL.NOTA]]))</f>
        <v>1</v>
      </c>
      <c r="AL592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592" s="38" t="str">
        <f>IF(NOTA[C]="",NOTA[[#This Row],[CONCAT1]]&amp;NOTA[[#This Row],[HARGA SATUAN]],NOTA[[#This Row],[CONCAT1]]&amp;NOTA[[#This Row],[HARGA/ CTN_H]]&amp;NOTA[[#This Row],[DISC 1]]&amp;NOTA[[#This Row],[DISC 2]])</f>
        <v>calculatorjoykocc8cogreen47000</v>
      </c>
      <c r="AN592" s="184">
        <f>IF(NOTA[[#This Row],[CONCAT1]]="","",MATCH(NOTA[[#This Row],[CONCAT1]],[1]!db[NB NOTA_C],0)+1)</f>
        <v>418</v>
      </c>
    </row>
    <row r="593" spans="1:40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Row],[CEK_EXP]]&lt;D592,"err","")</f>
        <v/>
      </c>
      <c r="D593" s="29">
        <f>IF(NOTA[[#This Row],[TANGGAL]]="",D592,NOTA[[#This Row],[TANGGAL]])</f>
        <v>44946</v>
      </c>
      <c r="E593" s="29">
        <f ca="1">IF(NOTA[[#This Row],[NAMA BARANG]]="","",INDEX(NOTA[ID],MATCH(,INDIRECT(ADDRESS(ROW(NOTA[ID]),COLUMN(NOTA[ID]))&amp;":"&amp;ADDRESS(ROW(),COLUMN(NOTA[ID]))),-1)))</f>
        <v>109</v>
      </c>
      <c r="F593" s="30"/>
      <c r="G593" s="26"/>
      <c r="H593" s="26"/>
      <c r="I593" s="31"/>
      <c r="J593" s="32"/>
      <c r="K593" s="33"/>
      <c r="L593" s="32"/>
      <c r="M593" s="26" t="s">
        <v>511</v>
      </c>
      <c r="N593" s="34"/>
      <c r="O593" s="32">
        <v>40</v>
      </c>
      <c r="P593" s="26" t="s">
        <v>104</v>
      </c>
      <c r="Q593" s="28">
        <v>47000</v>
      </c>
      <c r="R593" s="46"/>
      <c r="S593" s="39" t="s">
        <v>517</v>
      </c>
      <c r="T593" s="35">
        <v>0.125</v>
      </c>
      <c r="U593" s="35">
        <v>0.05</v>
      </c>
      <c r="V593" s="36"/>
      <c r="W593" s="37"/>
      <c r="X593" s="36">
        <f>IF(NOTA[[#This Row],[HARGA/ CTN]]="",NOTA[[#This Row],[JUMLAH_H]],NOTA[[#This Row],[HARGA/ CTN]]*IF(NOTA[[#This Row],[C]]="",0,NOTA[[#This Row],[C]]))</f>
        <v>1880000</v>
      </c>
      <c r="Y593" s="36">
        <f>IF(NOTA[[#This Row],[JUMLAH]]="","",NOTA[[#This Row],[JUMLAH]]*NOTA[[#This Row],[DISC 1]])</f>
        <v>235000</v>
      </c>
      <c r="Z593" s="36">
        <f>IF(NOTA[[#This Row],[JUMLAH]]="","",(NOTA[[#This Row],[JUMLAH]]-NOTA[[#This Row],[DISC 1-]])*NOTA[[#This Row],[DISC 2]])</f>
        <v>82250</v>
      </c>
      <c r="AA593" s="36">
        <f>IF(NOTA[[#This Row],[JUMLAH]]="","",NOTA[[#This Row],[DISC 1-]]+NOTA[[#This Row],[DISC 2-]])</f>
        <v>317250</v>
      </c>
      <c r="AB593" s="36">
        <f>IF(NOTA[[#This Row],[JUMLAH]]="","",NOTA[[#This Row],[JUMLAH]]-NOTA[[#This Row],[DISC]])</f>
        <v>1562750</v>
      </c>
      <c r="AC5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D5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E593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593" s="36">
        <f>IF(OR(NOTA[[#This Row],[QTY]]="",NOTA[[#This Row],[HARGA SATUAN]]="",),"",NOTA[[#This Row],[QTY]]*NOTA[[#This Row],[HARGA SATUAN]])</f>
        <v>1880000</v>
      </c>
      <c r="AG593" s="33">
        <f ca="1">IF(NOTA[ID_H]="","",INDEX(NOTA[TANGGAL],MATCH(,INDIRECT(ADDRESS(ROW(NOTA[TANGGAL]),COLUMN(NOTA[TANGGAL]))&amp;":"&amp;ADDRESS(ROW(),COLUMN(NOTA[TANGGAL]))),-1)))</f>
        <v>44946</v>
      </c>
      <c r="AH593" s="28" t="str">
        <f ca="1">IF(NOTA[[#This Row],[NAMA BARANG]]="","",INDEX(NOTA[SUPPLIER],MATCH(,INDIRECT(ADDRESS(ROW(NOTA[ID]),COLUMN(NOTA[ID]))&amp;":"&amp;ADDRESS(ROW(),COLUMN(NOTA[ID]))),-1)))</f>
        <v>KALINDO SUKSES</v>
      </c>
      <c r="AI593" s="28" t="str">
        <f ca="1">IF(NOTA[[#This Row],[ID_H]]="","",IF(NOTA[[#This Row],[FAKTUR]]="",INDIRECT(ADDRESS(ROW()-1,COLUMN())),NOTA[[#This Row],[FAKTUR]]))</f>
        <v>ARTO MORO</v>
      </c>
      <c r="AJ593" s="38" t="str">
        <f ca="1">IF(NOTA[[#This Row],[ID]]="","",COUNTIF(NOTA[ID_H],NOTA[[#This Row],[ID_H]]))</f>
        <v/>
      </c>
      <c r="AK593" s="38">
        <f ca="1">IF(NOTA[[#This Row],[TGL.NOTA]]="",IF(NOTA[[#This Row],[SUPPLIER_H]]="","",AK592),MONTH(NOTA[[#This Row],[TGL.NOTA]]))</f>
        <v>1</v>
      </c>
      <c r="AL593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593" s="38" t="str">
        <f>IF(NOTA[C]="",NOTA[[#This Row],[CONCAT1]]&amp;NOTA[[#This Row],[HARGA SATUAN]],NOTA[[#This Row],[CONCAT1]]&amp;NOTA[[#This Row],[HARGA/ CTN_H]]&amp;NOTA[[#This Row],[DISC 1]]&amp;NOTA[[#This Row],[DISC 2]])</f>
        <v>calculatorjoykocc8coorange47000</v>
      </c>
      <c r="AN593" s="184">
        <f>IF(NOTA[[#This Row],[CONCAT1]]="","",MATCH(NOTA[[#This Row],[CONCAT1]],[1]!db[NB NOTA_C],0)+1)</f>
        <v>426</v>
      </c>
    </row>
    <row r="594" spans="1:40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Row],[CEK_EXP]]&lt;D593,"err","")</f>
        <v/>
      </c>
      <c r="D594" s="29">
        <f>IF(NOTA[[#This Row],[TANGGAL]]="",D593,NOTA[[#This Row],[TANGGAL]])</f>
        <v>44946</v>
      </c>
      <c r="E594" s="29" t="str">
        <f ca="1">IF(NOTA[[#This Row],[NAMA BARANG]]="","",INDEX(NOTA[ID],MATCH(,INDIRECT(ADDRESS(ROW(NOTA[ID]),COLUMN(NOTA[ID]))&amp;":"&amp;ADDRESS(ROW(),COLUMN(NOTA[ID]))),-1)))</f>
        <v/>
      </c>
      <c r="F594" s="30"/>
      <c r="G594" s="26"/>
      <c r="H594" s="26"/>
      <c r="I594" s="31"/>
      <c r="J594" s="32"/>
      <c r="K594" s="33"/>
      <c r="L594" s="32"/>
      <c r="M594" s="26"/>
      <c r="N594" s="34"/>
      <c r="O594" s="32"/>
      <c r="P594" s="26"/>
      <c r="Q594" s="28"/>
      <c r="R594" s="46"/>
      <c r="S594" s="39"/>
      <c r="T594" s="35"/>
      <c r="U594" s="35"/>
      <c r="V594" s="36"/>
      <c r="W594" s="37"/>
      <c r="X594" s="36" t="str">
        <f>IF(NOTA[[#This Row],[HARGA/ CTN]]="",NOTA[[#This Row],[JUMLAH_H]],NOTA[[#This Row],[HARGA/ CTN]]*IF(NOTA[[#This Row],[C]]="",0,NOTA[[#This Row],[C]]))</f>
        <v/>
      </c>
      <c r="Y594" s="36" t="str">
        <f>IF(NOTA[[#This Row],[JUMLAH]]="","",NOTA[[#This Row],[JUMLAH]]*NOTA[[#This Row],[DISC 1]])</f>
        <v/>
      </c>
      <c r="Z594" s="36" t="str">
        <f>IF(NOTA[[#This Row],[JUMLAH]]="","",(NOTA[[#This Row],[JUMLAH]]-NOTA[[#This Row],[DISC 1-]])*NOTA[[#This Row],[DISC 2]])</f>
        <v/>
      </c>
      <c r="AA594" s="36" t="str">
        <f>IF(NOTA[[#This Row],[JUMLAH]]="","",NOTA[[#This Row],[DISC 1-]]+NOTA[[#This Row],[DISC 2-]])</f>
        <v/>
      </c>
      <c r="AB594" s="36" t="str">
        <f>IF(NOTA[[#This Row],[JUMLAH]]="","",NOTA[[#This Row],[JUMLAH]]-NOTA[[#This Row],[DISC]])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4" s="36" t="str">
        <f>IF(OR(NOTA[[#This Row],[QTY]]="",NOTA[[#This Row],[HARGA SATUAN]]="",),"",NOTA[[#This Row],[QTY]]*NOTA[[#This Row],[HARGA SATUAN]])</f>
        <v/>
      </c>
      <c r="AG594" s="33" t="str">
        <f ca="1">IF(NOTA[ID_H]="","",INDEX(NOTA[TANGGAL],MATCH(,INDIRECT(ADDRESS(ROW(NOTA[TANGGAL]),COLUMN(NOTA[TANGGAL]))&amp;":"&amp;ADDRESS(ROW(),COLUMN(NOTA[TANGGAL]))),-1)))</f>
        <v/>
      </c>
      <c r="AH594" s="28" t="str">
        <f ca="1">IF(NOTA[[#This Row],[NAMA BARANG]]="","",INDEX(NOTA[SUPPLIER],MATCH(,INDIRECT(ADDRESS(ROW(NOTA[ID]),COLUMN(NOTA[ID]))&amp;":"&amp;ADDRESS(ROW(),COLUMN(NOTA[ID]))),-1)))</f>
        <v/>
      </c>
      <c r="AI594" s="28" t="str">
        <f ca="1">IF(NOTA[[#This Row],[ID_H]]="","",IF(NOTA[[#This Row],[FAKTUR]]="",INDIRECT(ADDRESS(ROW()-1,COLUMN())),NOTA[[#This Row],[FAKTUR]]))</f>
        <v/>
      </c>
      <c r="AJ594" s="38" t="str">
        <f ca="1">IF(NOTA[[#This Row],[ID]]="","",COUNTIF(NOTA[ID_H],NOTA[[#This Row],[ID_H]]))</f>
        <v/>
      </c>
      <c r="AK594" s="38" t="str">
        <f ca="1">IF(NOTA[[#This Row],[TGL.NOTA]]="",IF(NOTA[[#This Row],[SUPPLIER_H]]="","",AK593),MONTH(NOTA[[#This Row],[TGL.NOTA]]))</f>
        <v/>
      </c>
      <c r="AL594" s="38" t="str">
        <f>LOWER(SUBSTITUTE(SUBSTITUTE(SUBSTITUTE(SUBSTITUTE(SUBSTITUTE(SUBSTITUTE(SUBSTITUTE(SUBSTITUTE(SUBSTITUTE(NOTA[NAMA BARANG]," ",),".",""),"-",""),"(",""),")",""),",",""),"/",""),"""",""),"+",""))</f>
        <v/>
      </c>
      <c r="AM594" s="38" t="str">
        <f>IF(NOTA[C]="",NOTA[[#This Row],[CONCAT1]]&amp;NOTA[[#This Row],[HARGA SATUAN]],NOTA[[#This Row],[CONCAT1]]&amp;NOTA[[#This Row],[HARGA/ CTN_H]]&amp;NOTA[[#This Row],[DISC 1]]&amp;NOTA[[#This Row],[DISC 2]])</f>
        <v/>
      </c>
      <c r="AN594" s="184" t="str">
        <f>IF(NOTA[[#This Row],[CONCAT1]]="","",MATCH(NOTA[[#This Row],[CONCAT1]],[1]!db[NB NOTA_C],0)+1)</f>
        <v/>
      </c>
    </row>
    <row r="595" spans="1:40" ht="20.100000000000001" customHeight="1" x14ac:dyDescent="0.25">
      <c r="A595" s="28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KEN_2001_377-3</v>
      </c>
      <c r="C595" s="29" t="str">
        <f>IF(NOTA[[#This Row],[CEK_EXP]]&lt;D594,"err","")</f>
        <v/>
      </c>
      <c r="D595" s="29">
        <f>IF(NOTA[[#This Row],[TANGGAL]]="",D594,NOTA[[#This Row],[TANGGAL]])</f>
        <v>44946</v>
      </c>
      <c r="E595" s="29">
        <f ca="1">IF(NOTA[[#This Row],[NAMA BARANG]]="","",INDEX(NOTA[ID],MATCH(,INDIRECT(ADDRESS(ROW(NOTA[ID]),COLUMN(NOTA[ID]))&amp;":"&amp;ADDRESS(ROW(),COLUMN(NOTA[ID]))),-1)))</f>
        <v>110</v>
      </c>
      <c r="F595" s="30"/>
      <c r="G595" s="26" t="s">
        <v>23</v>
      </c>
      <c r="H595" s="26" t="s">
        <v>24</v>
      </c>
      <c r="I595" s="31" t="s">
        <v>736</v>
      </c>
      <c r="J595" s="26" t="s">
        <v>737</v>
      </c>
      <c r="K595" s="33">
        <v>44944</v>
      </c>
      <c r="L595" s="32"/>
      <c r="M595" s="26" t="s">
        <v>351</v>
      </c>
      <c r="N595" s="34">
        <v>2</v>
      </c>
      <c r="O595" s="32"/>
      <c r="P595" s="26"/>
      <c r="Q595" s="28"/>
      <c r="R595" s="46">
        <v>1375000</v>
      </c>
      <c r="S595" s="39" t="s">
        <v>361</v>
      </c>
      <c r="T595" s="35">
        <v>0.17</v>
      </c>
      <c r="U595" s="35"/>
      <c r="V595" s="36"/>
      <c r="W595" s="37"/>
      <c r="X595" s="36">
        <f>IF(NOTA[[#This Row],[HARGA/ CTN]]="",NOTA[[#This Row],[JUMLAH_H]],NOTA[[#This Row],[HARGA/ CTN]]*IF(NOTA[[#This Row],[C]]="",0,NOTA[[#This Row],[C]]))</f>
        <v>2750000</v>
      </c>
      <c r="Y595" s="36">
        <f>IF(NOTA[[#This Row],[JUMLAH]]="","",NOTA[[#This Row],[JUMLAH]]*NOTA[[#This Row],[DISC 1]])</f>
        <v>467500.00000000006</v>
      </c>
      <c r="Z595" s="36">
        <f>IF(NOTA[[#This Row],[JUMLAH]]="","",(NOTA[[#This Row],[JUMLAH]]-NOTA[[#This Row],[DISC 1-]])*NOTA[[#This Row],[DISC 2]])</f>
        <v>0</v>
      </c>
      <c r="AA595" s="36">
        <f>IF(NOTA[[#This Row],[JUMLAH]]="","",NOTA[[#This Row],[DISC 1-]]+NOTA[[#This Row],[DISC 2-]])</f>
        <v>467500.00000000006</v>
      </c>
      <c r="AB595" s="36">
        <f>IF(NOTA[[#This Row],[JUMLAH]]="","",NOTA[[#This Row],[JUMLAH]]-NOTA[[#This Row],[DISC]])</f>
        <v>2282500</v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95" s="36" t="str">
        <f>IF(OR(NOTA[[#This Row],[QTY]]="",NOTA[[#This Row],[HARGA SATUAN]]="",),"",NOTA[[#This Row],[QTY]]*NOTA[[#This Row],[HARGA SATUAN]])</f>
        <v/>
      </c>
      <c r="AG595" s="33">
        <f ca="1">IF(NOTA[ID_H]="","",INDEX(NOTA[TANGGAL],MATCH(,INDIRECT(ADDRESS(ROW(NOTA[TANGGAL]),COLUMN(NOTA[TANGGAL]))&amp;":"&amp;ADDRESS(ROW(),COLUMN(NOTA[TANGGAL]))),-1)))</f>
        <v>44946</v>
      </c>
      <c r="AH595" s="28" t="str">
        <f ca="1">IF(NOTA[[#This Row],[NAMA BARANG]]="","",INDEX(NOTA[SUPPLIER],MATCH(,INDIRECT(ADDRESS(ROW(NOTA[ID]),COLUMN(NOTA[ID]))&amp;":"&amp;ADDRESS(ROW(),COLUMN(NOTA[ID]))),-1)))</f>
        <v>KENKO SINAR INDONESIA</v>
      </c>
      <c r="AI595" s="28" t="str">
        <f ca="1">IF(NOTA[[#This Row],[ID_H]]="","",IF(NOTA[[#This Row],[FAKTUR]]="",INDIRECT(ADDRESS(ROW()-1,COLUMN())),NOTA[[#This Row],[FAKTUR]]))</f>
        <v>ARTO MORO</v>
      </c>
      <c r="AJ595" s="38">
        <f ca="1">IF(NOTA[[#This Row],[ID]]="","",COUNTIF(NOTA[ID_H],NOTA[[#This Row],[ID_H]]))</f>
        <v>3</v>
      </c>
      <c r="AK595" s="38">
        <f>IF(NOTA[[#This Row],[TGL.NOTA]]="",IF(NOTA[[#This Row],[SUPPLIER_H]]="","",AK594),MONTH(NOTA[[#This Row],[TGL.NOTA]]))</f>
        <v>1</v>
      </c>
      <c r="AL595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95" s="38" t="str">
        <f>IF(NOTA[C]="",NOTA[[#This Row],[CONCAT1]]&amp;NOTA[[#This Row],[HARGA SATUAN]],NOTA[[#This Row],[CONCAT1]]&amp;NOTA[[#This Row],[HARGA/ CTN_H]]&amp;NOTA[[#This Row],[DISC 1]]&amp;NOTA[[#This Row],[DISC 2]])</f>
        <v>kenkoerasererw40sqwhite13750000.17</v>
      </c>
      <c r="AN595" s="184">
        <f>IF(NOTA[[#This Row],[CONCAT1]]="","",MATCH(NOTA[[#This Row],[CONCAT1]],[1]!db[NB NOTA_C],0)+1)</f>
        <v>1146</v>
      </c>
    </row>
    <row r="596" spans="1:40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Row],[CEK_EXP]]&lt;D595,"err","")</f>
        <v/>
      </c>
      <c r="D596" s="50">
        <f>IF(NOTA[[#This Row],[TANGGAL]]="",D595,NOTA[[#This Row],[TANGGAL]])</f>
        <v>44946</v>
      </c>
      <c r="E596" s="50">
        <f ca="1">IF(NOTA[[#This Row],[NAMA BARANG]]="","",INDEX(NOTA[ID],MATCH(,INDIRECT(ADDRESS(ROW(NOTA[ID]),COLUMN(NOTA[ID]))&amp;":"&amp;ADDRESS(ROW(),COLUMN(NOTA[ID]))),-1)))</f>
        <v>110</v>
      </c>
      <c r="F596" s="23"/>
      <c r="G596" s="26"/>
      <c r="H596" s="26"/>
      <c r="I596" s="31"/>
      <c r="J596" s="26"/>
      <c r="K596" s="51"/>
      <c r="L596" s="26"/>
      <c r="M596" s="26" t="s">
        <v>405</v>
      </c>
      <c r="N596" s="39">
        <v>5</v>
      </c>
      <c r="O596" s="26"/>
      <c r="P596" s="26"/>
      <c r="Q596" s="52"/>
      <c r="R596" s="52">
        <v>1954800</v>
      </c>
      <c r="S596" s="39" t="s">
        <v>118</v>
      </c>
      <c r="T596" s="53">
        <v>0.17</v>
      </c>
      <c r="U596" s="53"/>
      <c r="V596" s="54"/>
      <c r="W596" s="37"/>
      <c r="X596" s="54">
        <f>IF(NOTA[[#This Row],[HARGA/ CTN]]="",NOTA[[#This Row],[JUMLAH_H]],NOTA[[#This Row],[HARGA/ CTN]]*IF(NOTA[[#This Row],[C]]="",0,NOTA[[#This Row],[C]]))</f>
        <v>9774000</v>
      </c>
      <c r="Y596" s="54">
        <f>IF(NOTA[[#This Row],[JUMLAH]]="","",NOTA[[#This Row],[JUMLAH]]*NOTA[[#This Row],[DISC 1]])</f>
        <v>1661580.0000000002</v>
      </c>
      <c r="Z596" s="54">
        <f>IF(NOTA[[#This Row],[JUMLAH]]="","",(NOTA[[#This Row],[JUMLAH]]-NOTA[[#This Row],[DISC 1-]])*NOTA[[#This Row],[DISC 2]])</f>
        <v>0</v>
      </c>
      <c r="AA596" s="54">
        <f>IF(NOTA[[#This Row],[JUMLAH]]="","",NOTA[[#This Row],[DISC 1-]]+NOTA[[#This Row],[DISC 2-]])</f>
        <v>1661580.0000000002</v>
      </c>
      <c r="AB596" s="54">
        <f>IF(NOTA[[#This Row],[JUMLAH]]="","",NOTA[[#This Row],[JUMLAH]]-NOTA[[#This Row],[DISC]])</f>
        <v>8112420</v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96" s="54" t="str">
        <f>IF(OR(NOTA[[#This Row],[QTY]]="",NOTA[[#This Row],[HARGA SATUAN]]="",),"",NOTA[[#This Row],[QTY]]*NOTA[[#This Row],[HARGA SATUAN]])</f>
        <v/>
      </c>
      <c r="AG596" s="51">
        <f ca="1">IF(NOTA[ID_H]="","",INDEX(NOTA[TANGGAL],MATCH(,INDIRECT(ADDRESS(ROW(NOTA[TANGGAL]),COLUMN(NOTA[TANGGAL]))&amp;":"&amp;ADDRESS(ROW(),COLUMN(NOTA[TANGGAL]))),-1)))</f>
        <v>44946</v>
      </c>
      <c r="AH596" s="49" t="str">
        <f ca="1">IF(NOTA[[#This Row],[NAMA BARANG]]="","",INDEX(NOTA[SUPPLIER],MATCH(,INDIRECT(ADDRESS(ROW(NOTA[ID]),COLUMN(NOTA[ID]))&amp;":"&amp;ADDRESS(ROW(),COLUMN(NOTA[ID]))),-1)))</f>
        <v>KENKO SINAR INDONESIA</v>
      </c>
      <c r="AI596" s="49" t="str">
        <f ca="1">IF(NOTA[[#This Row],[ID_H]]="","",IF(NOTA[[#This Row],[FAKTUR]]="",INDIRECT(ADDRESS(ROW()-1,COLUMN())),NOTA[[#This Row],[FAKTUR]]))</f>
        <v>ARTO MORO</v>
      </c>
      <c r="AJ596" s="38" t="str">
        <f ca="1">IF(NOTA[[#This Row],[ID]]="","",COUNTIF(NOTA[ID_H],NOTA[[#This Row],[ID_H]]))</f>
        <v/>
      </c>
      <c r="AK596" s="38">
        <f ca="1">IF(NOTA[[#This Row],[TGL.NOTA]]="",IF(NOTA[[#This Row],[SUPPLIER_H]]="","",AK595),MONTH(NOTA[[#This Row],[TGL.NOTA]]))</f>
        <v>1</v>
      </c>
      <c r="AL5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96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N596" s="184">
        <f>IF(NOTA[[#This Row],[CONCAT1]]="","",MATCH(NOTA[[#This Row],[CONCAT1]],[1]!db[NB NOTA_C],0)+1)</f>
        <v>1102</v>
      </c>
    </row>
    <row r="597" spans="1:40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Row],[CEK_EXP]]&lt;D596,"err","")</f>
        <v/>
      </c>
      <c r="D597" s="50">
        <f>IF(NOTA[[#This Row],[TANGGAL]]="",D596,NOTA[[#This Row],[TANGGAL]])</f>
        <v>44946</v>
      </c>
      <c r="E597" s="50">
        <f ca="1">IF(NOTA[[#This Row],[NAMA BARANG]]="","",INDEX(NOTA[ID],MATCH(,INDIRECT(ADDRESS(ROW(NOTA[ID]),COLUMN(NOTA[ID]))&amp;":"&amp;ADDRESS(ROW(),COLUMN(NOTA[ID]))),-1)))</f>
        <v>110</v>
      </c>
      <c r="F597" s="23"/>
      <c r="G597" s="26"/>
      <c r="H597" s="26"/>
      <c r="I597" s="31"/>
      <c r="J597" s="26"/>
      <c r="K597" s="51"/>
      <c r="L597" s="26"/>
      <c r="M597" s="26" t="s">
        <v>738</v>
      </c>
      <c r="N597" s="39">
        <v>2</v>
      </c>
      <c r="O597" s="26"/>
      <c r="P597" s="26"/>
      <c r="Q597" s="49"/>
      <c r="R597" s="52">
        <v>5702400</v>
      </c>
      <c r="S597" s="39" t="s">
        <v>117</v>
      </c>
      <c r="T597" s="53">
        <v>0.17</v>
      </c>
      <c r="U597" s="53"/>
      <c r="V597" s="54"/>
      <c r="W597" s="37"/>
      <c r="X597" s="54">
        <f>IF(NOTA[[#This Row],[HARGA/ CTN]]="",NOTA[[#This Row],[JUMLAH_H]],NOTA[[#This Row],[HARGA/ CTN]]*IF(NOTA[[#This Row],[C]]="",0,NOTA[[#This Row],[C]]))</f>
        <v>11404800</v>
      </c>
      <c r="Y597" s="54">
        <f>IF(NOTA[[#This Row],[JUMLAH]]="","",NOTA[[#This Row],[JUMLAH]]*NOTA[[#This Row],[DISC 1]])</f>
        <v>1938816.0000000002</v>
      </c>
      <c r="Z597" s="54">
        <f>IF(NOTA[[#This Row],[JUMLAH]]="","",(NOTA[[#This Row],[JUMLAH]]-NOTA[[#This Row],[DISC 1-]])*NOTA[[#This Row],[DISC 2]])</f>
        <v>0</v>
      </c>
      <c r="AA597" s="54">
        <f>IF(NOTA[[#This Row],[JUMLAH]]="","",NOTA[[#This Row],[DISC 1-]]+NOTA[[#This Row],[DISC 2-]])</f>
        <v>1938816.0000000002</v>
      </c>
      <c r="AB597" s="54">
        <f>IF(NOTA[[#This Row],[JUMLAH]]="","",NOTA[[#This Row],[JUMLAH]]-NOTA[[#This Row],[DISC]])</f>
        <v>9465984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4067896.0000000009</v>
      </c>
      <c r="AD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19860904</v>
      </c>
      <c r="AE597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597" s="54" t="str">
        <f>IF(OR(NOTA[[#This Row],[QTY]]="",NOTA[[#This Row],[HARGA SATUAN]]="",),"",NOTA[[#This Row],[QTY]]*NOTA[[#This Row],[HARGA SATUAN]])</f>
        <v/>
      </c>
      <c r="AG597" s="51">
        <f ca="1">IF(NOTA[ID_H]="","",INDEX(NOTA[TANGGAL],MATCH(,INDIRECT(ADDRESS(ROW(NOTA[TANGGAL]),COLUMN(NOTA[TANGGAL]))&amp;":"&amp;ADDRESS(ROW(),COLUMN(NOTA[TANGGAL]))),-1)))</f>
        <v>44946</v>
      </c>
      <c r="AH597" s="49" t="str">
        <f ca="1">IF(NOTA[[#This Row],[NAMA BARANG]]="","",INDEX(NOTA[SUPPLIER],MATCH(,INDIRECT(ADDRESS(ROW(NOTA[ID]),COLUMN(NOTA[ID]))&amp;":"&amp;ADDRESS(ROW(),COLUMN(NOTA[ID]))),-1)))</f>
        <v>KENKO SINAR INDONESIA</v>
      </c>
      <c r="AI597" s="49" t="str">
        <f ca="1">IF(NOTA[[#This Row],[ID_H]]="","",IF(NOTA[[#This Row],[FAKTUR]]="",INDIRECT(ADDRESS(ROW()-1,COLUMN())),NOTA[[#This Row],[FAKTUR]]))</f>
        <v>ARTO MORO</v>
      </c>
      <c r="AJ597" s="38" t="str">
        <f ca="1">IF(NOTA[[#This Row],[ID]]="","",COUNTIF(NOTA[ID_H],NOTA[[#This Row],[ID_H]]))</f>
        <v/>
      </c>
      <c r="AK597" s="38">
        <f ca="1">IF(NOTA[[#This Row],[TGL.NOTA]]="",IF(NOTA[[#This Row],[SUPPLIER_H]]="","",AK596),MONTH(NOTA[[#This Row],[TGL.NOTA]]))</f>
        <v>1</v>
      </c>
      <c r="AL59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597" s="38" t="str">
        <f>IF(NOTA[C]="",NOTA[[#This Row],[CONCAT1]]&amp;NOTA[[#This Row],[HARGA SATUAN]],NOTA[[#This Row],[CONCAT1]]&amp;NOTA[[#This Row],[HARGA/ CTN_H]]&amp;NOTA[[#This Row],[DISC 1]]&amp;NOTA[[#This Row],[DISC 2]])</f>
        <v>kenkogelpenk1black57024000.17</v>
      </c>
      <c r="AN597" s="184">
        <f>IF(NOTA[[#This Row],[CONCAT1]]="","",MATCH(NOTA[[#This Row],[CONCAT1]],[1]!db[NB NOTA_C],0)+1)</f>
        <v>1164</v>
      </c>
    </row>
    <row r="598" spans="1:40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Row],[CEK_EXP]]&lt;D597,"err","")</f>
        <v/>
      </c>
      <c r="D598" s="50">
        <f>IF(NOTA[[#This Row],[TANGGAL]]="",D597,NOTA[[#This Row],[TANGGAL]])</f>
        <v>44946</v>
      </c>
      <c r="E598" s="50" t="str">
        <f ca="1">IF(NOTA[[#This Row],[NAMA BARANG]]="","",INDEX(NOTA[ID],MATCH(,INDIRECT(ADDRESS(ROW(NOTA[ID]),COLUMN(NOTA[ID]))&amp;":"&amp;ADDRESS(ROW(),COLUMN(NOTA[ID]))),-1)))</f>
        <v/>
      </c>
      <c r="F598" s="23"/>
      <c r="G598" s="26"/>
      <c r="H598" s="26"/>
      <c r="I598" s="31"/>
      <c r="J598" s="26"/>
      <c r="K598" s="51"/>
      <c r="L598" s="26"/>
      <c r="M598" s="26"/>
      <c r="N598" s="39"/>
      <c r="O598" s="26"/>
      <c r="P598" s="26"/>
      <c r="Q598" s="49"/>
      <c r="R598" s="52"/>
      <c r="S598" s="39"/>
      <c r="T598" s="53"/>
      <c r="U598" s="53"/>
      <c r="V598" s="54"/>
      <c r="W598" s="37"/>
      <c r="X598" s="54" t="str">
        <f>IF(NOTA[[#This Row],[HARGA/ CTN]]="",NOTA[[#This Row],[JUMLAH_H]],NOTA[[#This Row],[HARGA/ CTN]]*IF(NOTA[[#This Row],[C]]="",0,NOTA[[#This Row],[C]]))</f>
        <v/>
      </c>
      <c r="Y598" s="54" t="str">
        <f>IF(NOTA[[#This Row],[JUMLAH]]="","",NOTA[[#This Row],[JUMLAH]]*NOTA[[#This Row],[DISC 1]])</f>
        <v/>
      </c>
      <c r="Z598" s="54" t="str">
        <f>IF(NOTA[[#This Row],[JUMLAH]]="","",(NOTA[[#This Row],[JUMLAH]]-NOTA[[#This Row],[DISC 1-]])*NOTA[[#This Row],[DISC 2]])</f>
        <v/>
      </c>
      <c r="AA598" s="54" t="str">
        <f>IF(NOTA[[#This Row],[JUMLAH]]="","",NOTA[[#This Row],[DISC 1-]]+NOTA[[#This Row],[DISC 2-]])</f>
        <v/>
      </c>
      <c r="AB598" s="54" t="str">
        <f>IF(NOTA[[#This Row],[JUMLAH]]="","",NOTA[[#This Row],[JUMLAH]]-NOTA[[#This Row],[DISC]])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54" t="str">
        <f>IF(OR(NOTA[[#This Row],[QTY]]="",NOTA[[#This Row],[HARGA SATUAN]]="",),"",NOTA[[#This Row],[QTY]]*NOTA[[#This Row],[HARGA SATUAN]])</f>
        <v/>
      </c>
      <c r="AG598" s="51" t="str">
        <f ca="1">IF(NOTA[ID_H]="","",INDEX(NOTA[TANGGAL],MATCH(,INDIRECT(ADDRESS(ROW(NOTA[TANGGAL]),COLUMN(NOTA[TANGGAL]))&amp;":"&amp;ADDRESS(ROW(),COLUMN(NOTA[TANGGAL]))),-1)))</f>
        <v/>
      </c>
      <c r="AH598" s="49" t="str">
        <f ca="1">IF(NOTA[[#This Row],[NAMA BARANG]]="","",INDEX(NOTA[SUPPLIER],MATCH(,INDIRECT(ADDRESS(ROW(NOTA[ID]),COLUMN(NOTA[ID]))&amp;":"&amp;ADDRESS(ROW(),COLUMN(NOTA[ID]))),-1)))</f>
        <v/>
      </c>
      <c r="AI598" s="49" t="str">
        <f ca="1">IF(NOTA[[#This Row],[ID_H]]="","",IF(NOTA[[#This Row],[FAKTUR]]="",INDIRECT(ADDRESS(ROW()-1,COLUMN())),NOTA[[#This Row],[FAKTUR]]))</f>
        <v/>
      </c>
      <c r="AJ598" s="38" t="str">
        <f ca="1">IF(NOTA[[#This Row],[ID]]="","",COUNTIF(NOTA[ID_H],NOTA[[#This Row],[ID_H]]))</f>
        <v/>
      </c>
      <c r="AK598" s="38" t="str">
        <f ca="1">IF(NOTA[[#This Row],[TGL.NOTA]]="",IF(NOTA[[#This Row],[SUPPLIER_H]]="","",AK597),MONTH(NOTA[[#This Row],[TGL.NOTA]]))</f>
        <v/>
      </c>
      <c r="AL598" s="38" t="str">
        <f>LOWER(SUBSTITUTE(SUBSTITUTE(SUBSTITUTE(SUBSTITUTE(SUBSTITUTE(SUBSTITUTE(SUBSTITUTE(SUBSTITUTE(SUBSTITUTE(NOTA[NAMA BARANG]," ",),".",""),"-",""),"(",""),")",""),",",""),"/",""),"""",""),"+",""))</f>
        <v/>
      </c>
      <c r="AM598" s="38" t="str">
        <f>IF(NOTA[C]="",NOTA[[#This Row],[CONCAT1]]&amp;NOTA[[#This Row],[HARGA SATUAN]],NOTA[[#This Row],[CONCAT1]]&amp;NOTA[[#This Row],[HARGA/ CTN_H]]&amp;NOTA[[#This Row],[DISC 1]]&amp;NOTA[[#This Row],[DISC 2]])</f>
        <v/>
      </c>
      <c r="AN598" s="184" t="str">
        <f>IF(NOTA[[#This Row],[CONCAT1]]="","",MATCH(NOTA[[#This Row],[CONCAT1]],[1]!db[NB NOTA_C],0)+1)</f>
        <v/>
      </c>
    </row>
    <row r="599" spans="1:40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KEN_2001_158-2</v>
      </c>
      <c r="C599" s="50" t="str">
        <f>IF(NOTA[[#This Row],[CEK_EXP]]&lt;D598,"err","")</f>
        <v/>
      </c>
      <c r="D599" s="50">
        <f>IF(NOTA[[#This Row],[TANGGAL]]="",D598,NOTA[[#This Row],[TANGGAL]])</f>
        <v>44946</v>
      </c>
      <c r="E599" s="50">
        <f ca="1">IF(NOTA[[#This Row],[NAMA BARANG]]="","",INDEX(NOTA[ID],MATCH(,INDIRECT(ADDRESS(ROW(NOTA[ID]),COLUMN(NOTA[ID]))&amp;":"&amp;ADDRESS(ROW(),COLUMN(NOTA[ID]))),-1)))</f>
        <v>111</v>
      </c>
      <c r="F599" s="23"/>
      <c r="G599" s="26" t="s">
        <v>23</v>
      </c>
      <c r="H599" s="26" t="s">
        <v>24</v>
      </c>
      <c r="I599" s="31" t="s">
        <v>739</v>
      </c>
      <c r="J599" s="26" t="s">
        <v>740</v>
      </c>
      <c r="K599" s="51">
        <v>44943</v>
      </c>
      <c r="L599" s="26"/>
      <c r="M599" s="26" t="s">
        <v>742</v>
      </c>
      <c r="N599" s="39">
        <v>4</v>
      </c>
      <c r="O599" s="26"/>
      <c r="P599" s="26"/>
      <c r="Q599" s="49"/>
      <c r="R599" s="52">
        <v>2376000</v>
      </c>
      <c r="S599" s="39" t="s">
        <v>743</v>
      </c>
      <c r="T599" s="53">
        <v>0.17</v>
      </c>
      <c r="U599" s="53"/>
      <c r="V599" s="54"/>
      <c r="W599" s="37"/>
      <c r="X599" s="54">
        <f>IF(NOTA[[#This Row],[HARGA/ CTN]]="",NOTA[[#This Row],[JUMLAH_H]],NOTA[[#This Row],[HARGA/ CTN]]*IF(NOTA[[#This Row],[C]]="",0,NOTA[[#This Row],[C]]))</f>
        <v>9504000</v>
      </c>
      <c r="Y599" s="54">
        <f>IF(NOTA[[#This Row],[JUMLAH]]="","",NOTA[[#This Row],[JUMLAH]]*NOTA[[#This Row],[DISC 1]])</f>
        <v>1615680</v>
      </c>
      <c r="Z599" s="54">
        <f>IF(NOTA[[#This Row],[JUMLAH]]="","",(NOTA[[#This Row],[JUMLAH]]-NOTA[[#This Row],[DISC 1-]])*NOTA[[#This Row],[DISC 2]])</f>
        <v>0</v>
      </c>
      <c r="AA599" s="54">
        <f>IF(NOTA[[#This Row],[JUMLAH]]="","",NOTA[[#This Row],[DISC 1-]]+NOTA[[#This Row],[DISC 2-]])</f>
        <v>1615680</v>
      </c>
      <c r="AB599" s="54">
        <f>IF(NOTA[[#This Row],[JUMLAH]]="","",NOTA[[#This Row],[JUMLAH]]-NOTA[[#This Row],[DISC]])</f>
        <v>7888320</v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99" s="54" t="str">
        <f>IF(OR(NOTA[[#This Row],[QTY]]="",NOTA[[#This Row],[HARGA SATUAN]]="",),"",NOTA[[#This Row],[QTY]]*NOTA[[#This Row],[HARGA SATUAN]])</f>
        <v/>
      </c>
      <c r="AG599" s="51">
        <f ca="1">IF(NOTA[ID_H]="","",INDEX(NOTA[TANGGAL],MATCH(,INDIRECT(ADDRESS(ROW(NOTA[TANGGAL]),COLUMN(NOTA[TANGGAL]))&amp;":"&amp;ADDRESS(ROW(),COLUMN(NOTA[TANGGAL]))),-1)))</f>
        <v>44946</v>
      </c>
      <c r="AH599" s="49" t="str">
        <f ca="1">IF(NOTA[[#This Row],[NAMA BARANG]]="","",INDEX(NOTA[SUPPLIER],MATCH(,INDIRECT(ADDRESS(ROW(NOTA[ID]),COLUMN(NOTA[ID]))&amp;":"&amp;ADDRESS(ROW(),COLUMN(NOTA[ID]))),-1)))</f>
        <v>KENKO SINAR INDONESIA</v>
      </c>
      <c r="AI599" s="49" t="str">
        <f ca="1">IF(NOTA[[#This Row],[ID_H]]="","",IF(NOTA[[#This Row],[FAKTUR]]="",INDIRECT(ADDRESS(ROW()-1,COLUMN())),NOTA[[#This Row],[FAKTUR]]))</f>
        <v>ARTO MORO</v>
      </c>
      <c r="AJ599" s="38">
        <f ca="1">IF(NOTA[[#This Row],[ID]]="","",COUNTIF(NOTA[ID_H],NOTA[[#This Row],[ID_H]]))</f>
        <v>2</v>
      </c>
      <c r="AK599" s="38">
        <f>IF(NOTA[[#This Row],[TGL.NOTA]]="",IF(NOTA[[#This Row],[SUPPLIER_H]]="","",AK598),MONTH(NOTA[[#This Row],[TGL.NOTA]]))</f>
        <v>1</v>
      </c>
      <c r="AL5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99" s="38" t="str">
        <f>IF(NOTA[C]="",NOTA[[#This Row],[CONCAT1]]&amp;NOTA[[#This Row],[HARGA SATUAN]],NOTA[[#This Row],[CONCAT1]]&amp;NOTA[[#This Row],[HARGA/ CTN_H]]&amp;NOTA[[#This Row],[DISC 1]]&amp;NOTA[[#This Row],[DISC 2]])</f>
        <v>kenkogluestick8grsmall23760000.17</v>
      </c>
      <c r="AN599" s="184">
        <f>IF(NOTA[[#This Row],[CONCAT1]]="","",MATCH(NOTA[[#This Row],[CONCAT1]],[1]!db[NB NOTA_C],0)+1)</f>
        <v>1190</v>
      </c>
    </row>
    <row r="600" spans="1:40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Row],[CEK_EXP]]&lt;D599,"err","")</f>
        <v/>
      </c>
      <c r="D600" s="50">
        <f>IF(NOTA[[#This Row],[TANGGAL]]="",D599,NOTA[[#This Row],[TANGGAL]])</f>
        <v>44946</v>
      </c>
      <c r="E600" s="50">
        <f ca="1">IF(NOTA[[#This Row],[NAMA BARANG]]="","",INDEX(NOTA[ID],MATCH(,INDIRECT(ADDRESS(ROW(NOTA[ID]),COLUMN(NOTA[ID]))&amp;":"&amp;ADDRESS(ROW(),COLUMN(NOTA[ID]))),-1)))</f>
        <v>111</v>
      </c>
      <c r="F600" s="23"/>
      <c r="G600" s="26"/>
      <c r="H600" s="26"/>
      <c r="I600" s="31"/>
      <c r="J600" s="26"/>
      <c r="K600" s="51"/>
      <c r="L600" s="26"/>
      <c r="M600" s="26" t="s">
        <v>741</v>
      </c>
      <c r="N600" s="39">
        <v>2</v>
      </c>
      <c r="O600" s="26"/>
      <c r="P600" s="26"/>
      <c r="Q600" s="49"/>
      <c r="R600" s="52">
        <v>2592000</v>
      </c>
      <c r="S600" s="39" t="s">
        <v>744</v>
      </c>
      <c r="T600" s="53">
        <v>0.17</v>
      </c>
      <c r="U600" s="53"/>
      <c r="V600" s="54"/>
      <c r="W600" s="37"/>
      <c r="X600" s="54">
        <f>IF(NOTA[[#This Row],[HARGA/ CTN]]="",NOTA[[#This Row],[JUMLAH_H]],NOTA[[#This Row],[HARGA/ CTN]]*IF(NOTA[[#This Row],[C]]="",0,NOTA[[#This Row],[C]]))</f>
        <v>5184000</v>
      </c>
      <c r="Y600" s="54">
        <f>IF(NOTA[[#This Row],[JUMLAH]]="","",NOTA[[#This Row],[JUMLAH]]*NOTA[[#This Row],[DISC 1]])</f>
        <v>881280.00000000012</v>
      </c>
      <c r="Z600" s="54">
        <f>IF(NOTA[[#This Row],[JUMLAH]]="","",(NOTA[[#This Row],[JUMLAH]]-NOTA[[#This Row],[DISC 1-]])*NOTA[[#This Row],[DISC 2]])</f>
        <v>0</v>
      </c>
      <c r="AA600" s="54">
        <f>IF(NOTA[[#This Row],[JUMLAH]]="","",NOTA[[#This Row],[DISC 1-]]+NOTA[[#This Row],[DISC 2-]])</f>
        <v>881280.00000000012</v>
      </c>
      <c r="AB600" s="54">
        <f>IF(NOTA[[#This Row],[JUMLAH]]="","",NOTA[[#This Row],[JUMLAH]]-NOTA[[#This Row],[DISC]])</f>
        <v>4302720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2496960</v>
      </c>
      <c r="AD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12191040</v>
      </c>
      <c r="AE6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600" s="54" t="str">
        <f>IF(OR(NOTA[[#This Row],[QTY]]="",NOTA[[#This Row],[HARGA SATUAN]]="",),"",NOTA[[#This Row],[QTY]]*NOTA[[#This Row],[HARGA SATUAN]])</f>
        <v/>
      </c>
      <c r="AG600" s="51">
        <f ca="1">IF(NOTA[ID_H]="","",INDEX(NOTA[TANGGAL],MATCH(,INDIRECT(ADDRESS(ROW(NOTA[TANGGAL]),COLUMN(NOTA[TANGGAL]))&amp;":"&amp;ADDRESS(ROW(),COLUMN(NOTA[TANGGAL]))),-1)))</f>
        <v>44946</v>
      </c>
      <c r="AH600" s="49" t="str">
        <f ca="1">IF(NOTA[[#This Row],[NAMA BARANG]]="","",INDEX(NOTA[SUPPLIER],MATCH(,INDIRECT(ADDRESS(ROW(NOTA[ID]),COLUMN(NOTA[ID]))&amp;":"&amp;ADDRESS(ROW(),COLUMN(NOTA[ID]))),-1)))</f>
        <v>KENKO SINAR INDONESIA</v>
      </c>
      <c r="AI600" s="49" t="str">
        <f ca="1">IF(NOTA[[#This Row],[ID_H]]="","",IF(NOTA[[#This Row],[FAKTUR]]="",INDIRECT(ADDRESS(ROW()-1,COLUMN())),NOTA[[#This Row],[FAKTUR]]))</f>
        <v>ARTO MORO</v>
      </c>
      <c r="AJ600" s="38" t="str">
        <f ca="1">IF(NOTA[[#This Row],[ID]]="","",COUNTIF(NOTA[ID_H],NOTA[[#This Row],[ID_H]]))</f>
        <v/>
      </c>
      <c r="AK600" s="38">
        <f ca="1">IF(NOTA[[#This Row],[TGL.NOTA]]="",IF(NOTA[[#This Row],[SUPPLIER_H]]="","",AK599),MONTH(NOTA[[#This Row],[TGL.NOTA]]))</f>
        <v>1</v>
      </c>
      <c r="AL600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600" s="38" t="str">
        <f>IF(NOTA[C]="",NOTA[[#This Row],[CONCAT1]]&amp;NOTA[[#This Row],[HARGA SATUAN]],NOTA[[#This Row],[CONCAT1]]&amp;NOTA[[#This Row],[HARGA/ CTN_H]]&amp;NOTA[[#This Row],[DISC 1]]&amp;NOTA[[#This Row],[DISC 2]])</f>
        <v>kenkogluestick15grmedium25920000.17</v>
      </c>
      <c r="AN600" s="184">
        <f>IF(NOTA[[#This Row],[CONCAT1]]="","",MATCH(NOTA[[#This Row],[CONCAT1]],[1]!db[NB NOTA_C],0)+1)</f>
        <v>1188</v>
      </c>
    </row>
    <row r="601" spans="1:40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Row],[CEK_EXP]]&lt;D600,"err","")</f>
        <v/>
      </c>
      <c r="D601" s="50">
        <f>IF(NOTA[[#This Row],[TANGGAL]]="",D600,NOTA[[#This Row],[TANGGAL]])</f>
        <v>44946</v>
      </c>
      <c r="E601" s="50" t="str">
        <f ca="1">IF(NOTA[[#This Row],[NAMA BARANG]]="","",INDEX(NOTA[ID],MATCH(,INDIRECT(ADDRESS(ROW(NOTA[ID]),COLUMN(NOTA[ID]))&amp;":"&amp;ADDRESS(ROW(),COLUMN(NOTA[ID]))),-1)))</f>
        <v/>
      </c>
      <c r="F601" s="23"/>
      <c r="G601" s="26"/>
      <c r="H601" s="26"/>
      <c r="I601" s="31"/>
      <c r="J601" s="26"/>
      <c r="K601" s="51"/>
      <c r="L601" s="26"/>
      <c r="M601" s="26"/>
      <c r="N601" s="39"/>
      <c r="O601" s="26"/>
      <c r="P601" s="26"/>
      <c r="Q601" s="49"/>
      <c r="R601" s="52"/>
      <c r="S601" s="39"/>
      <c r="T601" s="53"/>
      <c r="U601" s="53"/>
      <c r="V601" s="54"/>
      <c r="W601" s="37"/>
      <c r="X601" s="54" t="str">
        <f>IF(NOTA[[#This Row],[HARGA/ CTN]]="",NOTA[[#This Row],[JUMLAH_H]],NOTA[[#This Row],[HARGA/ CTN]]*IF(NOTA[[#This Row],[C]]="",0,NOTA[[#This Row],[C]]))</f>
        <v/>
      </c>
      <c r="Y601" s="54" t="str">
        <f>IF(NOTA[[#This Row],[JUMLAH]]="","",NOTA[[#This Row],[JUMLAH]]*NOTA[[#This Row],[DISC 1]])</f>
        <v/>
      </c>
      <c r="Z601" s="54" t="str">
        <f>IF(NOTA[[#This Row],[JUMLAH]]="","",(NOTA[[#This Row],[JUMLAH]]-NOTA[[#This Row],[DISC 1-]])*NOTA[[#This Row],[DISC 2]])</f>
        <v/>
      </c>
      <c r="AA601" s="54" t="str">
        <f>IF(NOTA[[#This Row],[JUMLAH]]="","",NOTA[[#This Row],[DISC 1-]]+NOTA[[#This Row],[DISC 2-]])</f>
        <v/>
      </c>
      <c r="AB601" s="54" t="str">
        <f>IF(NOTA[[#This Row],[JUMLAH]]="","",NOTA[[#This Row],[JUMLAH]]-NOTA[[#This Row],[DISC]])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54" t="str">
        <f>IF(OR(NOTA[[#This Row],[QTY]]="",NOTA[[#This Row],[HARGA SATUAN]]="",),"",NOTA[[#This Row],[QTY]]*NOTA[[#This Row],[HARGA SATUAN]])</f>
        <v/>
      </c>
      <c r="AG601" s="51" t="str">
        <f ca="1">IF(NOTA[ID_H]="","",INDEX(NOTA[TANGGAL],MATCH(,INDIRECT(ADDRESS(ROW(NOTA[TANGGAL]),COLUMN(NOTA[TANGGAL]))&amp;":"&amp;ADDRESS(ROW(),COLUMN(NOTA[TANGGAL]))),-1)))</f>
        <v/>
      </c>
      <c r="AH601" s="49" t="str">
        <f ca="1">IF(NOTA[[#This Row],[NAMA BARANG]]="","",INDEX(NOTA[SUPPLIER],MATCH(,INDIRECT(ADDRESS(ROW(NOTA[ID]),COLUMN(NOTA[ID]))&amp;":"&amp;ADDRESS(ROW(),COLUMN(NOTA[ID]))),-1)))</f>
        <v/>
      </c>
      <c r="AI601" s="49" t="str">
        <f ca="1">IF(NOTA[[#This Row],[ID_H]]="","",IF(NOTA[[#This Row],[FAKTUR]]="",INDIRECT(ADDRESS(ROW()-1,COLUMN())),NOTA[[#This Row],[FAKTUR]]))</f>
        <v/>
      </c>
      <c r="AJ601" s="38" t="str">
        <f ca="1">IF(NOTA[[#This Row],[ID]]="","",COUNTIF(NOTA[ID_H],NOTA[[#This Row],[ID_H]]))</f>
        <v/>
      </c>
      <c r="AK601" s="38" t="str">
        <f ca="1">IF(NOTA[[#This Row],[TGL.NOTA]]="",IF(NOTA[[#This Row],[SUPPLIER_H]]="","",AK600),MONTH(NOTA[[#This Row],[TGL.NOTA]]))</f>
        <v/>
      </c>
      <c r="AL601" s="38" t="str">
        <f>LOWER(SUBSTITUTE(SUBSTITUTE(SUBSTITUTE(SUBSTITUTE(SUBSTITUTE(SUBSTITUTE(SUBSTITUTE(SUBSTITUTE(SUBSTITUTE(NOTA[NAMA BARANG]," ",),".",""),"-",""),"(",""),")",""),",",""),"/",""),"""",""),"+",""))</f>
        <v/>
      </c>
      <c r="AM601" s="38" t="str">
        <f>IF(NOTA[C]="",NOTA[[#This Row],[CONCAT1]]&amp;NOTA[[#This Row],[HARGA SATUAN]],NOTA[[#This Row],[CONCAT1]]&amp;NOTA[[#This Row],[HARGA/ CTN_H]]&amp;NOTA[[#This Row],[DISC 1]]&amp;NOTA[[#This Row],[DISC 2]])</f>
        <v/>
      </c>
      <c r="AN601" s="184" t="str">
        <f>IF(NOTA[[#This Row],[CONCAT1]]="","",MATCH(NOTA[[#This Row],[CONCAT1]],[1]!db[NB NOTA_C],0)+1)</f>
        <v/>
      </c>
    </row>
    <row r="602" spans="1:40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ETJ_2001_223-2</v>
      </c>
      <c r="C602" s="50" t="str">
        <f>IF(NOTA[[#This Row],[CEK_EXP]]&lt;D601,"err","")</f>
        <v/>
      </c>
      <c r="D602" s="50">
        <f>IF(NOTA[[#This Row],[TANGGAL]]="",D601,NOTA[[#This Row],[TANGGAL]])</f>
        <v>44946</v>
      </c>
      <c r="E602" s="50">
        <f ca="1">IF(NOTA[[#This Row],[NAMA BARANG]]="","",INDEX(NOTA[ID],MATCH(,INDIRECT(ADDRESS(ROW(NOTA[ID]),COLUMN(NOTA[ID]))&amp;":"&amp;ADDRESS(ROW(),COLUMN(NOTA[ID]))),-1)))</f>
        <v>112</v>
      </c>
      <c r="F602" s="23"/>
      <c r="G602" s="26" t="s">
        <v>144</v>
      </c>
      <c r="H602" s="26" t="s">
        <v>87</v>
      </c>
      <c r="I602" s="31" t="s">
        <v>748</v>
      </c>
      <c r="J602" s="26"/>
      <c r="K602" s="51">
        <v>44942</v>
      </c>
      <c r="L602" s="26"/>
      <c r="M602" s="26" t="s">
        <v>749</v>
      </c>
      <c r="N602" s="39">
        <v>1</v>
      </c>
      <c r="O602" s="26">
        <v>600</v>
      </c>
      <c r="P602" s="26" t="s">
        <v>128</v>
      </c>
      <c r="Q602" s="49">
        <v>13000</v>
      </c>
      <c r="R602" s="52"/>
      <c r="S602" s="39" t="s">
        <v>750</v>
      </c>
      <c r="T602" s="53"/>
      <c r="U602" s="53"/>
      <c r="V602" s="54"/>
      <c r="W602" s="37"/>
      <c r="X602" s="54">
        <f>IF(NOTA[[#This Row],[HARGA/ CTN]]="",NOTA[[#This Row],[JUMLAH_H]],NOTA[[#This Row],[HARGA/ CTN]]*IF(NOTA[[#This Row],[C]]="",0,NOTA[[#This Row],[C]]))</f>
        <v>7800000</v>
      </c>
      <c r="Y602" s="54">
        <f>IF(NOTA[[#This Row],[JUMLAH]]="","",NOTA[[#This Row],[JUMLAH]]*NOTA[[#This Row],[DISC 1]])</f>
        <v>0</v>
      </c>
      <c r="Z602" s="54">
        <f>IF(NOTA[[#This Row],[JUMLAH]]="","",(NOTA[[#This Row],[JUMLAH]]-NOTA[[#This Row],[DISC 1-]])*NOTA[[#This Row],[DISC 2]])</f>
        <v>0</v>
      </c>
      <c r="AA602" s="54">
        <f>IF(NOTA[[#This Row],[JUMLAH]]="","",NOTA[[#This Row],[DISC 1-]]+NOTA[[#This Row],[DISC 2-]])</f>
        <v>0</v>
      </c>
      <c r="AB602" s="54">
        <f>IF(NOTA[[#This Row],[JUMLAH]]="","",NOTA[[#This Row],[JUMLAH]]-NOTA[[#This Row],[DISC]])</f>
        <v>7800000</v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49">
        <f>IF(NOTA[[#This Row],[NAMA BARANG]]="","",IF(NOTA[[#This Row],[JUMLAH_H]]="",NOTA[[#This Row],[HARGA/ CTN]],NOTA[[#This Row],[QTY]]*NOTA[[#This Row],[HARGA SATUAN]]/IF(ISNUMBER(NOTA[[#This Row],[C]]),NOTA[[#This Row],[C]],1)))</f>
        <v>7800000</v>
      </c>
      <c r="AF602" s="54">
        <f>IF(OR(NOTA[[#This Row],[QTY]]="",NOTA[[#This Row],[HARGA SATUAN]]="",),"",NOTA[[#This Row],[QTY]]*NOTA[[#This Row],[HARGA SATUAN]])</f>
        <v>7800000</v>
      </c>
      <c r="AG602" s="51">
        <f ca="1">IF(NOTA[ID_H]="","",INDEX(NOTA[TANGGAL],MATCH(,INDIRECT(ADDRESS(ROW(NOTA[TANGGAL]),COLUMN(NOTA[TANGGAL]))&amp;":"&amp;ADDRESS(ROW(),COLUMN(NOTA[TANGGAL]))),-1)))</f>
        <v>44946</v>
      </c>
      <c r="AH602" s="49" t="str">
        <f ca="1">IF(NOTA[[#This Row],[NAMA BARANG]]="","",INDEX(NOTA[SUPPLIER],MATCH(,INDIRECT(ADDRESS(ROW(NOTA[ID]),COLUMN(NOTA[ID]))&amp;":"&amp;ADDRESS(ROW(),COLUMN(NOTA[ID]))),-1)))</f>
        <v>ETJ</v>
      </c>
      <c r="AI602" s="49" t="str">
        <f ca="1">IF(NOTA[[#This Row],[ID_H]]="","",IF(NOTA[[#This Row],[FAKTUR]]="",INDIRECT(ADDRESS(ROW()-1,COLUMN())),NOTA[[#This Row],[FAKTUR]]))</f>
        <v>UNTANA</v>
      </c>
      <c r="AJ602" s="38">
        <f ca="1">IF(NOTA[[#This Row],[ID]]="","",COUNTIF(NOTA[ID_H],NOTA[[#This Row],[ID_H]]))</f>
        <v>2</v>
      </c>
      <c r="AK602" s="38">
        <f>IF(NOTA[[#This Row],[TGL.NOTA]]="",IF(NOTA[[#This Row],[SUPPLIER_H]]="","",AK601),MONTH(NOTA[[#This Row],[TGL.NOTA]]))</f>
        <v>1</v>
      </c>
      <c r="AL602" s="38" t="str">
        <f>LOWER(SUBSTITUTE(SUBSTITUTE(SUBSTITUTE(SUBSTITUTE(SUBSTITUTE(SUBSTITUTE(SUBSTITUTE(SUBSTITUTE(SUBSTITUTE(NOTA[NAMA BARANG]," ",),".",""),"-",""),"(",""),")",""),",",""),"/",""),"""",""),"+",""))</f>
        <v>entercataira129</v>
      </c>
      <c r="AM602" s="38" t="str">
        <f>IF(NOTA[C]="",NOTA[[#This Row],[CONCAT1]]&amp;NOTA[[#This Row],[HARGA SATUAN]],NOTA[[#This Row],[CONCAT1]]&amp;NOTA[[#This Row],[HARGA/ CTN_H]]&amp;NOTA[[#This Row],[DISC 1]]&amp;NOTA[[#This Row],[DISC 2]])</f>
        <v>entercataira1297800000</v>
      </c>
      <c r="AN602" s="184">
        <f>IF(NOTA[[#This Row],[CONCAT1]]="","",MATCH(NOTA[[#This Row],[CONCAT1]],[1]!db[NB NOTA_C],0)+1)</f>
        <v>663</v>
      </c>
    </row>
    <row r="603" spans="1:40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Row],[CEK_EXP]]&lt;D602,"err","")</f>
        <v/>
      </c>
      <c r="D603" s="50">
        <f>IF(NOTA[[#This Row],[TANGGAL]]="",D602,NOTA[[#This Row],[TANGGAL]])</f>
        <v>44946</v>
      </c>
      <c r="E603" s="50">
        <f ca="1">IF(NOTA[[#This Row],[NAMA BARANG]]="","",INDEX(NOTA[ID],MATCH(,INDIRECT(ADDRESS(ROW(NOTA[ID]),COLUMN(NOTA[ID]))&amp;":"&amp;ADDRESS(ROW(),COLUMN(NOTA[ID]))),-1)))</f>
        <v>112</v>
      </c>
      <c r="F603" s="23"/>
      <c r="G603" s="26"/>
      <c r="H603" s="26"/>
      <c r="I603" s="31"/>
      <c r="J603" s="26"/>
      <c r="K603" s="51"/>
      <c r="L603" s="26"/>
      <c r="M603" s="26" t="s">
        <v>751</v>
      </c>
      <c r="N603" s="39">
        <v>10</v>
      </c>
      <c r="O603" s="26">
        <v>1200</v>
      </c>
      <c r="P603" s="26" t="s">
        <v>128</v>
      </c>
      <c r="Q603" s="49">
        <v>14000</v>
      </c>
      <c r="R603" s="52"/>
      <c r="S603" s="39" t="s">
        <v>750</v>
      </c>
      <c r="T603" s="53"/>
      <c r="U603" s="53"/>
      <c r="V603" s="54"/>
      <c r="W603" s="37"/>
      <c r="X603" s="54">
        <f>IF(NOTA[[#This Row],[HARGA/ CTN]]="",NOTA[[#This Row],[JUMLAH_H]],NOTA[[#This Row],[HARGA/ CTN]]*IF(NOTA[[#This Row],[C]]="",0,NOTA[[#This Row],[C]]))</f>
        <v>16800000</v>
      </c>
      <c r="Y603" s="54">
        <f>IF(NOTA[[#This Row],[JUMLAH]]="","",NOTA[[#This Row],[JUMLAH]]*NOTA[[#This Row],[DISC 1]])</f>
        <v>0</v>
      </c>
      <c r="Z603" s="54">
        <f>IF(NOTA[[#This Row],[JUMLAH]]="","",(NOTA[[#This Row],[JUMLAH]]-NOTA[[#This Row],[DISC 1-]])*NOTA[[#This Row],[DISC 2]])</f>
        <v>0</v>
      </c>
      <c r="AA603" s="54">
        <f>IF(NOTA[[#This Row],[JUMLAH]]="","",NOTA[[#This Row],[DISC 1-]]+NOTA[[#This Row],[DISC 2-]])</f>
        <v>0</v>
      </c>
      <c r="AB603" s="54">
        <f>IF(NOTA[[#This Row],[JUMLAH]]="","",NOTA[[#This Row],[JUMLAH]]-NOTA[[#This Row],[DISC]])</f>
        <v>16800000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24600000</v>
      </c>
      <c r="AE603" s="4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603" s="54">
        <f>IF(OR(NOTA[[#This Row],[QTY]]="",NOTA[[#This Row],[HARGA SATUAN]]="",),"",NOTA[[#This Row],[QTY]]*NOTA[[#This Row],[HARGA SATUAN]])</f>
        <v>16800000</v>
      </c>
      <c r="AG603" s="51">
        <f ca="1">IF(NOTA[ID_H]="","",INDEX(NOTA[TANGGAL],MATCH(,INDIRECT(ADDRESS(ROW(NOTA[TANGGAL]),COLUMN(NOTA[TANGGAL]))&amp;":"&amp;ADDRESS(ROW(),COLUMN(NOTA[TANGGAL]))),-1)))</f>
        <v>44946</v>
      </c>
      <c r="AH603" s="49" t="str">
        <f ca="1">IF(NOTA[[#This Row],[NAMA BARANG]]="","",INDEX(NOTA[SUPPLIER],MATCH(,INDIRECT(ADDRESS(ROW(NOTA[ID]),COLUMN(NOTA[ID]))&amp;":"&amp;ADDRESS(ROW(),COLUMN(NOTA[ID]))),-1)))</f>
        <v>ETJ</v>
      </c>
      <c r="AI603" s="49" t="str">
        <f ca="1">IF(NOTA[[#This Row],[ID_H]]="","",IF(NOTA[[#This Row],[FAKTUR]]="",INDIRECT(ADDRESS(ROW()-1,COLUMN())),NOTA[[#This Row],[FAKTUR]]))</f>
        <v>UNTANA</v>
      </c>
      <c r="AJ603" s="38" t="str">
        <f ca="1">IF(NOTA[[#This Row],[ID]]="","",COUNTIF(NOTA[ID_H],NOTA[[#This Row],[ID_H]]))</f>
        <v/>
      </c>
      <c r="AK603" s="38">
        <f ca="1">IF(NOTA[[#This Row],[TGL.NOTA]]="",IF(NOTA[[#This Row],[SUPPLIER_H]]="","",AK602),MONTH(NOTA[[#This Row],[TGL.NOTA]]))</f>
        <v>1</v>
      </c>
      <c r="AL603" s="3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603" s="38" t="str">
        <f>IF(NOTA[C]="",NOTA[[#This Row],[CONCAT1]]&amp;NOTA[[#This Row],[HARGA SATUAN]],NOTA[[#This Row],[CONCAT1]]&amp;NOTA[[#This Row],[HARGA/ CTN_H]]&amp;NOTA[[#This Row],[DISC 1]]&amp;NOTA[[#This Row],[DISC 2]])</f>
        <v>entercatacrylica9121680000</v>
      </c>
      <c r="AN603" s="184">
        <f>IF(NOTA[[#This Row],[CONCAT1]]="","",MATCH(NOTA[[#This Row],[CONCAT1]],[1]!db[NB NOTA_C],0)+1)</f>
        <v>664</v>
      </c>
    </row>
    <row r="604" spans="1:40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Row],[CEK_EXP]]&lt;D603,"err","")</f>
        <v/>
      </c>
      <c r="D604" s="29">
        <f>IF(NOTA[[#This Row],[TANGGAL]]="",D603,NOTA[[#This Row],[TANGGAL]])</f>
        <v>44946</v>
      </c>
      <c r="E604" s="29" t="str">
        <f ca="1">IF(NOTA[[#This Row],[NAMA BARANG]]="","",INDEX(NOTA[ID],MATCH(,INDIRECT(ADDRESS(ROW(NOTA[ID]),COLUMN(NOTA[ID]))&amp;":"&amp;ADDRESS(ROW(),COLUMN(NOTA[ID]))),-1)))</f>
        <v/>
      </c>
      <c r="F604" s="30"/>
      <c r="G604" s="26"/>
      <c r="H604" s="26"/>
      <c r="I604" s="31"/>
      <c r="J604" s="32"/>
      <c r="K604" s="33"/>
      <c r="L604" s="32"/>
      <c r="M604" s="26"/>
      <c r="N604" s="34"/>
      <c r="O604" s="32"/>
      <c r="P604" s="26"/>
      <c r="Q604" s="28"/>
      <c r="R604" s="46"/>
      <c r="S604" s="39"/>
      <c r="T604" s="35"/>
      <c r="U604" s="35"/>
      <c r="V604" s="36"/>
      <c r="W604" s="37"/>
      <c r="X604" s="36" t="str">
        <f>IF(NOTA[[#This Row],[HARGA/ CTN]]="",NOTA[[#This Row],[JUMLAH_H]],NOTA[[#This Row],[HARGA/ CTN]]*IF(NOTA[[#This Row],[C]]="",0,NOTA[[#This Row],[C]]))</f>
        <v/>
      </c>
      <c r="Y604" s="36" t="str">
        <f>IF(NOTA[[#This Row],[JUMLAH]]="","",NOTA[[#This Row],[JUMLAH]]*NOTA[[#This Row],[DISC 1]])</f>
        <v/>
      </c>
      <c r="Z604" s="36" t="str">
        <f>IF(NOTA[[#This Row],[JUMLAH]]="","",(NOTA[[#This Row],[JUMLAH]]-NOTA[[#This Row],[DISC 1-]])*NOTA[[#This Row],[DISC 2]])</f>
        <v/>
      </c>
      <c r="AA604" s="36" t="str">
        <f>IF(NOTA[[#This Row],[JUMLAH]]="","",NOTA[[#This Row],[DISC 1-]]+NOTA[[#This Row],[DISC 2-]])</f>
        <v/>
      </c>
      <c r="AB604" s="36" t="str">
        <f>IF(NOTA[[#This Row],[JUMLAH]]="","",NOTA[[#This Row],[JUMLAH]]-NOTA[[#This Row],[DISC]])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36" t="str">
        <f>IF(OR(NOTA[[#This Row],[QTY]]="",NOTA[[#This Row],[HARGA SATUAN]]="",),"",NOTA[[#This Row],[QTY]]*NOTA[[#This Row],[HARGA SATUAN]])</f>
        <v/>
      </c>
      <c r="AG604" s="33" t="str">
        <f ca="1">IF(NOTA[ID_H]="","",INDEX(NOTA[TANGGAL],MATCH(,INDIRECT(ADDRESS(ROW(NOTA[TANGGAL]),COLUMN(NOTA[TANGGAL]))&amp;":"&amp;ADDRESS(ROW(),COLUMN(NOTA[TANGGAL]))),-1)))</f>
        <v/>
      </c>
      <c r="AH604" s="28" t="str">
        <f ca="1">IF(NOTA[[#This Row],[NAMA BARANG]]="","",INDEX(NOTA[SUPPLIER],MATCH(,INDIRECT(ADDRESS(ROW(NOTA[ID]),COLUMN(NOTA[ID]))&amp;":"&amp;ADDRESS(ROW(),COLUMN(NOTA[ID]))),-1)))</f>
        <v/>
      </c>
      <c r="AI604" s="28" t="str">
        <f ca="1">IF(NOTA[[#This Row],[ID_H]]="","",IF(NOTA[[#This Row],[FAKTUR]]="",INDIRECT(ADDRESS(ROW()-1,COLUMN())),NOTA[[#This Row],[FAKTUR]]))</f>
        <v/>
      </c>
      <c r="AJ604" s="38" t="str">
        <f ca="1">IF(NOTA[[#This Row],[ID]]="","",COUNTIF(NOTA[ID_H],NOTA[[#This Row],[ID_H]]))</f>
        <v/>
      </c>
      <c r="AK604" s="38" t="str">
        <f ca="1">IF(NOTA[[#This Row],[TGL.NOTA]]="",IF(NOTA[[#This Row],[SUPPLIER_H]]="","",AK603),MONTH(NOTA[[#This Row],[TGL.NOTA]]))</f>
        <v/>
      </c>
      <c r="AL604" s="38" t="str">
        <f>LOWER(SUBSTITUTE(SUBSTITUTE(SUBSTITUTE(SUBSTITUTE(SUBSTITUTE(SUBSTITUTE(SUBSTITUTE(SUBSTITUTE(SUBSTITUTE(NOTA[NAMA BARANG]," ",),".",""),"-",""),"(",""),")",""),",",""),"/",""),"""",""),"+",""))</f>
        <v/>
      </c>
      <c r="AM604" s="38" t="str">
        <f>IF(NOTA[C]="",NOTA[[#This Row],[CONCAT1]]&amp;NOTA[[#This Row],[HARGA SATUAN]],NOTA[[#This Row],[CONCAT1]]&amp;NOTA[[#This Row],[HARGA/ CTN_H]]&amp;NOTA[[#This Row],[DISC 1]]&amp;NOTA[[#This Row],[DISC 2]])</f>
        <v/>
      </c>
      <c r="AN604" s="184" t="str">
        <f>IF(NOTA[[#This Row],[CONCAT1]]="","",MATCH(NOTA[[#This Row],[CONCAT1]],[1]!db[NB NOTA_C],0)+1)</f>
        <v/>
      </c>
    </row>
    <row r="605" spans="1:40" ht="20.100000000000001" customHeight="1" x14ac:dyDescent="0.25">
      <c r="A605" s="28">
        <f ca="1">IF(INDIRECT(ADDRESS(ROW()-1,COLUMN(NOTA[[#Headers],[ID]])))="ID",1,IF(NOTA[[#This Row],[FAKTUR]]="","",COUNT(INDIRECT(ADDRESS(ROW(NOTA[ID]),COLUMN(NOTA[ID]))&amp;":"&amp;ADDRESS(ROW()-1,COLUMN(NOTA[ID]))))+1))</f>
        <v>113</v>
      </c>
      <c r="B60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ETJ_2001_323-1</v>
      </c>
      <c r="C605" s="29" t="str">
        <f>IF(NOTA[[#This Row],[CEK_EXP]]&lt;D604,"err","")</f>
        <v/>
      </c>
      <c r="D605" s="29">
        <f>IF(NOTA[[#This Row],[TANGGAL]]="",D604,NOTA[[#This Row],[TANGGAL]])</f>
        <v>44946</v>
      </c>
      <c r="E605" s="29">
        <f ca="1">IF(NOTA[[#This Row],[NAMA BARANG]]="","",INDEX(NOTA[ID],MATCH(,INDIRECT(ADDRESS(ROW(NOTA[ID]),COLUMN(NOTA[ID]))&amp;":"&amp;ADDRESS(ROW(),COLUMN(NOTA[ID]))),-1)))</f>
        <v>113</v>
      </c>
      <c r="F605" s="30"/>
      <c r="G605" s="26" t="s">
        <v>144</v>
      </c>
      <c r="H605" s="26" t="s">
        <v>87</v>
      </c>
      <c r="I605" s="31" t="s">
        <v>752</v>
      </c>
      <c r="J605" s="32"/>
      <c r="K605" s="33">
        <v>44942</v>
      </c>
      <c r="L605" s="32"/>
      <c r="M605" s="26" t="s">
        <v>753</v>
      </c>
      <c r="N605" s="34">
        <v>5</v>
      </c>
      <c r="O605" s="32">
        <v>500</v>
      </c>
      <c r="P605" s="26" t="s">
        <v>104</v>
      </c>
      <c r="Q605" s="28">
        <v>7000</v>
      </c>
      <c r="R605" s="46"/>
      <c r="S605" s="39" t="s">
        <v>754</v>
      </c>
      <c r="T605" s="35"/>
      <c r="U605" s="35"/>
      <c r="V605" s="36"/>
      <c r="W605" s="37"/>
      <c r="X605" s="36">
        <f>IF(NOTA[[#This Row],[HARGA/ CTN]]="",NOTA[[#This Row],[JUMLAH_H]],NOTA[[#This Row],[HARGA/ CTN]]*IF(NOTA[[#This Row],[C]]="",0,NOTA[[#This Row],[C]]))</f>
        <v>3500000</v>
      </c>
      <c r="Y605" s="36">
        <f>IF(NOTA[[#This Row],[JUMLAH]]="","",NOTA[[#This Row],[JUMLAH]]*NOTA[[#This Row],[DISC 1]])</f>
        <v>0</v>
      </c>
      <c r="Z605" s="36">
        <f>IF(NOTA[[#This Row],[JUMLAH]]="","",(NOTA[[#This Row],[JUMLAH]]-NOTA[[#This Row],[DISC 1-]])*NOTA[[#This Row],[DISC 2]])</f>
        <v>0</v>
      </c>
      <c r="AA605" s="36">
        <f>IF(NOTA[[#This Row],[JUMLAH]]="","",NOTA[[#This Row],[DISC 1-]]+NOTA[[#This Row],[DISC 2-]])</f>
        <v>0</v>
      </c>
      <c r="AB605" s="36">
        <f>IF(NOTA[[#This Row],[JUMLAH]]="","",NOTA[[#This Row],[JUMLAH]]-NOTA[[#This Row],[DISC]])</f>
        <v>3500000</v>
      </c>
      <c r="AC6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E605" s="28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605" s="36">
        <f>IF(OR(NOTA[[#This Row],[QTY]]="",NOTA[[#This Row],[HARGA SATUAN]]="",),"",NOTA[[#This Row],[QTY]]*NOTA[[#This Row],[HARGA SATUAN]])</f>
        <v>3500000</v>
      </c>
      <c r="AG605" s="33">
        <f ca="1">IF(NOTA[ID_H]="","",INDEX(NOTA[TANGGAL],MATCH(,INDIRECT(ADDRESS(ROW(NOTA[TANGGAL]),COLUMN(NOTA[TANGGAL]))&amp;":"&amp;ADDRESS(ROW(),COLUMN(NOTA[TANGGAL]))),-1)))</f>
        <v>44946</v>
      </c>
      <c r="AH605" s="28" t="str">
        <f ca="1">IF(NOTA[[#This Row],[NAMA BARANG]]="","",INDEX(NOTA[SUPPLIER],MATCH(,INDIRECT(ADDRESS(ROW(NOTA[ID]),COLUMN(NOTA[ID]))&amp;":"&amp;ADDRESS(ROW(),COLUMN(NOTA[ID]))),-1)))</f>
        <v>ETJ</v>
      </c>
      <c r="AI605" s="28" t="str">
        <f ca="1">IF(NOTA[[#This Row],[ID_H]]="","",IF(NOTA[[#This Row],[FAKTUR]]="",INDIRECT(ADDRESS(ROW()-1,COLUMN())),NOTA[[#This Row],[FAKTUR]]))</f>
        <v>UNTANA</v>
      </c>
      <c r="AJ605" s="38">
        <f ca="1">IF(NOTA[[#This Row],[ID]]="","",COUNTIF(NOTA[ID_H],NOTA[[#This Row],[ID_H]]))</f>
        <v>1</v>
      </c>
      <c r="AK605" s="38">
        <f>IF(NOTA[[#This Row],[TGL.NOTA]]="",IF(NOTA[[#This Row],[SUPPLIER_H]]="","",AK604),MONTH(NOTA[[#This Row],[TGL.NOTA]]))</f>
        <v>1</v>
      </c>
      <c r="AL605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M605" s="38" t="str">
        <f>IF(NOTA[C]="",NOTA[[#This Row],[CONCAT1]]&amp;NOTA[[#This Row],[HARGA SATUAN]],NOTA[[#This Row],[CONCAT1]]&amp;NOTA[[#This Row],[HARGA/ CTN_H]]&amp;NOTA[[#This Row],[DISC 1]]&amp;NOTA[[#This Row],[DISC 2]])</f>
        <v>entergrs1mkayu700000</v>
      </c>
      <c r="AN605" s="184">
        <f>IF(NOTA[[#This Row],[CONCAT1]]="","",MATCH(NOTA[[#This Row],[CONCAT1]],[1]!db[NB NOTA_C],0)+1)</f>
        <v>665</v>
      </c>
    </row>
    <row r="606" spans="1:40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Row],[CEK_EXP]]&lt;D605,"err","")</f>
        <v/>
      </c>
      <c r="D606" s="29">
        <f>IF(NOTA[[#This Row],[TANGGAL]]="",D605,NOTA[[#This Row],[TANGGAL]])</f>
        <v>44946</v>
      </c>
      <c r="E606" s="29" t="str">
        <f ca="1">IF(NOTA[[#This Row],[NAMA BARANG]]="","",INDEX(NOTA[ID],MATCH(,INDIRECT(ADDRESS(ROW(NOTA[ID]),COLUMN(NOTA[ID]))&amp;":"&amp;ADDRESS(ROW(),COLUMN(NOTA[ID]))),-1)))</f>
        <v/>
      </c>
      <c r="F606" s="30"/>
      <c r="G606" s="26"/>
      <c r="H606" s="26"/>
      <c r="I606" s="31"/>
      <c r="J606" s="32"/>
      <c r="K606" s="33"/>
      <c r="L606" s="32"/>
      <c r="M606" s="26"/>
      <c r="N606" s="34"/>
      <c r="O606" s="32"/>
      <c r="P606" s="26"/>
      <c r="Q606" s="28"/>
      <c r="R606" s="46"/>
      <c r="S606" s="39"/>
      <c r="T606" s="35"/>
      <c r="U606" s="35"/>
      <c r="V606" s="36"/>
      <c r="W606" s="37"/>
      <c r="X606" s="36" t="str">
        <f>IF(NOTA[[#This Row],[HARGA/ CTN]]="",NOTA[[#This Row],[JUMLAH_H]],NOTA[[#This Row],[HARGA/ CTN]]*IF(NOTA[[#This Row],[C]]="",0,NOTA[[#This Row],[C]]))</f>
        <v/>
      </c>
      <c r="Y606" s="36" t="str">
        <f>IF(NOTA[[#This Row],[JUMLAH]]="","",NOTA[[#This Row],[JUMLAH]]*NOTA[[#This Row],[DISC 1]])</f>
        <v/>
      </c>
      <c r="Z606" s="36" t="str">
        <f>IF(NOTA[[#This Row],[JUMLAH]]="","",(NOTA[[#This Row],[JUMLAH]]-NOTA[[#This Row],[DISC 1-]])*NOTA[[#This Row],[DISC 2]])</f>
        <v/>
      </c>
      <c r="AA606" s="36" t="str">
        <f>IF(NOTA[[#This Row],[JUMLAH]]="","",NOTA[[#This Row],[DISC 1-]]+NOTA[[#This Row],[DISC 2-]])</f>
        <v/>
      </c>
      <c r="AB606" s="36" t="str">
        <f>IF(NOTA[[#This Row],[JUMLAH]]="","",NOTA[[#This Row],[JUMLAH]]-NOTA[[#This Row],[DISC]])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36" t="str">
        <f>IF(OR(NOTA[[#This Row],[QTY]]="",NOTA[[#This Row],[HARGA SATUAN]]="",),"",NOTA[[#This Row],[QTY]]*NOTA[[#This Row],[HARGA SATUAN]])</f>
        <v/>
      </c>
      <c r="AG606" s="33" t="str">
        <f ca="1">IF(NOTA[ID_H]="","",INDEX(NOTA[TANGGAL],MATCH(,INDIRECT(ADDRESS(ROW(NOTA[TANGGAL]),COLUMN(NOTA[TANGGAL]))&amp;":"&amp;ADDRESS(ROW(),COLUMN(NOTA[TANGGAL]))),-1)))</f>
        <v/>
      </c>
      <c r="AH606" s="28" t="str">
        <f ca="1">IF(NOTA[[#This Row],[NAMA BARANG]]="","",INDEX(NOTA[SUPPLIER],MATCH(,INDIRECT(ADDRESS(ROW(NOTA[ID]),COLUMN(NOTA[ID]))&amp;":"&amp;ADDRESS(ROW(),COLUMN(NOTA[ID]))),-1)))</f>
        <v/>
      </c>
      <c r="AI606" s="28" t="str">
        <f ca="1">IF(NOTA[[#This Row],[ID_H]]="","",IF(NOTA[[#This Row],[FAKTUR]]="",INDIRECT(ADDRESS(ROW()-1,COLUMN())),NOTA[[#This Row],[FAKTUR]]))</f>
        <v/>
      </c>
      <c r="AJ606" s="38" t="str">
        <f ca="1">IF(NOTA[[#This Row],[ID]]="","",COUNTIF(NOTA[ID_H],NOTA[[#This Row],[ID_H]]))</f>
        <v/>
      </c>
      <c r="AK606" s="38" t="str">
        <f ca="1">IF(NOTA[[#This Row],[TGL.NOTA]]="",IF(NOTA[[#This Row],[SUPPLIER_H]]="","",AK605),MONTH(NOTA[[#This Row],[TGL.NOTA]]))</f>
        <v/>
      </c>
      <c r="AL606" s="38" t="str">
        <f>LOWER(SUBSTITUTE(SUBSTITUTE(SUBSTITUTE(SUBSTITUTE(SUBSTITUTE(SUBSTITUTE(SUBSTITUTE(SUBSTITUTE(SUBSTITUTE(NOTA[NAMA BARANG]," ",),".",""),"-",""),"(",""),")",""),",",""),"/",""),"""",""),"+",""))</f>
        <v/>
      </c>
      <c r="AM606" s="38" t="str">
        <f>IF(NOTA[C]="",NOTA[[#This Row],[CONCAT1]]&amp;NOTA[[#This Row],[HARGA SATUAN]],NOTA[[#This Row],[CONCAT1]]&amp;NOTA[[#This Row],[HARGA/ CTN_H]]&amp;NOTA[[#This Row],[DISC 1]]&amp;NOTA[[#This Row],[DISC 2]])</f>
        <v/>
      </c>
      <c r="AN606" s="184" t="str">
        <f>IF(NOTA[[#This Row],[CONCAT1]]="","",MATCH(NOTA[[#This Row],[CONCAT1]],[1]!db[NB NOTA_C],0)+1)</f>
        <v/>
      </c>
    </row>
    <row r="607" spans="1:40" s="48" customFormat="1" ht="20.100000000000001" customHeight="1" x14ac:dyDescent="0.25">
      <c r="A607" s="28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GRA_2001_-2</v>
      </c>
      <c r="C607" s="29" t="str">
        <f>IF(NOTA[[#This Row],[CEK_EXP]]&lt;D606,"err","")</f>
        <v/>
      </c>
      <c r="D607" s="29">
        <f>IF(NOTA[[#This Row],[TANGGAL]]="",D606,NOTA[[#This Row],[TANGGAL]])</f>
        <v>44946</v>
      </c>
      <c r="E607" s="29">
        <f ca="1">IF(NOTA[[#This Row],[NAMA BARANG]]="","",INDEX(NOTA[ID],MATCH(,INDIRECT(ADDRESS(ROW(NOTA[ID]),COLUMN(NOTA[ID]))&amp;":"&amp;ADDRESS(ROW(),COLUMN(NOTA[ID]))),-1)))</f>
        <v>114</v>
      </c>
      <c r="F607" s="30"/>
      <c r="G607" s="26" t="s">
        <v>86</v>
      </c>
      <c r="H607" s="26" t="s">
        <v>87</v>
      </c>
      <c r="I607" s="31"/>
      <c r="J607" s="32"/>
      <c r="K607" s="33">
        <v>44944</v>
      </c>
      <c r="L607" s="32"/>
      <c r="M607" s="26" t="s">
        <v>973</v>
      </c>
      <c r="N607" s="34">
        <v>2</v>
      </c>
      <c r="O607" s="32">
        <v>120</v>
      </c>
      <c r="P607" s="26" t="s">
        <v>90</v>
      </c>
      <c r="Q607" s="28"/>
      <c r="R607" s="46"/>
      <c r="S607" s="39" t="s">
        <v>91</v>
      </c>
      <c r="T607" s="35"/>
      <c r="U607" s="35"/>
      <c r="V607" s="36"/>
      <c r="W607" s="37" t="s">
        <v>88</v>
      </c>
      <c r="X607" s="36" t="str">
        <f>IF(NOTA[[#This Row],[HARGA/ CTN]]="",NOTA[[#This Row],[JUMLAH_H]],NOTA[[#This Row],[HARGA/ CTN]]*IF(NOTA[[#This Row],[C]]="",0,NOTA[[#This Row],[C]]))</f>
        <v/>
      </c>
      <c r="Y607" s="36" t="str">
        <f>IF(NOTA[[#This Row],[JUMLAH]]="","",NOTA[[#This Row],[JUMLAH]]*NOTA[[#This Row],[DISC 1]])</f>
        <v/>
      </c>
      <c r="Z607" s="36" t="str">
        <f>IF(NOTA[[#This Row],[JUMLAH]]="","",(NOTA[[#This Row],[JUMLAH]]-NOTA[[#This Row],[DISC 1-]])*NOTA[[#This Row],[DISC 2]])</f>
        <v/>
      </c>
      <c r="AA607" s="36" t="str">
        <f>IF(NOTA[[#This Row],[JUMLAH]]="","",NOTA[[#This Row],[DISC 1-]]+NOTA[[#This Row],[DISC 2-]])</f>
        <v/>
      </c>
      <c r="AB607" s="36" t="str">
        <f>IF(NOTA[[#This Row],[JUMLAH]]="","",NOTA[[#This Row],[JUMLAH]]-NOTA[[#This Row],[DISC]])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07" s="36" t="str">
        <f>IF(OR(NOTA[[#This Row],[QTY]]="",NOTA[[#This Row],[HARGA SATUAN]]="",),"",NOTA[[#This Row],[QTY]]*NOTA[[#This Row],[HARGA SATUAN]])</f>
        <v/>
      </c>
      <c r="AG607" s="33">
        <f ca="1">IF(NOTA[ID_H]="","",INDEX(NOTA[TANGGAL],MATCH(,INDIRECT(ADDRESS(ROW(NOTA[TANGGAL]),COLUMN(NOTA[TANGGAL]))&amp;":"&amp;ADDRESS(ROW(),COLUMN(NOTA[TANGGAL]))),-1)))</f>
        <v>44946</v>
      </c>
      <c r="AH607" s="28" t="str">
        <f ca="1">IF(NOTA[[#This Row],[NAMA BARANG]]="","",INDEX(NOTA[SUPPLIER],MATCH(,INDIRECT(ADDRESS(ROW(NOTA[ID]),COLUMN(NOTA[ID]))&amp;":"&amp;ADDRESS(ROW(),COLUMN(NOTA[ID]))),-1)))</f>
        <v>GRAFINDO</v>
      </c>
      <c r="AI607" s="28" t="str">
        <f ca="1">IF(NOTA[[#This Row],[ID_H]]="","",IF(NOTA[[#This Row],[FAKTUR]]="",INDIRECT(ADDRESS(ROW()-1,COLUMN())),NOTA[[#This Row],[FAKTUR]]))</f>
        <v>UNTANA</v>
      </c>
      <c r="AJ607" s="38">
        <f ca="1">IF(NOTA[[#This Row],[ID]]="","",COUNTIF(NOTA[ID_H],NOTA[[#This Row],[ID_H]]))</f>
        <v>2</v>
      </c>
      <c r="AK607" s="38">
        <f>IF(NOTA[[#This Row],[TGL.NOTA]]="",IF(NOTA[[#This Row],[SUPPLIER_H]]="","",AK606),MONTH(NOTA[[#This Row],[TGL.NOTA]]))</f>
        <v>1</v>
      </c>
      <c r="AL607" s="38" t="str">
        <f>LOWER(SUBSTITUTE(SUBSTITUTE(SUBSTITUTE(SUBSTITUTE(SUBSTITUTE(SUBSTITUTE(SUBSTITUTE(SUBSTITUTE(SUBSTITUTE(NOTA[NAMA BARANG]," ",),".",""),"-",""),"(",""),")",""),",",""),"/",""),"""",""),"+",""))</f>
        <v>maplclearholdersikaac105merah60lsndus</v>
      </c>
      <c r="AM607" s="38" t="str">
        <f>IF(NOTA[C]="",NOTA[[#This Row],[CONCAT1]]&amp;NOTA[[#This Row],[HARGA SATUAN]],NOTA[[#This Row],[CONCAT1]]&amp;NOTA[[#This Row],[HARGA/ CTN_H]]&amp;NOTA[[#This Row],[DISC 1]]&amp;NOTA[[#This Row],[DISC 2]])</f>
        <v>maplclearholdersikaac105merah60lsndus0</v>
      </c>
      <c r="AN607" s="184">
        <f>IF(NOTA[[#This Row],[CONCAT1]]="","",MATCH(NOTA[[#This Row],[CONCAT1]],[1]!db[NB NOTA_C],0)+1)</f>
        <v>1461</v>
      </c>
    </row>
    <row r="608" spans="1:40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Row],[CEK_EXP]]&lt;D607,"err","")</f>
        <v/>
      </c>
      <c r="D608" s="29">
        <f>IF(NOTA[[#This Row],[TANGGAL]]="",D607,NOTA[[#This Row],[TANGGAL]])</f>
        <v>44946</v>
      </c>
      <c r="E608" s="29">
        <f ca="1">IF(NOTA[[#This Row],[NAMA BARANG]]="","",INDEX(NOTA[ID],MATCH(,INDIRECT(ADDRESS(ROW(NOTA[ID]),COLUMN(NOTA[ID]))&amp;":"&amp;ADDRESS(ROW(),COLUMN(NOTA[ID]))),-1)))</f>
        <v>114</v>
      </c>
      <c r="F608" s="30"/>
      <c r="G608" s="26"/>
      <c r="H608" s="26"/>
      <c r="I608" s="31"/>
      <c r="J608" s="32"/>
      <c r="K608" s="33"/>
      <c r="L608" s="32"/>
      <c r="M608" s="26" t="s">
        <v>974</v>
      </c>
      <c r="N608" s="34">
        <v>5</v>
      </c>
      <c r="O608" s="32">
        <v>300</v>
      </c>
      <c r="P608" s="26" t="s">
        <v>90</v>
      </c>
      <c r="Q608" s="28"/>
      <c r="R608" s="46"/>
      <c r="S608" s="39" t="s">
        <v>91</v>
      </c>
      <c r="T608" s="35"/>
      <c r="U608" s="35"/>
      <c r="V608" s="36"/>
      <c r="W608" s="37" t="s">
        <v>88</v>
      </c>
      <c r="X608" s="36" t="str">
        <f>IF(NOTA[[#This Row],[HARGA/ CTN]]="",NOTA[[#This Row],[JUMLAH_H]],NOTA[[#This Row],[HARGA/ CTN]]*IF(NOTA[[#This Row],[C]]="",0,NOTA[[#This Row],[C]]))</f>
        <v/>
      </c>
      <c r="Y608" s="36" t="str">
        <f>IF(NOTA[[#This Row],[JUMLAH]]="","",NOTA[[#This Row],[JUMLAH]]*NOTA[[#This Row],[DISC 1]])</f>
        <v/>
      </c>
      <c r="Z608" s="36" t="str">
        <f>IF(NOTA[[#This Row],[JUMLAH]]="","",(NOTA[[#This Row],[JUMLAH]]-NOTA[[#This Row],[DISC 1-]])*NOTA[[#This Row],[DISC 2]])</f>
        <v/>
      </c>
      <c r="AA608" s="36" t="str">
        <f>IF(NOTA[[#This Row],[JUMLAH]]="","",NOTA[[#This Row],[DISC 1-]]+NOTA[[#This Row],[DISC 2-]])</f>
        <v/>
      </c>
      <c r="AB608" s="36" t="str">
        <f>IF(NOTA[[#This Row],[JUMLAH]]="","",NOTA[[#This Row],[JUMLAH]]-NOTA[[#This Row],[DISC]])</f>
        <v/>
      </c>
      <c r="AC6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60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08" s="36" t="str">
        <f>IF(OR(NOTA[[#This Row],[QTY]]="",NOTA[[#This Row],[HARGA SATUAN]]="",),"",NOTA[[#This Row],[QTY]]*NOTA[[#This Row],[HARGA SATUAN]])</f>
        <v/>
      </c>
      <c r="AG608" s="33">
        <f ca="1">IF(NOTA[ID_H]="","",INDEX(NOTA[TANGGAL],MATCH(,INDIRECT(ADDRESS(ROW(NOTA[TANGGAL]),COLUMN(NOTA[TANGGAL]))&amp;":"&amp;ADDRESS(ROW(),COLUMN(NOTA[TANGGAL]))),-1)))</f>
        <v>44946</v>
      </c>
      <c r="AH608" s="28" t="str">
        <f ca="1">IF(NOTA[[#This Row],[NAMA BARANG]]="","",INDEX(NOTA[SUPPLIER],MATCH(,INDIRECT(ADDRESS(ROW(NOTA[ID]),COLUMN(NOTA[ID]))&amp;":"&amp;ADDRESS(ROW(),COLUMN(NOTA[ID]))),-1)))</f>
        <v>GRAFINDO</v>
      </c>
      <c r="AI608" s="28" t="str">
        <f ca="1">IF(NOTA[[#This Row],[ID_H]]="","",IF(NOTA[[#This Row],[FAKTUR]]="",INDIRECT(ADDRESS(ROW()-1,COLUMN())),NOTA[[#This Row],[FAKTUR]]))</f>
        <v>UNTANA</v>
      </c>
      <c r="AJ608" s="38" t="str">
        <f ca="1">IF(NOTA[[#This Row],[ID]]="","",COUNTIF(NOTA[ID_H],NOTA[[#This Row],[ID_H]]))</f>
        <v/>
      </c>
      <c r="AK608" s="38">
        <f ca="1">IF(NOTA[[#This Row],[TGL.NOTA]]="",IF(NOTA[[#This Row],[SUPPLIER_H]]="","",AK607),MONTH(NOTA[[#This Row],[TGL.NOTA]]))</f>
        <v>1</v>
      </c>
      <c r="AL608" s="38" t="str">
        <f>LOWER(SUBSTITUTE(SUBSTITUTE(SUBSTITUTE(SUBSTITUTE(SUBSTITUTE(SUBSTITUTE(SUBSTITUTE(SUBSTITUTE(SUBSTITUTE(NOTA[NAMA BARANG]," ",),".",""),"-",""),"(",""),")",""),",",""),"/",""),"""",""),"+",""))</f>
        <v>maplclearholdersikaac105kuning60lsndus</v>
      </c>
      <c r="AM608" s="38" t="str">
        <f>IF(NOTA[C]="",NOTA[[#This Row],[CONCAT1]]&amp;NOTA[[#This Row],[HARGA SATUAN]],NOTA[[#This Row],[CONCAT1]]&amp;NOTA[[#This Row],[HARGA/ CTN_H]]&amp;NOTA[[#This Row],[DISC 1]]&amp;NOTA[[#This Row],[DISC 2]])</f>
        <v>maplclearholdersikaac105kuning60lsndus0</v>
      </c>
      <c r="AN608" s="184">
        <f>IF(NOTA[[#This Row],[CONCAT1]]="","",MATCH(NOTA[[#This Row],[CONCAT1]],[1]!db[NB NOTA_C],0)+1)</f>
        <v>1460</v>
      </c>
    </row>
    <row r="609" spans="1:40" s="48" customFormat="1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Row],[CEK_EXP]]&lt;D608,"err","")</f>
        <v/>
      </c>
      <c r="D609" s="29">
        <f>IF(NOTA[[#This Row],[TANGGAL]]="",D608,NOTA[[#This Row],[TANGGAL]])</f>
        <v>44946</v>
      </c>
      <c r="E609" s="29" t="str">
        <f ca="1">IF(NOTA[[#This Row],[NAMA BARANG]]="","",INDEX(NOTA[ID],MATCH(,INDIRECT(ADDRESS(ROW(NOTA[ID]),COLUMN(NOTA[ID]))&amp;":"&amp;ADDRESS(ROW(),COLUMN(NOTA[ID]))),-1)))</f>
        <v/>
      </c>
      <c r="F609" s="30"/>
      <c r="G609" s="26"/>
      <c r="H609" s="26"/>
      <c r="I609" s="31"/>
      <c r="J609" s="32"/>
      <c r="K609" s="33"/>
      <c r="L609" s="32"/>
      <c r="M609" s="26"/>
      <c r="N609" s="34"/>
      <c r="O609" s="32"/>
      <c r="P609" s="26"/>
      <c r="Q609" s="28"/>
      <c r="R609" s="46"/>
      <c r="S609" s="39"/>
      <c r="T609" s="35"/>
      <c r="U609" s="35"/>
      <c r="V609" s="36"/>
      <c r="W609" s="37"/>
      <c r="X609" s="36" t="str">
        <f>IF(NOTA[[#This Row],[HARGA/ CTN]]="",NOTA[[#This Row],[JUMLAH_H]],NOTA[[#This Row],[HARGA/ CTN]]*IF(NOTA[[#This Row],[C]]="",0,NOTA[[#This Row],[C]]))</f>
        <v/>
      </c>
      <c r="Y609" s="36" t="str">
        <f>IF(NOTA[[#This Row],[JUMLAH]]="","",NOTA[[#This Row],[JUMLAH]]*NOTA[[#This Row],[DISC 1]])</f>
        <v/>
      </c>
      <c r="Z609" s="36" t="str">
        <f>IF(NOTA[[#This Row],[JUMLAH]]="","",(NOTA[[#This Row],[JUMLAH]]-NOTA[[#This Row],[DISC 1-]])*NOTA[[#This Row],[DISC 2]])</f>
        <v/>
      </c>
      <c r="AA609" s="36" t="str">
        <f>IF(NOTA[[#This Row],[JUMLAH]]="","",NOTA[[#This Row],[DISC 1-]]+NOTA[[#This Row],[DISC 2-]])</f>
        <v/>
      </c>
      <c r="AB609" s="36" t="str">
        <f>IF(NOTA[[#This Row],[JUMLAH]]="","",NOTA[[#This Row],[JUMLAH]]-NOTA[[#This Row],[DISC]])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36" t="str">
        <f>IF(OR(NOTA[[#This Row],[QTY]]="",NOTA[[#This Row],[HARGA SATUAN]]="",),"",NOTA[[#This Row],[QTY]]*NOTA[[#This Row],[HARGA SATUAN]])</f>
        <v/>
      </c>
      <c r="AG609" s="33" t="str">
        <f ca="1">IF(NOTA[ID_H]="","",INDEX(NOTA[TANGGAL],MATCH(,INDIRECT(ADDRESS(ROW(NOTA[TANGGAL]),COLUMN(NOTA[TANGGAL]))&amp;":"&amp;ADDRESS(ROW(),COLUMN(NOTA[TANGGAL]))),-1)))</f>
        <v/>
      </c>
      <c r="AH609" s="28" t="str">
        <f ca="1">IF(NOTA[[#This Row],[NAMA BARANG]]="","",INDEX(NOTA[SUPPLIER],MATCH(,INDIRECT(ADDRESS(ROW(NOTA[ID]),COLUMN(NOTA[ID]))&amp;":"&amp;ADDRESS(ROW(),COLUMN(NOTA[ID]))),-1)))</f>
        <v/>
      </c>
      <c r="AI609" s="28" t="str">
        <f ca="1">IF(NOTA[[#This Row],[ID_H]]="","",IF(NOTA[[#This Row],[FAKTUR]]="",INDIRECT(ADDRESS(ROW()-1,COLUMN())),NOTA[[#This Row],[FAKTUR]]))</f>
        <v/>
      </c>
      <c r="AJ609" s="38" t="str">
        <f ca="1">IF(NOTA[[#This Row],[ID]]="","",COUNTIF(NOTA[ID_H],NOTA[[#This Row],[ID_H]]))</f>
        <v/>
      </c>
      <c r="AK609" s="38" t="str">
        <f ca="1">IF(NOTA[[#This Row],[TGL.NOTA]]="",IF(NOTA[[#This Row],[SUPPLIER_H]]="","",AK608),MONTH(NOTA[[#This Row],[TGL.NOTA]]))</f>
        <v/>
      </c>
      <c r="AL609" s="38" t="str">
        <f>LOWER(SUBSTITUTE(SUBSTITUTE(SUBSTITUTE(SUBSTITUTE(SUBSTITUTE(SUBSTITUTE(SUBSTITUTE(SUBSTITUTE(SUBSTITUTE(NOTA[NAMA BARANG]," ",),".",""),"-",""),"(",""),")",""),",",""),"/",""),"""",""),"+",""))</f>
        <v/>
      </c>
      <c r="AM609" s="38" t="str">
        <f>IF(NOTA[C]="",NOTA[[#This Row],[CONCAT1]]&amp;NOTA[[#This Row],[HARGA SATUAN]],NOTA[[#This Row],[CONCAT1]]&amp;NOTA[[#This Row],[HARGA/ CTN_H]]&amp;NOTA[[#This Row],[DISC 1]]&amp;NOTA[[#This Row],[DISC 2]])</f>
        <v/>
      </c>
      <c r="AN609" s="184" t="str">
        <f>IF(NOTA[[#This Row],[CONCAT1]]="","",MATCH(NOTA[[#This Row],[CONCAT1]],[1]!db[NB NOTA_C],0)+1)</f>
        <v/>
      </c>
    </row>
    <row r="610" spans="1:40" ht="20.100000000000001" customHeight="1" x14ac:dyDescent="0.25">
      <c r="A610" s="28">
        <f ca="1">IF(INDIRECT(ADDRESS(ROW()-1,COLUMN(NOTA[[#Headers],[ID]])))="ID",1,IF(NOTA[[#This Row],[FAKTUR]]="","",COUNT(INDIRECT(ADDRESS(ROW(NOTA[ID]),COLUMN(NOTA[ID]))&amp;":"&amp;ADDRESS(ROW()-1,COLUMN(NOTA[ID]))))+1))</f>
        <v>115</v>
      </c>
      <c r="B61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GRA_2001_251-3</v>
      </c>
      <c r="C610" s="29" t="str">
        <f>IF(NOTA[[#This Row],[CEK_EXP]]&lt;D609,"err","")</f>
        <v/>
      </c>
      <c r="D610" s="29">
        <f>IF(NOTA[[#This Row],[TANGGAL]]="",D609,NOTA[[#This Row],[TANGGAL]])</f>
        <v>44946</v>
      </c>
      <c r="E610" s="29">
        <f ca="1">IF(NOTA[[#This Row],[NAMA BARANG]]="","",INDEX(NOTA[ID],MATCH(,INDIRECT(ADDRESS(ROW(NOTA[ID]),COLUMN(NOTA[ID]))&amp;":"&amp;ADDRESS(ROW(),COLUMN(NOTA[ID]))),-1)))</f>
        <v>115</v>
      </c>
      <c r="F610" s="30"/>
      <c r="G610" s="26" t="s">
        <v>86</v>
      </c>
      <c r="H610" s="26" t="s">
        <v>87</v>
      </c>
      <c r="I610" s="31" t="s">
        <v>755</v>
      </c>
      <c r="J610" s="32"/>
      <c r="K610" s="33">
        <v>44946</v>
      </c>
      <c r="L610" s="32"/>
      <c r="M610" s="26" t="s">
        <v>970</v>
      </c>
      <c r="N610" s="34">
        <v>2</v>
      </c>
      <c r="O610" s="32">
        <v>480</v>
      </c>
      <c r="P610" s="26" t="s">
        <v>104</v>
      </c>
      <c r="Q610" s="28">
        <v>5750</v>
      </c>
      <c r="R610" s="46"/>
      <c r="S610" s="39" t="s">
        <v>756</v>
      </c>
      <c r="T610" s="35"/>
      <c r="U610" s="35"/>
      <c r="V610" s="36"/>
      <c r="W610" s="37"/>
      <c r="X610" s="36">
        <f>IF(NOTA[[#This Row],[HARGA/ CTN]]="",NOTA[[#This Row],[JUMLAH_H]],NOTA[[#This Row],[HARGA/ CTN]]*IF(NOTA[[#This Row],[C]]="",0,NOTA[[#This Row],[C]]))</f>
        <v>2760000</v>
      </c>
      <c r="Y610" s="36">
        <f>IF(NOTA[[#This Row],[JUMLAH]]="","",NOTA[[#This Row],[JUMLAH]]*NOTA[[#This Row],[DISC 1]])</f>
        <v>0</v>
      </c>
      <c r="Z610" s="36">
        <f>IF(NOTA[[#This Row],[JUMLAH]]="","",(NOTA[[#This Row],[JUMLAH]]-NOTA[[#This Row],[DISC 1-]])*NOTA[[#This Row],[DISC 2]])</f>
        <v>0</v>
      </c>
      <c r="AA610" s="36">
        <f>IF(NOTA[[#This Row],[JUMLAH]]="","",NOTA[[#This Row],[DISC 1-]]+NOTA[[#This Row],[DISC 2-]])</f>
        <v>0</v>
      </c>
      <c r="AB610" s="36">
        <f>IF(NOTA[[#This Row],[JUMLAH]]="","",NOTA[[#This Row],[JUMLAH]]-NOTA[[#This Row],[DISC]])</f>
        <v>2760000</v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0" s="36">
        <f>IF(OR(NOTA[[#This Row],[QTY]]="",NOTA[[#This Row],[HARGA SATUAN]]="",),"",NOTA[[#This Row],[QTY]]*NOTA[[#This Row],[HARGA SATUAN]])</f>
        <v>2760000</v>
      </c>
      <c r="AG610" s="33">
        <f ca="1">IF(NOTA[ID_H]="","",INDEX(NOTA[TANGGAL],MATCH(,INDIRECT(ADDRESS(ROW(NOTA[TANGGAL]),COLUMN(NOTA[TANGGAL]))&amp;":"&amp;ADDRESS(ROW(),COLUMN(NOTA[TANGGAL]))),-1)))</f>
        <v>44946</v>
      </c>
      <c r="AH610" s="28" t="str">
        <f ca="1">IF(NOTA[[#This Row],[NAMA BARANG]]="","",INDEX(NOTA[SUPPLIER],MATCH(,INDIRECT(ADDRESS(ROW(NOTA[ID]),COLUMN(NOTA[ID]))&amp;":"&amp;ADDRESS(ROW(),COLUMN(NOTA[ID]))),-1)))</f>
        <v>GRAFINDO</v>
      </c>
      <c r="AI610" s="28" t="str">
        <f ca="1">IF(NOTA[[#This Row],[ID_H]]="","",IF(NOTA[[#This Row],[FAKTUR]]="",INDIRECT(ADDRESS(ROW()-1,COLUMN())),NOTA[[#This Row],[FAKTUR]]))</f>
        <v>UNTANA</v>
      </c>
      <c r="AJ610" s="38">
        <f ca="1">IF(NOTA[[#This Row],[ID]]="","",COUNTIF(NOTA[ID_H],NOTA[[#This Row],[ID_H]]))</f>
        <v>3</v>
      </c>
      <c r="AK610" s="38">
        <f>IF(NOTA[[#This Row],[TGL.NOTA]]="",IF(NOTA[[#This Row],[SUPPLIER_H]]="","",AK609),MONTH(NOTA[[#This Row],[TGL.NOTA]]))</f>
        <v>1</v>
      </c>
      <c r="AL610" s="38" t="str">
        <f>LOWER(SUBSTITUTE(SUBSTITUTE(SUBSTITUTE(SUBSTITUTE(SUBSTITUTE(SUBSTITUTE(SUBSTITUTE(SUBSTITUTE(SUBSTITUTE(NOTA[NAMA BARANG]," ",),".",""),"-",""),"(",""),")",""),",",""),"/",""),"""",""),"+",""))</f>
        <v>mapzipperjalabiru240pcs</v>
      </c>
      <c r="AM610" s="38" t="str">
        <f>IF(NOTA[C]="",NOTA[[#This Row],[CONCAT1]]&amp;NOTA[[#This Row],[HARGA SATUAN]],NOTA[[#This Row],[CONCAT1]]&amp;NOTA[[#This Row],[HARGA/ CTN_H]]&amp;NOTA[[#This Row],[DISC 1]]&amp;NOTA[[#This Row],[DISC 2]])</f>
        <v>mapzipperjalabiru240pcs1380000</v>
      </c>
      <c r="AN610" s="184">
        <f>IF(NOTA[[#This Row],[CONCAT1]]="","",MATCH(NOTA[[#This Row],[CONCAT1]],[1]!db[NB NOTA_C],0)+1)</f>
        <v>1471</v>
      </c>
    </row>
    <row r="611" spans="1:40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Row],[CEK_EXP]]&lt;D610,"err","")</f>
        <v/>
      </c>
      <c r="D611" s="29">
        <f>IF(NOTA[[#This Row],[TANGGAL]]="",D610,NOTA[[#This Row],[TANGGAL]])</f>
        <v>44946</v>
      </c>
      <c r="E611" s="29">
        <f ca="1">IF(NOTA[[#This Row],[NAMA BARANG]]="","",INDEX(NOTA[ID],MATCH(,INDIRECT(ADDRESS(ROW(NOTA[ID]),COLUMN(NOTA[ID]))&amp;":"&amp;ADDRESS(ROW(),COLUMN(NOTA[ID]))),-1)))</f>
        <v>115</v>
      </c>
      <c r="F611" s="30"/>
      <c r="G611" s="32"/>
      <c r="H611" s="32"/>
      <c r="I611" s="55"/>
      <c r="J611" s="32"/>
      <c r="K611" s="33"/>
      <c r="L611" s="32"/>
      <c r="M611" s="26" t="s">
        <v>971</v>
      </c>
      <c r="N611" s="34">
        <v>4</v>
      </c>
      <c r="O611" s="26">
        <v>960</v>
      </c>
      <c r="P611" s="26" t="s">
        <v>104</v>
      </c>
      <c r="Q611" s="28">
        <v>5750</v>
      </c>
      <c r="R611" s="46"/>
      <c r="S611" s="39" t="s">
        <v>756</v>
      </c>
      <c r="T611" s="35"/>
      <c r="U611" s="35"/>
      <c r="V611" s="36"/>
      <c r="W611" s="37"/>
      <c r="X611" s="36">
        <f>IF(NOTA[[#This Row],[HARGA/ CTN]]="",NOTA[[#This Row],[JUMLAH_H]],NOTA[[#This Row],[HARGA/ CTN]]*IF(NOTA[[#This Row],[C]]="",0,NOTA[[#This Row],[C]]))</f>
        <v>5520000</v>
      </c>
      <c r="Y611" s="36">
        <f>IF(NOTA[[#This Row],[JUMLAH]]="","",NOTA[[#This Row],[JUMLAH]]*NOTA[[#This Row],[DISC 1]])</f>
        <v>0</v>
      </c>
      <c r="Z611" s="36">
        <f>IF(NOTA[[#This Row],[JUMLAH]]="","",(NOTA[[#This Row],[JUMLAH]]-NOTA[[#This Row],[DISC 1-]])*NOTA[[#This Row],[DISC 2]])</f>
        <v>0</v>
      </c>
      <c r="AA611" s="36">
        <f>IF(NOTA[[#This Row],[JUMLAH]]="","",NOTA[[#This Row],[DISC 1-]]+NOTA[[#This Row],[DISC 2-]])</f>
        <v>0</v>
      </c>
      <c r="AB611" s="36">
        <f>IF(NOTA[[#This Row],[JUMLAH]]="","",NOTA[[#This Row],[JUMLAH]]-NOTA[[#This Row],[DISC]])</f>
        <v>5520000</v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1" s="36">
        <f>IF(OR(NOTA[[#This Row],[QTY]]="",NOTA[[#This Row],[HARGA SATUAN]]="",),"",NOTA[[#This Row],[QTY]]*NOTA[[#This Row],[HARGA SATUAN]])</f>
        <v>5520000</v>
      </c>
      <c r="AG611" s="33">
        <f ca="1">IF(NOTA[ID_H]="","",INDEX(NOTA[TANGGAL],MATCH(,INDIRECT(ADDRESS(ROW(NOTA[TANGGAL]),COLUMN(NOTA[TANGGAL]))&amp;":"&amp;ADDRESS(ROW(),COLUMN(NOTA[TANGGAL]))),-1)))</f>
        <v>44946</v>
      </c>
      <c r="AH611" s="28" t="str">
        <f ca="1">IF(NOTA[[#This Row],[NAMA BARANG]]="","",INDEX(NOTA[SUPPLIER],MATCH(,INDIRECT(ADDRESS(ROW(NOTA[ID]),COLUMN(NOTA[ID]))&amp;":"&amp;ADDRESS(ROW(),COLUMN(NOTA[ID]))),-1)))</f>
        <v>GRAFINDO</v>
      </c>
      <c r="AI611" s="28" t="str">
        <f ca="1">IF(NOTA[[#This Row],[ID_H]]="","",IF(NOTA[[#This Row],[FAKTUR]]="",INDIRECT(ADDRESS(ROW()-1,COLUMN())),NOTA[[#This Row],[FAKTUR]]))</f>
        <v>UNTANA</v>
      </c>
      <c r="AJ611" s="38" t="str">
        <f ca="1">IF(NOTA[[#This Row],[ID]]="","",COUNTIF(NOTA[ID_H],NOTA[[#This Row],[ID_H]]))</f>
        <v/>
      </c>
      <c r="AK611" s="38">
        <f ca="1">IF(NOTA[[#This Row],[TGL.NOTA]]="",IF(NOTA[[#This Row],[SUPPLIER_H]]="","",AK610),MONTH(NOTA[[#This Row],[TGL.NOTA]]))</f>
        <v>1</v>
      </c>
      <c r="AL611" s="38" t="str">
        <f>LOWER(SUBSTITUTE(SUBSTITUTE(SUBSTITUTE(SUBSTITUTE(SUBSTITUTE(SUBSTITUTE(SUBSTITUTE(SUBSTITUTE(SUBSTITUTE(NOTA[NAMA BARANG]," ",),".",""),"-",""),"(",""),")",""),",",""),"/",""),"""",""),"+",""))</f>
        <v>mapzipperjalahijau240pcs</v>
      </c>
      <c r="AM611" s="38" t="str">
        <f>IF(NOTA[C]="",NOTA[[#This Row],[CONCAT1]]&amp;NOTA[[#This Row],[HARGA SATUAN]],NOTA[[#This Row],[CONCAT1]]&amp;NOTA[[#This Row],[HARGA/ CTN_H]]&amp;NOTA[[#This Row],[DISC 1]]&amp;NOTA[[#This Row],[DISC 2]])</f>
        <v>mapzipperjalahijau240pcs1380000</v>
      </c>
      <c r="AN611" s="184">
        <f>IF(NOTA[[#This Row],[CONCAT1]]="","",MATCH(NOTA[[#This Row],[CONCAT1]],[1]!db[NB NOTA_C],0)+1)</f>
        <v>1472</v>
      </c>
    </row>
    <row r="612" spans="1:40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Row],[CEK_EXP]]&lt;D611,"err","")</f>
        <v/>
      </c>
      <c r="D612" s="29">
        <f>IF(NOTA[[#This Row],[TANGGAL]]="",D611,NOTA[[#This Row],[TANGGAL]])</f>
        <v>44946</v>
      </c>
      <c r="E612" s="29">
        <f ca="1">IF(NOTA[[#This Row],[NAMA BARANG]]="","",INDEX(NOTA[ID],MATCH(,INDIRECT(ADDRESS(ROW(NOTA[ID]),COLUMN(NOTA[ID]))&amp;":"&amp;ADDRESS(ROW(),COLUMN(NOTA[ID]))),-1)))</f>
        <v>115</v>
      </c>
      <c r="F612" s="30"/>
      <c r="G612" s="26"/>
      <c r="H612" s="26"/>
      <c r="I612" s="31"/>
      <c r="J612" s="32"/>
      <c r="K612" s="33"/>
      <c r="L612" s="32"/>
      <c r="M612" s="26" t="s">
        <v>972</v>
      </c>
      <c r="N612" s="34">
        <v>1</v>
      </c>
      <c r="O612" s="32">
        <v>240</v>
      </c>
      <c r="P612" s="26" t="s">
        <v>104</v>
      </c>
      <c r="Q612" s="28">
        <v>5750</v>
      </c>
      <c r="R612" s="46"/>
      <c r="S612" s="39" t="s">
        <v>756</v>
      </c>
      <c r="T612" s="35"/>
      <c r="U612" s="35"/>
      <c r="V612" s="36"/>
      <c r="W612" s="37"/>
      <c r="X612" s="36">
        <f>IF(NOTA[[#This Row],[HARGA/ CTN]]="",NOTA[[#This Row],[JUMLAH_H]],NOTA[[#This Row],[HARGA/ CTN]]*IF(NOTA[[#This Row],[C]]="",0,NOTA[[#This Row],[C]]))</f>
        <v>1380000</v>
      </c>
      <c r="Y612" s="36">
        <f>IF(NOTA[[#This Row],[JUMLAH]]="","",NOTA[[#This Row],[JUMLAH]]*NOTA[[#This Row],[DISC 1]])</f>
        <v>0</v>
      </c>
      <c r="Z612" s="36">
        <f>IF(NOTA[[#This Row],[JUMLAH]]="","",(NOTA[[#This Row],[JUMLAH]]-NOTA[[#This Row],[DISC 1-]])*NOTA[[#This Row],[DISC 2]])</f>
        <v>0</v>
      </c>
      <c r="AA612" s="36">
        <f>IF(NOTA[[#This Row],[JUMLAH]]="","",NOTA[[#This Row],[DISC 1-]]+NOTA[[#This Row],[DISC 2-]])</f>
        <v>0</v>
      </c>
      <c r="AB612" s="36">
        <f>IF(NOTA[[#This Row],[JUMLAH]]="","",NOTA[[#This Row],[JUMLAH]]-NOTA[[#This Row],[DISC]])</f>
        <v>1380000</v>
      </c>
      <c r="AC6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9660000</v>
      </c>
      <c r="AE612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2" s="36">
        <f>IF(OR(NOTA[[#This Row],[QTY]]="",NOTA[[#This Row],[HARGA SATUAN]]="",),"",NOTA[[#This Row],[QTY]]*NOTA[[#This Row],[HARGA SATUAN]])</f>
        <v>1380000</v>
      </c>
      <c r="AG612" s="33">
        <f ca="1">IF(NOTA[ID_H]="","",INDEX(NOTA[TANGGAL],MATCH(,INDIRECT(ADDRESS(ROW(NOTA[TANGGAL]),COLUMN(NOTA[TANGGAL]))&amp;":"&amp;ADDRESS(ROW(),COLUMN(NOTA[TANGGAL]))),-1)))</f>
        <v>44946</v>
      </c>
      <c r="AH612" s="28" t="str">
        <f ca="1">IF(NOTA[[#This Row],[NAMA BARANG]]="","",INDEX(NOTA[SUPPLIER],MATCH(,INDIRECT(ADDRESS(ROW(NOTA[ID]),COLUMN(NOTA[ID]))&amp;":"&amp;ADDRESS(ROW(),COLUMN(NOTA[ID]))),-1)))</f>
        <v>GRAFINDO</v>
      </c>
      <c r="AI612" s="28" t="str">
        <f ca="1">IF(NOTA[[#This Row],[ID_H]]="","",IF(NOTA[[#This Row],[FAKTUR]]="",INDIRECT(ADDRESS(ROW()-1,COLUMN())),NOTA[[#This Row],[FAKTUR]]))</f>
        <v>UNTANA</v>
      </c>
      <c r="AJ612" s="38" t="str">
        <f ca="1">IF(NOTA[[#This Row],[ID]]="","",COUNTIF(NOTA[ID_H],NOTA[[#This Row],[ID_H]]))</f>
        <v/>
      </c>
      <c r="AK612" s="38">
        <f ca="1">IF(NOTA[[#This Row],[TGL.NOTA]]="",IF(NOTA[[#This Row],[SUPPLIER_H]]="","",AK611),MONTH(NOTA[[#This Row],[TGL.NOTA]]))</f>
        <v>1</v>
      </c>
      <c r="AL612" s="38" t="str">
        <f>LOWER(SUBSTITUTE(SUBSTITUTE(SUBSTITUTE(SUBSTITUTE(SUBSTITUTE(SUBSTITUTE(SUBSTITUTE(SUBSTITUTE(SUBSTITUTE(NOTA[NAMA BARANG]," ",),".",""),"-",""),"(",""),")",""),",",""),"/",""),"""",""),"+",""))</f>
        <v>mapzipperjalamerah240pcs</v>
      </c>
      <c r="AM612" s="38" t="str">
        <f>IF(NOTA[C]="",NOTA[[#This Row],[CONCAT1]]&amp;NOTA[[#This Row],[HARGA SATUAN]],NOTA[[#This Row],[CONCAT1]]&amp;NOTA[[#This Row],[HARGA/ CTN_H]]&amp;NOTA[[#This Row],[DISC 1]]&amp;NOTA[[#This Row],[DISC 2]])</f>
        <v>mapzipperjalamerah240pcs1380000</v>
      </c>
      <c r="AN612" s="184">
        <f>IF(NOTA[[#This Row],[CONCAT1]]="","",MATCH(NOTA[[#This Row],[CONCAT1]],[1]!db[NB NOTA_C],0)+1)</f>
        <v>1474</v>
      </c>
    </row>
    <row r="613" spans="1:40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Row],[CEK_EXP]]&lt;D612,"err","")</f>
        <v/>
      </c>
      <c r="D613" s="29">
        <f>IF(NOTA[[#This Row],[TANGGAL]]="",D612,NOTA[[#This Row],[TANGGAL]])</f>
        <v>44946</v>
      </c>
      <c r="E613" s="29" t="str">
        <f ca="1">IF(NOTA[[#This Row],[NAMA BARANG]]="","",INDEX(NOTA[ID],MATCH(,INDIRECT(ADDRESS(ROW(NOTA[ID]),COLUMN(NOTA[ID]))&amp;":"&amp;ADDRESS(ROW(),COLUMN(NOTA[ID]))),-1)))</f>
        <v/>
      </c>
      <c r="F613" s="30"/>
      <c r="G613" s="32"/>
      <c r="H613" s="32"/>
      <c r="I613" s="55"/>
      <c r="J613" s="32"/>
      <c r="K613" s="33"/>
      <c r="L613" s="32"/>
      <c r="M613" s="26"/>
      <c r="N613" s="34"/>
      <c r="O613" s="32"/>
      <c r="P613" s="26"/>
      <c r="Q613" s="28"/>
      <c r="R613" s="46"/>
      <c r="S613" s="39"/>
      <c r="T613" s="35"/>
      <c r="U613" s="35"/>
      <c r="V613" s="36"/>
      <c r="W613" s="37"/>
      <c r="X613" s="36" t="str">
        <f>IF(NOTA[[#This Row],[HARGA/ CTN]]="",NOTA[[#This Row],[JUMLAH_H]],NOTA[[#This Row],[HARGA/ CTN]]*IF(NOTA[[#This Row],[C]]="",0,NOTA[[#This Row],[C]]))</f>
        <v/>
      </c>
      <c r="Y613" s="36" t="str">
        <f>IF(NOTA[[#This Row],[JUMLAH]]="","",NOTA[[#This Row],[JUMLAH]]*NOTA[[#This Row],[DISC 1]])</f>
        <v/>
      </c>
      <c r="Z613" s="36" t="str">
        <f>IF(NOTA[[#This Row],[JUMLAH]]="","",(NOTA[[#This Row],[JUMLAH]]-NOTA[[#This Row],[DISC 1-]])*NOTA[[#This Row],[DISC 2]])</f>
        <v/>
      </c>
      <c r="AA613" s="36" t="str">
        <f>IF(NOTA[[#This Row],[JUMLAH]]="","",NOTA[[#This Row],[DISC 1-]]+NOTA[[#This Row],[DISC 2-]])</f>
        <v/>
      </c>
      <c r="AB613" s="36" t="str">
        <f>IF(NOTA[[#This Row],[JUMLAH]]="","",NOTA[[#This Row],[JUMLAH]]-NOTA[[#This Row],[DISC]])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36" t="str">
        <f>IF(OR(NOTA[[#This Row],[QTY]]="",NOTA[[#This Row],[HARGA SATUAN]]="",),"",NOTA[[#This Row],[QTY]]*NOTA[[#This Row],[HARGA SATUAN]])</f>
        <v/>
      </c>
      <c r="AG613" s="33" t="str">
        <f ca="1">IF(NOTA[ID_H]="","",INDEX(NOTA[TANGGAL],MATCH(,INDIRECT(ADDRESS(ROW(NOTA[TANGGAL]),COLUMN(NOTA[TANGGAL]))&amp;":"&amp;ADDRESS(ROW(),COLUMN(NOTA[TANGGAL]))),-1)))</f>
        <v/>
      </c>
      <c r="AH613" s="28" t="str">
        <f ca="1">IF(NOTA[[#This Row],[NAMA BARANG]]="","",INDEX(NOTA[SUPPLIER],MATCH(,INDIRECT(ADDRESS(ROW(NOTA[ID]),COLUMN(NOTA[ID]))&amp;":"&amp;ADDRESS(ROW(),COLUMN(NOTA[ID]))),-1)))</f>
        <v/>
      </c>
      <c r="AI613" s="28" t="str">
        <f ca="1">IF(NOTA[[#This Row],[ID_H]]="","",IF(NOTA[[#This Row],[FAKTUR]]="",INDIRECT(ADDRESS(ROW()-1,COLUMN())),NOTA[[#This Row],[FAKTUR]]))</f>
        <v/>
      </c>
      <c r="AJ613" s="38" t="str">
        <f ca="1">IF(NOTA[[#This Row],[ID]]="","",COUNTIF(NOTA[ID_H],NOTA[[#This Row],[ID_H]]))</f>
        <v/>
      </c>
      <c r="AK613" s="38" t="str">
        <f ca="1">IF(NOTA[[#This Row],[TGL.NOTA]]="",IF(NOTA[[#This Row],[SUPPLIER_H]]="","",AK612),MONTH(NOTA[[#This Row],[TGL.NOTA]]))</f>
        <v/>
      </c>
      <c r="AL613" s="38" t="str">
        <f>LOWER(SUBSTITUTE(SUBSTITUTE(SUBSTITUTE(SUBSTITUTE(SUBSTITUTE(SUBSTITUTE(SUBSTITUTE(SUBSTITUTE(SUBSTITUTE(NOTA[NAMA BARANG]," ",),".",""),"-",""),"(",""),")",""),",",""),"/",""),"""",""),"+",""))</f>
        <v/>
      </c>
      <c r="AM613" s="38" t="str">
        <f>IF(NOTA[C]="",NOTA[[#This Row],[CONCAT1]]&amp;NOTA[[#This Row],[HARGA SATUAN]],NOTA[[#This Row],[CONCAT1]]&amp;NOTA[[#This Row],[HARGA/ CTN_H]]&amp;NOTA[[#This Row],[DISC 1]]&amp;NOTA[[#This Row],[DISC 2]])</f>
        <v/>
      </c>
      <c r="AN613" s="184" t="str">
        <f>IF(NOTA[[#This Row],[CONCAT1]]="","",MATCH(NOTA[[#This Row],[CONCAT1]],[1]!db[NB NOTA_C],0)+1)</f>
        <v/>
      </c>
    </row>
    <row r="614" spans="1:40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1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GLO_2001_B09-1</v>
      </c>
      <c r="C614" s="29" t="str">
        <f>IF(NOTA[[#This Row],[CEK_EXP]]&lt;D613,"err","")</f>
        <v/>
      </c>
      <c r="D614" s="29">
        <f>IF(NOTA[[#This Row],[TANGGAL]]="",D613,NOTA[[#This Row],[TANGGAL]])</f>
        <v>44946</v>
      </c>
      <c r="E614" s="29">
        <f ca="1">IF(NOTA[[#This Row],[NAMA BARANG]]="","",INDEX(NOTA[ID],MATCH(,INDIRECT(ADDRESS(ROW(NOTA[ID]),COLUMN(NOTA[ID]))&amp;":"&amp;ADDRESS(ROW(),COLUMN(NOTA[ID]))),-1)))</f>
        <v>116</v>
      </c>
      <c r="F614" s="30"/>
      <c r="G614" s="26" t="s">
        <v>215</v>
      </c>
      <c r="H614" s="26" t="s">
        <v>87</v>
      </c>
      <c r="I614" s="31" t="s">
        <v>757</v>
      </c>
      <c r="J614" s="32"/>
      <c r="K614" s="33">
        <v>44946</v>
      </c>
      <c r="L614" s="32"/>
      <c r="M614" s="26" t="s">
        <v>758</v>
      </c>
      <c r="N614" s="34"/>
      <c r="O614" s="26">
        <v>100</v>
      </c>
      <c r="P614" s="26" t="s">
        <v>104</v>
      </c>
      <c r="Q614" s="28">
        <v>12800</v>
      </c>
      <c r="R614" s="46"/>
      <c r="S614" s="39"/>
      <c r="T614" s="35"/>
      <c r="U614" s="35"/>
      <c r="V614" s="36">
        <v>64000</v>
      </c>
      <c r="W614" s="37" t="s">
        <v>759</v>
      </c>
      <c r="X614" s="36">
        <f>IF(NOTA[[#This Row],[HARGA/ CTN]]="",NOTA[[#This Row],[JUMLAH_H]],NOTA[[#This Row],[HARGA/ CTN]]*IF(NOTA[[#This Row],[C]]="",0,NOTA[[#This Row],[C]]))</f>
        <v>1280000</v>
      </c>
      <c r="Y614" s="36">
        <f>IF(NOTA[[#This Row],[JUMLAH]]="","",NOTA[[#This Row],[JUMLAH]]*NOTA[[#This Row],[DISC 1]])</f>
        <v>0</v>
      </c>
      <c r="Z614" s="36">
        <f>IF(NOTA[[#This Row],[JUMLAH]]="","",(NOTA[[#This Row],[JUMLAH]]-NOTA[[#This Row],[DISC 1-]])*NOTA[[#This Row],[DISC 2]])</f>
        <v>0</v>
      </c>
      <c r="AA614" s="36">
        <f>IF(NOTA[[#This Row],[JUMLAH]]="","",NOTA[[#This Row],[DISC 1-]]+NOTA[[#This Row],[DISC 2-]])</f>
        <v>0</v>
      </c>
      <c r="AB614" s="36">
        <f>IF(NOTA[[#This Row],[JUMLAH]]="","",NOTA[[#This Row],[JUMLAH]]-NOTA[[#This Row],[DISC]])</f>
        <v>1280000</v>
      </c>
      <c r="AC6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6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614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614" s="36">
        <f>IF(OR(NOTA[[#This Row],[QTY]]="",NOTA[[#This Row],[HARGA SATUAN]]="",),"",NOTA[[#This Row],[QTY]]*NOTA[[#This Row],[HARGA SATUAN]])</f>
        <v>1280000</v>
      </c>
      <c r="AG614" s="33">
        <f ca="1">IF(NOTA[ID_H]="","",INDEX(NOTA[TANGGAL],MATCH(,INDIRECT(ADDRESS(ROW(NOTA[TANGGAL]),COLUMN(NOTA[TANGGAL]))&amp;":"&amp;ADDRESS(ROW(),COLUMN(NOTA[TANGGAL]))),-1)))</f>
        <v>44946</v>
      </c>
      <c r="AH614" s="28" t="str">
        <f ca="1">IF(NOTA[[#This Row],[NAMA BARANG]]="","",INDEX(NOTA[SUPPLIER],MATCH(,INDIRECT(ADDRESS(ROW(NOTA[ID]),COLUMN(NOTA[ID]))&amp;":"&amp;ADDRESS(ROW(),COLUMN(NOTA[ID]))),-1)))</f>
        <v>GLORY</v>
      </c>
      <c r="AI614" s="28" t="str">
        <f ca="1">IF(NOTA[[#This Row],[ID_H]]="","",IF(NOTA[[#This Row],[FAKTUR]]="",INDIRECT(ADDRESS(ROW()-1,COLUMN())),NOTA[[#This Row],[FAKTUR]]))</f>
        <v>UNTANA</v>
      </c>
      <c r="AJ614" s="38">
        <f ca="1">IF(NOTA[[#This Row],[ID]]="","",COUNTIF(NOTA[ID_H],NOTA[[#This Row],[ID_H]]))</f>
        <v>1</v>
      </c>
      <c r="AK614" s="38">
        <f>IF(NOTA[[#This Row],[TGL.NOTA]]="",IF(NOTA[[#This Row],[SUPPLIER_H]]="","",AK613),MONTH(NOTA[[#This Row],[TGL.NOTA]]))</f>
        <v>1</v>
      </c>
      <c r="AL614" s="38" t="str">
        <f>LOWER(SUBSTITUTE(SUBSTITUTE(SUBSTITUTE(SUBSTITUTE(SUBSTITUTE(SUBSTITUTE(SUBSTITUTE(SUBSTITUTE(SUBSTITUTE(NOTA[NAMA BARANG]," ",),".",""),"-",""),"(",""),")",""),",",""),"/",""),"""",""),"+",""))</f>
        <v>agbatik</v>
      </c>
      <c r="AM614" s="38" t="str">
        <f>IF(NOTA[C]="",NOTA[[#This Row],[CONCAT1]]&amp;NOTA[[#This Row],[HARGA SATUAN]],NOTA[[#This Row],[CONCAT1]]&amp;NOTA[[#This Row],[HARGA/ CTN_H]]&amp;NOTA[[#This Row],[DISC 1]]&amp;NOTA[[#This Row],[DISC 2]])</f>
        <v>agbatik12800</v>
      </c>
      <c r="AN614" s="184">
        <f>IF(NOTA[[#This Row],[CONCAT1]]="","",MATCH(NOTA[[#This Row],[CONCAT1]],[1]!db[NB NOTA_C],0)+1)</f>
        <v>37</v>
      </c>
    </row>
    <row r="615" spans="1:40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Row],[CEK_EXP]]&lt;D614,"err","")</f>
        <v/>
      </c>
      <c r="D615" s="29">
        <f>IF(NOTA[[#This Row],[TANGGAL]]="",D614,NOTA[[#This Row],[TANGGAL]])</f>
        <v>44946</v>
      </c>
      <c r="E615" s="29" t="str">
        <f ca="1">IF(NOTA[[#This Row],[NAMA BARANG]]="","",INDEX(NOTA[ID],MATCH(,INDIRECT(ADDRESS(ROW(NOTA[ID]),COLUMN(NOTA[ID]))&amp;":"&amp;ADDRESS(ROW(),COLUMN(NOTA[ID]))),-1)))</f>
        <v/>
      </c>
      <c r="F615" s="30"/>
      <c r="G615" s="26"/>
      <c r="H615" s="26"/>
      <c r="I615" s="31"/>
      <c r="J615" s="32"/>
      <c r="K615" s="51"/>
      <c r="L615" s="32"/>
      <c r="M615" s="26"/>
      <c r="N615" s="34"/>
      <c r="O615" s="32"/>
      <c r="P615" s="26"/>
      <c r="Q615" s="28"/>
      <c r="R615" s="46"/>
      <c r="S615" s="39"/>
      <c r="T615" s="35"/>
      <c r="U615" s="35"/>
      <c r="V615" s="36"/>
      <c r="W615" s="37"/>
      <c r="X615" s="36" t="str">
        <f>IF(NOTA[[#This Row],[HARGA/ CTN]]="",NOTA[[#This Row],[JUMLAH_H]],NOTA[[#This Row],[HARGA/ CTN]]*IF(NOTA[[#This Row],[C]]="",0,NOTA[[#This Row],[C]]))</f>
        <v/>
      </c>
      <c r="Y615" s="36" t="str">
        <f>IF(NOTA[[#This Row],[JUMLAH]]="","",NOTA[[#This Row],[JUMLAH]]*NOTA[[#This Row],[DISC 1]])</f>
        <v/>
      </c>
      <c r="Z615" s="36" t="str">
        <f>IF(NOTA[[#This Row],[JUMLAH]]="","",(NOTA[[#This Row],[JUMLAH]]-NOTA[[#This Row],[DISC 1-]])*NOTA[[#This Row],[DISC 2]])</f>
        <v/>
      </c>
      <c r="AA615" s="36" t="str">
        <f>IF(NOTA[[#This Row],[JUMLAH]]="","",NOTA[[#This Row],[DISC 1-]]+NOTA[[#This Row],[DISC 2-]])</f>
        <v/>
      </c>
      <c r="AB615" s="36" t="str">
        <f>IF(NOTA[[#This Row],[JUMLAH]]="","",NOTA[[#This Row],[JUMLAH]]-NOTA[[#This Row],[DISC]])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36" t="str">
        <f>IF(OR(NOTA[[#This Row],[QTY]]="",NOTA[[#This Row],[HARGA SATUAN]]="",),"",NOTA[[#This Row],[QTY]]*NOTA[[#This Row],[HARGA SATUAN]])</f>
        <v/>
      </c>
      <c r="AG615" s="33" t="str">
        <f ca="1">IF(NOTA[ID_H]="","",INDEX(NOTA[TANGGAL],MATCH(,INDIRECT(ADDRESS(ROW(NOTA[TANGGAL]),COLUMN(NOTA[TANGGAL]))&amp;":"&amp;ADDRESS(ROW(),COLUMN(NOTA[TANGGAL]))),-1)))</f>
        <v/>
      </c>
      <c r="AH615" s="28" t="str">
        <f ca="1">IF(NOTA[[#This Row],[NAMA BARANG]]="","",INDEX(NOTA[SUPPLIER],MATCH(,INDIRECT(ADDRESS(ROW(NOTA[ID]),COLUMN(NOTA[ID]))&amp;":"&amp;ADDRESS(ROW(),COLUMN(NOTA[ID]))),-1)))</f>
        <v/>
      </c>
      <c r="AI615" s="28" t="str">
        <f ca="1">IF(NOTA[[#This Row],[ID_H]]="","",IF(NOTA[[#This Row],[FAKTUR]]="",INDIRECT(ADDRESS(ROW()-1,COLUMN())),NOTA[[#This Row],[FAKTUR]]))</f>
        <v/>
      </c>
      <c r="AJ615" s="38" t="str">
        <f ca="1">IF(NOTA[[#This Row],[ID]]="","",COUNTIF(NOTA[ID_H],NOTA[[#This Row],[ID_H]]))</f>
        <v/>
      </c>
      <c r="AK615" s="38" t="str">
        <f ca="1">IF(NOTA[[#This Row],[TGL.NOTA]]="",IF(NOTA[[#This Row],[SUPPLIER_H]]="","",AK614),MONTH(NOTA[[#This Row],[TGL.NOTA]]))</f>
        <v/>
      </c>
      <c r="AL615" s="38" t="str">
        <f>LOWER(SUBSTITUTE(SUBSTITUTE(SUBSTITUTE(SUBSTITUTE(SUBSTITUTE(SUBSTITUTE(SUBSTITUTE(SUBSTITUTE(SUBSTITUTE(NOTA[NAMA BARANG]," ",),".",""),"-",""),"(",""),")",""),",",""),"/",""),"""",""),"+",""))</f>
        <v/>
      </c>
      <c r="AM615" s="38" t="str">
        <f>IF(NOTA[C]="",NOTA[[#This Row],[CONCAT1]]&amp;NOTA[[#This Row],[HARGA SATUAN]],NOTA[[#This Row],[CONCAT1]]&amp;NOTA[[#This Row],[HARGA/ CTN_H]]&amp;NOTA[[#This Row],[DISC 1]]&amp;NOTA[[#This Row],[DISC 2]])</f>
        <v/>
      </c>
      <c r="AN615" s="184" t="str">
        <f>IF(NOTA[[#This Row],[CONCAT1]]="","",MATCH(NOTA[[#This Row],[CONCAT1]],[1]!db[NB NOTA_C],0)+1)</f>
        <v/>
      </c>
    </row>
    <row r="616" spans="1:40" ht="20.100000000000001" customHeight="1" x14ac:dyDescent="0.25">
      <c r="A616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1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DUT_2001_23H-1</v>
      </c>
      <c r="C616" s="29" t="str">
        <f>IF(NOTA[[#This Row],[CEK_EXP]]&lt;D615,"err","")</f>
        <v/>
      </c>
      <c r="D616" s="29">
        <f>IF(NOTA[[#This Row],[TANGGAL]]="",D615,NOTA[[#This Row],[TANGGAL]])</f>
        <v>44946</v>
      </c>
      <c r="E616" s="29">
        <f ca="1">IF(NOTA[[#This Row],[NAMA BARANG]]="","",INDEX(NOTA[ID],MATCH(,INDIRECT(ADDRESS(ROW(NOTA[ID]),COLUMN(NOTA[ID]))&amp;":"&amp;ADDRESS(ROW(),COLUMN(NOTA[ID]))),-1)))</f>
        <v>117</v>
      </c>
      <c r="F616" s="30"/>
      <c r="G616" s="26" t="s">
        <v>237</v>
      </c>
      <c r="H616" s="26" t="s">
        <v>87</v>
      </c>
      <c r="I616" s="31" t="s">
        <v>760</v>
      </c>
      <c r="J616" s="32"/>
      <c r="K616" s="33">
        <v>44945</v>
      </c>
      <c r="L616" s="32"/>
      <c r="M616" s="26" t="s">
        <v>969</v>
      </c>
      <c r="N616" s="34">
        <v>5</v>
      </c>
      <c r="O616" s="32">
        <v>360</v>
      </c>
      <c r="P616" s="26" t="s">
        <v>128</v>
      </c>
      <c r="Q616" s="28">
        <v>23500</v>
      </c>
      <c r="R616" s="46"/>
      <c r="S616" s="39" t="s">
        <v>643</v>
      </c>
      <c r="T616" s="35"/>
      <c r="U616" s="35"/>
      <c r="V616" s="36"/>
      <c r="W616" s="37"/>
      <c r="X616" s="36">
        <f>IF(NOTA[[#This Row],[HARGA/ CTN]]="",NOTA[[#This Row],[JUMLAH_H]],NOTA[[#This Row],[HARGA/ CTN]]*IF(NOTA[[#This Row],[C]]="",0,NOTA[[#This Row],[C]]))</f>
        <v>8460000</v>
      </c>
      <c r="Y616" s="36">
        <f>IF(NOTA[[#This Row],[JUMLAH]]="","",NOTA[[#This Row],[JUMLAH]]*NOTA[[#This Row],[DISC 1]])</f>
        <v>0</v>
      </c>
      <c r="Z616" s="36">
        <f>IF(NOTA[[#This Row],[JUMLAH]]="","",(NOTA[[#This Row],[JUMLAH]]-NOTA[[#This Row],[DISC 1-]])*NOTA[[#This Row],[DISC 2]])</f>
        <v>0</v>
      </c>
      <c r="AA616" s="36">
        <f>IF(NOTA[[#This Row],[JUMLAH]]="","",NOTA[[#This Row],[DISC 1-]]+NOTA[[#This Row],[DISC 2-]])</f>
        <v>0</v>
      </c>
      <c r="AB616" s="36">
        <f>IF(NOTA[[#This Row],[JUMLAH]]="","",NOTA[[#This Row],[JUMLAH]]-NOTA[[#This Row],[DISC]])</f>
        <v>8460000</v>
      </c>
      <c r="AC6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8460000</v>
      </c>
      <c r="AE616" s="28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616" s="36">
        <f>IF(OR(NOTA[[#This Row],[QTY]]="",NOTA[[#This Row],[HARGA SATUAN]]="",),"",NOTA[[#This Row],[QTY]]*NOTA[[#This Row],[HARGA SATUAN]])</f>
        <v>8460000</v>
      </c>
      <c r="AG616" s="33">
        <f ca="1">IF(NOTA[ID_H]="","",INDEX(NOTA[TANGGAL],MATCH(,INDIRECT(ADDRESS(ROW(NOTA[TANGGAL]),COLUMN(NOTA[TANGGAL]))&amp;":"&amp;ADDRESS(ROW(),COLUMN(NOTA[TANGGAL]))),-1)))</f>
        <v>44946</v>
      </c>
      <c r="AH616" s="28" t="str">
        <f ca="1">IF(NOTA[[#This Row],[NAMA BARANG]]="","",INDEX(NOTA[SUPPLIER],MATCH(,INDIRECT(ADDRESS(ROW(NOTA[ID]),COLUMN(NOTA[ID]))&amp;":"&amp;ADDRESS(ROW(),COLUMN(NOTA[ID]))),-1)))</f>
        <v>DUTA BUANA</v>
      </c>
      <c r="AI616" s="28" t="str">
        <f ca="1">IF(NOTA[[#This Row],[ID_H]]="","",IF(NOTA[[#This Row],[FAKTUR]]="",INDIRECT(ADDRESS(ROW()-1,COLUMN())),NOTA[[#This Row],[FAKTUR]]))</f>
        <v>UNTANA</v>
      </c>
      <c r="AJ616" s="38">
        <f ca="1">IF(NOTA[[#This Row],[ID]]="","",COUNTIF(NOTA[ID_H],NOTA[[#This Row],[ID_H]]))</f>
        <v>1</v>
      </c>
      <c r="AK616" s="38">
        <f>IF(NOTA[[#This Row],[TGL.NOTA]]="",IF(NOTA[[#This Row],[SUPPLIER_H]]="","",AK615),MONTH(NOTA[[#This Row],[TGL.NOTA]]))</f>
        <v>1</v>
      </c>
      <c r="AL616" s="38" t="str">
        <f>LOWER(SUBSTITUTE(SUBSTITUTE(SUBSTITUTE(SUBSTITUTE(SUBSTITUTE(SUBSTITUTE(SUBSTITUTE(SUBSTITUTE(SUBSTITUTE(NOTA[NAMA BARANG]," ",),".",""),"-",""),"(",""),")",""),",",""),"/",""),"""",""),"+",""))</f>
        <v>acryliccolourtfac00318x6ml</v>
      </c>
      <c r="AM616" s="38" t="str">
        <f>IF(NOTA[C]="",NOTA[[#This Row],[CONCAT1]]&amp;NOTA[[#This Row],[HARGA SATUAN]],NOTA[[#This Row],[CONCAT1]]&amp;NOTA[[#This Row],[HARGA/ CTN_H]]&amp;NOTA[[#This Row],[DISC 1]]&amp;NOTA[[#This Row],[DISC 2]])</f>
        <v>acryliccolourtfac00318x6ml1692000</v>
      </c>
      <c r="AN616" s="184">
        <f>IF(NOTA[[#This Row],[CONCAT1]]="","",MATCH(NOTA[[#This Row],[CONCAT1]],[1]!db[NB NOTA_C],0)+1)</f>
        <v>23</v>
      </c>
    </row>
    <row r="617" spans="1:40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Row],[CEK_EXP]]&lt;D616,"err","")</f>
        <v/>
      </c>
      <c r="D617" s="29">
        <f>IF(NOTA[[#This Row],[TANGGAL]]="",D616,NOTA[[#This Row],[TANGGAL]])</f>
        <v>44946</v>
      </c>
      <c r="E617" s="29" t="str">
        <f ca="1">IF(NOTA[[#This Row],[NAMA BARANG]]="","",INDEX(NOTA[ID],MATCH(,INDIRECT(ADDRESS(ROW(NOTA[ID]),COLUMN(NOTA[ID]))&amp;":"&amp;ADDRESS(ROW(),COLUMN(NOTA[ID]))),-1)))</f>
        <v/>
      </c>
      <c r="F617" s="30"/>
      <c r="G617" s="32"/>
      <c r="H617" s="32"/>
      <c r="I617" s="55"/>
      <c r="J617" s="32"/>
      <c r="K617" s="33"/>
      <c r="L617" s="32"/>
      <c r="M617" s="26"/>
      <c r="N617" s="34"/>
      <c r="O617" s="32"/>
      <c r="P617" s="26"/>
      <c r="Q617" s="28"/>
      <c r="R617" s="46"/>
      <c r="S617" s="34"/>
      <c r="T617" s="35"/>
      <c r="U617" s="35"/>
      <c r="V617" s="36"/>
      <c r="W617" s="37"/>
      <c r="X617" s="36" t="str">
        <f>IF(NOTA[[#This Row],[HARGA/ CTN]]="",NOTA[[#This Row],[JUMLAH_H]],NOTA[[#This Row],[HARGA/ CTN]]*IF(NOTA[[#This Row],[C]]="",0,NOTA[[#This Row],[C]]))</f>
        <v/>
      </c>
      <c r="Y617" s="36" t="str">
        <f>IF(NOTA[[#This Row],[JUMLAH]]="","",NOTA[[#This Row],[JUMLAH]]*NOTA[[#This Row],[DISC 1]])</f>
        <v/>
      </c>
      <c r="Z617" s="36" t="str">
        <f>IF(NOTA[[#This Row],[JUMLAH]]="","",(NOTA[[#This Row],[JUMLAH]]-NOTA[[#This Row],[DISC 1-]])*NOTA[[#This Row],[DISC 2]])</f>
        <v/>
      </c>
      <c r="AA617" s="36" t="str">
        <f>IF(NOTA[[#This Row],[JUMLAH]]="","",NOTA[[#This Row],[DISC 1-]]+NOTA[[#This Row],[DISC 2-]])</f>
        <v/>
      </c>
      <c r="AB617" s="36" t="str">
        <f>IF(NOTA[[#This Row],[JUMLAH]]="","",NOTA[[#This Row],[JUMLAH]]-NOTA[[#This Row],[DISC]])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36" t="str">
        <f>IF(OR(NOTA[[#This Row],[QTY]]="",NOTA[[#This Row],[HARGA SATUAN]]="",),"",NOTA[[#This Row],[QTY]]*NOTA[[#This Row],[HARGA SATUAN]])</f>
        <v/>
      </c>
      <c r="AG617" s="33" t="str">
        <f ca="1">IF(NOTA[ID_H]="","",INDEX(NOTA[TANGGAL],MATCH(,INDIRECT(ADDRESS(ROW(NOTA[TANGGAL]),COLUMN(NOTA[TANGGAL]))&amp;":"&amp;ADDRESS(ROW(),COLUMN(NOTA[TANGGAL]))),-1)))</f>
        <v/>
      </c>
      <c r="AH617" s="28" t="str">
        <f ca="1">IF(NOTA[[#This Row],[NAMA BARANG]]="","",INDEX(NOTA[SUPPLIER],MATCH(,INDIRECT(ADDRESS(ROW(NOTA[ID]),COLUMN(NOTA[ID]))&amp;":"&amp;ADDRESS(ROW(),COLUMN(NOTA[ID]))),-1)))</f>
        <v/>
      </c>
      <c r="AI617" s="28" t="str">
        <f ca="1">IF(NOTA[[#This Row],[ID_H]]="","",IF(NOTA[[#This Row],[FAKTUR]]="",INDIRECT(ADDRESS(ROW()-1,COLUMN())),NOTA[[#This Row],[FAKTUR]]))</f>
        <v/>
      </c>
      <c r="AJ617" s="38" t="str">
        <f ca="1">IF(NOTA[[#This Row],[ID]]="","",COUNTIF(NOTA[ID_H],NOTA[[#This Row],[ID_H]]))</f>
        <v/>
      </c>
      <c r="AK617" s="38" t="str">
        <f ca="1">IF(NOTA[[#This Row],[TGL.NOTA]]="",IF(NOTA[[#This Row],[SUPPLIER_H]]="","",AK616),MONTH(NOTA[[#This Row],[TGL.NOTA]]))</f>
        <v/>
      </c>
      <c r="AL617" s="38" t="str">
        <f>LOWER(SUBSTITUTE(SUBSTITUTE(SUBSTITUTE(SUBSTITUTE(SUBSTITUTE(SUBSTITUTE(SUBSTITUTE(SUBSTITUTE(SUBSTITUTE(NOTA[NAMA BARANG]," ",),".",""),"-",""),"(",""),")",""),",",""),"/",""),"""",""),"+",""))</f>
        <v/>
      </c>
      <c r="AM617" s="38" t="str">
        <f>IF(NOTA[C]="",NOTA[[#This Row],[CONCAT1]]&amp;NOTA[[#This Row],[HARGA SATUAN]],NOTA[[#This Row],[CONCAT1]]&amp;NOTA[[#This Row],[HARGA/ CTN_H]]&amp;NOTA[[#This Row],[DISC 1]]&amp;NOTA[[#This Row],[DISC 2]])</f>
        <v/>
      </c>
      <c r="AN617" s="184" t="str">
        <f>IF(NOTA[[#This Row],[CONCAT1]]="","",MATCH(NOTA[[#This Row],[CONCAT1]],[1]!db[NB NOTA_C],0)+1)</f>
        <v/>
      </c>
    </row>
    <row r="618" spans="1:40" ht="20.100000000000001" customHeight="1" x14ac:dyDescent="0.25">
      <c r="A618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WIN_2101_176-3</v>
      </c>
      <c r="C618" s="29" t="str">
        <f>IF(NOTA[[#This Row],[CEK_EXP]]&lt;D617,"err","")</f>
        <v/>
      </c>
      <c r="D618" s="29">
        <f>IF(NOTA[[#This Row],[TANGGAL]]="",D617,NOTA[[#This Row],[TANGGAL]])</f>
        <v>44947</v>
      </c>
      <c r="E618" s="29">
        <f ca="1">IF(NOTA[[#This Row],[NAMA BARANG]]="","",INDEX(NOTA[ID],MATCH(,INDIRECT(ADDRESS(ROW(NOTA[ID]),COLUMN(NOTA[ID]))&amp;":"&amp;ADDRESS(ROW(),COLUMN(NOTA[ID]))),-1)))</f>
        <v>118</v>
      </c>
      <c r="F618" s="30">
        <v>44947</v>
      </c>
      <c r="G618" s="26" t="s">
        <v>761</v>
      </c>
      <c r="H618" s="26" t="s">
        <v>87</v>
      </c>
      <c r="I618" s="31" t="s">
        <v>762</v>
      </c>
      <c r="J618" s="32"/>
      <c r="K618" s="33">
        <v>44943</v>
      </c>
      <c r="L618" s="32"/>
      <c r="M618" s="26" t="s">
        <v>763</v>
      </c>
      <c r="N618" s="34">
        <v>10</v>
      </c>
      <c r="O618" s="32"/>
      <c r="P618" s="26"/>
      <c r="Q618" s="28"/>
      <c r="R618" s="46">
        <v>720000</v>
      </c>
      <c r="S618" s="39"/>
      <c r="T618" s="35"/>
      <c r="U618" s="35"/>
      <c r="V618" s="36"/>
      <c r="W618" s="37"/>
      <c r="X618" s="36">
        <f>IF(NOTA[[#This Row],[HARGA/ CTN]]="",NOTA[[#This Row],[JUMLAH_H]],NOTA[[#This Row],[HARGA/ CTN]]*IF(NOTA[[#This Row],[C]]="",0,NOTA[[#This Row],[C]]))</f>
        <v>7200000</v>
      </c>
      <c r="Y618" s="36">
        <f>IF(NOTA[[#This Row],[JUMLAH]]="","",NOTA[[#This Row],[JUMLAH]]*NOTA[[#This Row],[DISC 1]])</f>
        <v>0</v>
      </c>
      <c r="Z618" s="36">
        <f>IF(NOTA[[#This Row],[JUMLAH]]="","",(NOTA[[#This Row],[JUMLAH]]-NOTA[[#This Row],[DISC 1-]])*NOTA[[#This Row],[DISC 2]])</f>
        <v>0</v>
      </c>
      <c r="AA618" s="36">
        <f>IF(NOTA[[#This Row],[JUMLAH]]="","",NOTA[[#This Row],[DISC 1-]]+NOTA[[#This Row],[DISC 2-]])</f>
        <v>0</v>
      </c>
      <c r="AB618" s="36">
        <f>IF(NOTA[[#This Row],[JUMLAH]]="","",NOTA[[#This Row],[JUMLAH]]-NOTA[[#This Row],[DISC]])</f>
        <v>7200000</v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18" s="36" t="str">
        <f>IF(OR(NOTA[[#This Row],[QTY]]="",NOTA[[#This Row],[HARGA SATUAN]]="",),"",NOTA[[#This Row],[QTY]]*NOTA[[#This Row],[HARGA SATUAN]])</f>
        <v/>
      </c>
      <c r="AG618" s="33">
        <f ca="1">IF(NOTA[ID_H]="","",INDEX(NOTA[TANGGAL],MATCH(,INDIRECT(ADDRESS(ROW(NOTA[TANGGAL]),COLUMN(NOTA[TANGGAL]))&amp;":"&amp;ADDRESS(ROW(),COLUMN(NOTA[TANGGAL]))),-1)))</f>
        <v>44947</v>
      </c>
      <c r="AH618" s="28" t="str">
        <f ca="1">IF(NOTA[[#This Row],[NAMA BARANG]]="","",INDEX(NOTA[SUPPLIER],MATCH(,INDIRECT(ADDRESS(ROW(NOTA[ID]),COLUMN(NOTA[ID]))&amp;":"&amp;ADDRESS(ROW(),COLUMN(NOTA[ID]))),-1)))</f>
        <v>WINS SENTOSA</v>
      </c>
      <c r="AI618" s="28" t="str">
        <f ca="1">IF(NOTA[[#This Row],[ID_H]]="","",IF(NOTA[[#This Row],[FAKTUR]]="",INDIRECT(ADDRESS(ROW()-1,COLUMN())),NOTA[[#This Row],[FAKTUR]]))</f>
        <v>UNTANA</v>
      </c>
      <c r="AJ618" s="38">
        <f ca="1">IF(NOTA[[#This Row],[ID]]="","",COUNTIF(NOTA[ID_H],NOTA[[#This Row],[ID_H]]))</f>
        <v>3</v>
      </c>
      <c r="AK618" s="38">
        <f>IF(NOTA[[#This Row],[TGL.NOTA]]="",IF(NOTA[[#This Row],[SUPPLIER_H]]="","",AK617),MONTH(NOTA[[#This Row],[TGL.NOTA]]))</f>
        <v>1</v>
      </c>
      <c r="AL618" s="3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18" s="38" t="str">
        <f>IF(NOTA[C]="",NOTA[[#This Row],[CONCAT1]]&amp;NOTA[[#This Row],[HARGA SATUAN]],NOTA[[#This Row],[CONCAT1]]&amp;NOTA[[#This Row],[HARGA/ CTN_H]]&amp;NOTA[[#This Row],[DISC 1]]&amp;NOTA[[#This Row],[DISC 2]])</f>
        <v>pitajpnpolosmixb720000</v>
      </c>
      <c r="AN618" s="184">
        <f>IF(NOTA[[#This Row],[CONCAT1]]="","",MATCH(NOTA[[#This Row],[CONCAT1]],[1]!db[NB NOTA_C],0)+1)</f>
        <v>1872</v>
      </c>
    </row>
    <row r="619" spans="1:40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Row],[CEK_EXP]]&lt;D618,"err","")</f>
        <v/>
      </c>
      <c r="D619" s="29">
        <f>IF(NOTA[[#This Row],[TANGGAL]]="",D618,NOTA[[#This Row],[TANGGAL]])</f>
        <v>44947</v>
      </c>
      <c r="E619" s="29">
        <f ca="1">IF(NOTA[[#This Row],[NAMA BARANG]]="","",INDEX(NOTA[ID],MATCH(,INDIRECT(ADDRESS(ROW(NOTA[ID]),COLUMN(NOTA[ID]))&amp;":"&amp;ADDRESS(ROW(),COLUMN(NOTA[ID]))),-1)))</f>
        <v>118</v>
      </c>
      <c r="F619" s="30"/>
      <c r="G619" s="32"/>
      <c r="H619" s="32"/>
      <c r="I619" s="55"/>
      <c r="J619" s="32"/>
      <c r="K619" s="33"/>
      <c r="L619" s="32"/>
      <c r="M619" s="26" t="s">
        <v>764</v>
      </c>
      <c r="N619" s="34">
        <v>10</v>
      </c>
      <c r="O619" s="26"/>
      <c r="P619" s="26"/>
      <c r="Q619" s="28"/>
      <c r="R619" s="46">
        <v>720000</v>
      </c>
      <c r="S619" s="39"/>
      <c r="T619" s="35"/>
      <c r="U619" s="35"/>
      <c r="V619" s="36"/>
      <c r="W619" s="37"/>
      <c r="X619" s="36">
        <f>IF(NOTA[[#This Row],[HARGA/ CTN]]="",NOTA[[#This Row],[JUMLAH_H]],NOTA[[#This Row],[HARGA/ CTN]]*IF(NOTA[[#This Row],[C]]="",0,NOTA[[#This Row],[C]]))</f>
        <v>7200000</v>
      </c>
      <c r="Y619" s="36">
        <f>IF(NOTA[[#This Row],[JUMLAH]]="","",NOTA[[#This Row],[JUMLAH]]*NOTA[[#This Row],[DISC 1]])</f>
        <v>0</v>
      </c>
      <c r="Z619" s="36">
        <f>IF(NOTA[[#This Row],[JUMLAH]]="","",(NOTA[[#This Row],[JUMLAH]]-NOTA[[#This Row],[DISC 1-]])*NOTA[[#This Row],[DISC 2]])</f>
        <v>0</v>
      </c>
      <c r="AA619" s="36">
        <f>IF(NOTA[[#This Row],[JUMLAH]]="","",NOTA[[#This Row],[DISC 1-]]+NOTA[[#This Row],[DISC 2-]])</f>
        <v>0</v>
      </c>
      <c r="AB619" s="36">
        <f>IF(NOTA[[#This Row],[JUMLAH]]="","",NOTA[[#This Row],[JUMLAH]]-NOTA[[#This Row],[DISC]])</f>
        <v>7200000</v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19" s="36" t="str">
        <f>IF(OR(NOTA[[#This Row],[QTY]]="",NOTA[[#This Row],[HARGA SATUAN]]="",),"",NOTA[[#This Row],[QTY]]*NOTA[[#This Row],[HARGA SATUAN]])</f>
        <v/>
      </c>
      <c r="AG619" s="33">
        <f ca="1">IF(NOTA[ID_H]="","",INDEX(NOTA[TANGGAL],MATCH(,INDIRECT(ADDRESS(ROW(NOTA[TANGGAL]),COLUMN(NOTA[TANGGAL]))&amp;":"&amp;ADDRESS(ROW(),COLUMN(NOTA[TANGGAL]))),-1)))</f>
        <v>44947</v>
      </c>
      <c r="AH619" s="28" t="str">
        <f ca="1">IF(NOTA[[#This Row],[NAMA BARANG]]="","",INDEX(NOTA[SUPPLIER],MATCH(,INDIRECT(ADDRESS(ROW(NOTA[ID]),COLUMN(NOTA[ID]))&amp;":"&amp;ADDRESS(ROW(),COLUMN(NOTA[ID]))),-1)))</f>
        <v>WINS SENTOSA</v>
      </c>
      <c r="AI619" s="28" t="str">
        <f ca="1">IF(NOTA[[#This Row],[ID_H]]="","",IF(NOTA[[#This Row],[FAKTUR]]="",INDIRECT(ADDRESS(ROW()-1,COLUMN())),NOTA[[#This Row],[FAKTUR]]))</f>
        <v>UNTANA</v>
      </c>
      <c r="AJ619" s="38" t="str">
        <f ca="1">IF(NOTA[[#This Row],[ID]]="","",COUNTIF(NOTA[ID_H],NOTA[[#This Row],[ID_H]]))</f>
        <v/>
      </c>
      <c r="AK619" s="38">
        <f ca="1">IF(NOTA[[#This Row],[TGL.NOTA]]="",IF(NOTA[[#This Row],[SUPPLIER_H]]="","",AK618),MONTH(NOTA[[#This Row],[TGL.NOTA]]))</f>
        <v>1</v>
      </c>
      <c r="AL619" s="3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19" s="38" t="str">
        <f>IF(NOTA[C]="",NOTA[[#This Row],[CONCAT1]]&amp;NOTA[[#This Row],[HARGA SATUAN]],NOTA[[#This Row],[CONCAT1]]&amp;NOTA[[#This Row],[HARGA/ CTN_H]]&amp;NOTA[[#This Row],[DISC 1]]&amp;NOTA[[#This Row],[DISC 2]])</f>
        <v>pitajpnmotifpolosmixb720000</v>
      </c>
      <c r="AN619" s="184">
        <f>IF(NOTA[[#This Row],[CONCAT1]]="","",MATCH(NOTA[[#This Row],[CONCAT1]],[1]!db[NB NOTA_C],0)+1)</f>
        <v>1873</v>
      </c>
    </row>
    <row r="620" spans="1:40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Row],[CEK_EXP]]&lt;D619,"err","")</f>
        <v/>
      </c>
      <c r="D620" s="29">
        <f>IF(NOTA[[#This Row],[TANGGAL]]="",D619,NOTA[[#This Row],[TANGGAL]])</f>
        <v>44947</v>
      </c>
      <c r="E620" s="29">
        <f ca="1">IF(NOTA[[#This Row],[NAMA BARANG]]="","",INDEX(NOTA[ID],MATCH(,INDIRECT(ADDRESS(ROW(NOTA[ID]),COLUMN(NOTA[ID]))&amp;":"&amp;ADDRESS(ROW(),COLUMN(NOTA[ID]))),-1)))</f>
        <v>118</v>
      </c>
      <c r="F620" s="169"/>
      <c r="G620" s="170"/>
      <c r="H620" s="170"/>
      <c r="I620" s="171"/>
      <c r="J620" s="170"/>
      <c r="K620" s="172"/>
      <c r="L620" s="170"/>
      <c r="M620" s="26" t="s">
        <v>968</v>
      </c>
      <c r="N620" s="173">
        <v>10</v>
      </c>
      <c r="O620" s="168"/>
      <c r="P620" s="170"/>
      <c r="Q620" s="167"/>
      <c r="R620" s="174">
        <v>720000</v>
      </c>
      <c r="S620" s="173"/>
      <c r="T620" s="175"/>
      <c r="U620" s="175"/>
      <c r="V620" s="176"/>
      <c r="W620" s="177"/>
      <c r="X620" s="36">
        <f>IF(NOTA[[#This Row],[HARGA/ CTN]]="",NOTA[[#This Row],[JUMLAH_H]],NOTA[[#This Row],[HARGA/ CTN]]*IF(NOTA[[#This Row],[C]]="",0,NOTA[[#This Row],[C]]))</f>
        <v>7200000</v>
      </c>
      <c r="Y620" s="36">
        <f>IF(NOTA[[#This Row],[JUMLAH]]="","",NOTA[[#This Row],[JUMLAH]]*NOTA[[#This Row],[DISC 1]])</f>
        <v>0</v>
      </c>
      <c r="Z620" s="36">
        <f>IF(NOTA[[#This Row],[JUMLAH]]="","",(NOTA[[#This Row],[JUMLAH]]-NOTA[[#This Row],[DISC 1-]])*NOTA[[#This Row],[DISC 2]])</f>
        <v>0</v>
      </c>
      <c r="AA620" s="36">
        <f>IF(NOTA[[#This Row],[JUMLAH]]="","",NOTA[[#This Row],[DISC 1-]]+NOTA[[#This Row],[DISC 2-]])</f>
        <v>0</v>
      </c>
      <c r="AB620" s="36">
        <f>IF(NOTA[[#This Row],[JUMLAH]]="","",NOTA[[#This Row],[JUMLAH]]-NOTA[[#This Row],[DISC]])</f>
        <v>7200000</v>
      </c>
      <c r="AC6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E62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20" s="36" t="str">
        <f>IF(OR(NOTA[[#This Row],[QTY]]="",NOTA[[#This Row],[HARGA SATUAN]]="",),"",NOTA[[#This Row],[QTY]]*NOTA[[#This Row],[HARGA SATUAN]])</f>
        <v/>
      </c>
      <c r="AG620" s="33">
        <f ca="1">IF(NOTA[ID_H]="","",INDEX(NOTA[TANGGAL],MATCH(,INDIRECT(ADDRESS(ROW(NOTA[TANGGAL]),COLUMN(NOTA[TANGGAL]))&amp;":"&amp;ADDRESS(ROW(),COLUMN(NOTA[TANGGAL]))),-1)))</f>
        <v>44947</v>
      </c>
      <c r="AH620" s="28" t="str">
        <f ca="1">IF(NOTA[[#This Row],[NAMA BARANG]]="","",INDEX(NOTA[SUPPLIER],MATCH(,INDIRECT(ADDRESS(ROW(NOTA[ID]),COLUMN(NOTA[ID]))&amp;":"&amp;ADDRESS(ROW(),COLUMN(NOTA[ID]))),-1)))</f>
        <v>WINS SENTOSA</v>
      </c>
      <c r="AI620" s="28" t="str">
        <f ca="1">IF(NOTA[[#This Row],[ID_H]]="","",IF(NOTA[[#This Row],[FAKTUR]]="",INDIRECT(ADDRESS(ROW()-1,COLUMN())),NOTA[[#This Row],[FAKTUR]]))</f>
        <v>UNTANA</v>
      </c>
      <c r="AJ620" s="38" t="str">
        <f ca="1">IF(NOTA[[#This Row],[ID]]="","",COUNTIF(NOTA[ID_H],NOTA[[#This Row],[ID_H]]))</f>
        <v/>
      </c>
      <c r="AK620" s="38">
        <f ca="1">IF(NOTA[[#This Row],[TGL.NOTA]]="",IF(NOTA[[#This Row],[SUPPLIER_H]]="","",AK619),MONTH(NOTA[[#This Row],[TGL.NOTA]]))</f>
        <v>1</v>
      </c>
      <c r="AL620" s="38" t="str">
        <f>LOWER(SUBSTITUTE(SUBSTITUTE(SUBSTITUTE(SUBSTITUTE(SUBSTITUTE(SUBSTITUTE(SUBSTITUTE(SUBSTITUTE(SUBSTITUTE(NOTA[NAMA BARANG]," ",),".",""),"-",""),"(",""),")",""),",",""),"/",""),"""",""),"+",""))</f>
        <v>pitajpnlistgoldmixb040</v>
      </c>
      <c r="AM620" s="38" t="str">
        <f>IF(NOTA[C]="",NOTA[[#This Row],[CONCAT1]]&amp;NOTA[[#This Row],[HARGA SATUAN]],NOTA[[#This Row],[CONCAT1]]&amp;NOTA[[#This Row],[HARGA/ CTN_H]]&amp;NOTA[[#This Row],[DISC 1]]&amp;NOTA[[#This Row],[DISC 2]])</f>
        <v>pitajpnlistgoldmixb040720000</v>
      </c>
      <c r="AN620" s="184">
        <f>IF(NOTA[[#This Row],[CONCAT1]]="","",MATCH(NOTA[[#This Row],[CONCAT1]],[1]!db[NB NOTA_C],0)+1)</f>
        <v>1874</v>
      </c>
    </row>
    <row r="621" spans="1:40" s="48" customFormat="1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Row],[CEK_EXP]]&lt;D620,"err","")</f>
        <v/>
      </c>
      <c r="D621" s="29">
        <f>IF(NOTA[[#This Row],[TANGGAL]]="",D620,NOTA[[#This Row],[TANGGAL]])</f>
        <v>44947</v>
      </c>
      <c r="E621" s="29" t="str">
        <f ca="1">IF(NOTA[[#This Row],[NAMA BARANG]]="","",INDEX(NOTA[ID],MATCH(,INDIRECT(ADDRESS(ROW(NOTA[ID]),COLUMN(NOTA[ID]))&amp;":"&amp;ADDRESS(ROW(),COLUMN(NOTA[ID]))),-1)))</f>
        <v/>
      </c>
      <c r="F621" s="30"/>
      <c r="G621" s="26"/>
      <c r="H621" s="26"/>
      <c r="I621" s="31"/>
      <c r="J621" s="32"/>
      <c r="K621" s="33"/>
      <c r="L621" s="32"/>
      <c r="M621" s="26"/>
      <c r="N621" s="34"/>
      <c r="O621" s="26"/>
      <c r="P621" s="26"/>
      <c r="Q621" s="28"/>
      <c r="R621" s="46"/>
      <c r="S621" s="34"/>
      <c r="T621" s="35"/>
      <c r="U621" s="35"/>
      <c r="V621" s="36"/>
      <c r="W621" s="37"/>
      <c r="X621" s="36" t="str">
        <f>IF(NOTA[[#This Row],[HARGA/ CTN]]="",NOTA[[#This Row],[JUMLAH_H]],NOTA[[#This Row],[HARGA/ CTN]]*IF(NOTA[[#This Row],[C]]="",0,NOTA[[#This Row],[C]]))</f>
        <v/>
      </c>
      <c r="Y621" s="36" t="str">
        <f>IF(NOTA[[#This Row],[JUMLAH]]="","",NOTA[[#This Row],[JUMLAH]]*NOTA[[#This Row],[DISC 1]])</f>
        <v/>
      </c>
      <c r="Z621" s="36" t="str">
        <f>IF(NOTA[[#This Row],[JUMLAH]]="","",(NOTA[[#This Row],[JUMLAH]]-NOTA[[#This Row],[DISC 1-]])*NOTA[[#This Row],[DISC 2]])</f>
        <v/>
      </c>
      <c r="AA621" s="36" t="str">
        <f>IF(NOTA[[#This Row],[JUMLAH]]="","",NOTA[[#This Row],[DISC 1-]]+NOTA[[#This Row],[DISC 2-]])</f>
        <v/>
      </c>
      <c r="AB621" s="36" t="str">
        <f>IF(NOTA[[#This Row],[JUMLAH]]="","",NOTA[[#This Row],[JUMLAH]]-NOTA[[#This Row],[DISC]])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36" t="str">
        <f>IF(OR(NOTA[[#This Row],[QTY]]="",NOTA[[#This Row],[HARGA SATUAN]]="",),"",NOTA[[#This Row],[QTY]]*NOTA[[#This Row],[HARGA SATUAN]])</f>
        <v/>
      </c>
      <c r="AG621" s="33" t="str">
        <f ca="1">IF(NOTA[ID_H]="","",INDEX(NOTA[TANGGAL],MATCH(,INDIRECT(ADDRESS(ROW(NOTA[TANGGAL]),COLUMN(NOTA[TANGGAL]))&amp;":"&amp;ADDRESS(ROW(),COLUMN(NOTA[TANGGAL]))),-1)))</f>
        <v/>
      </c>
      <c r="AH621" s="28" t="str">
        <f ca="1">IF(NOTA[[#This Row],[NAMA BARANG]]="","",INDEX(NOTA[SUPPLIER],MATCH(,INDIRECT(ADDRESS(ROW(NOTA[ID]),COLUMN(NOTA[ID]))&amp;":"&amp;ADDRESS(ROW(),COLUMN(NOTA[ID]))),-1)))</f>
        <v/>
      </c>
      <c r="AI621" s="28" t="str">
        <f ca="1">IF(NOTA[[#This Row],[ID_H]]="","",IF(NOTA[[#This Row],[FAKTUR]]="",INDIRECT(ADDRESS(ROW()-1,COLUMN())),NOTA[[#This Row],[FAKTUR]]))</f>
        <v/>
      </c>
      <c r="AJ621" s="38" t="str">
        <f ca="1">IF(NOTA[[#This Row],[ID]]="","",COUNTIF(NOTA[ID_H],NOTA[[#This Row],[ID_H]]))</f>
        <v/>
      </c>
      <c r="AK621" s="38" t="str">
        <f ca="1">IF(NOTA[[#This Row],[TGL.NOTA]]="",IF(NOTA[[#This Row],[SUPPLIER_H]]="","",AK620),MONTH(NOTA[[#This Row],[TGL.NOTA]]))</f>
        <v/>
      </c>
      <c r="AL621" s="38" t="str">
        <f>LOWER(SUBSTITUTE(SUBSTITUTE(SUBSTITUTE(SUBSTITUTE(SUBSTITUTE(SUBSTITUTE(SUBSTITUTE(SUBSTITUTE(SUBSTITUTE(NOTA[NAMA BARANG]," ",),".",""),"-",""),"(",""),")",""),",",""),"/",""),"""",""),"+",""))</f>
        <v/>
      </c>
      <c r="AM621" s="38" t="str">
        <f>IF(NOTA[C]="",NOTA[[#This Row],[CONCAT1]]&amp;NOTA[[#This Row],[HARGA SATUAN]],NOTA[[#This Row],[CONCAT1]]&amp;NOTA[[#This Row],[HARGA/ CTN_H]]&amp;NOTA[[#This Row],[DISC 1]]&amp;NOTA[[#This Row],[DISC 2]])</f>
        <v/>
      </c>
      <c r="AN621" s="184" t="str">
        <f>IF(NOTA[[#This Row],[CONCAT1]]="","",MATCH(NOTA[[#This Row],[CONCAT1]],[1]!db[NB NOTA_C],0)+1)</f>
        <v/>
      </c>
    </row>
    <row r="622" spans="1:40" ht="20.100000000000001" customHeight="1" x14ac:dyDescent="0.25">
      <c r="A622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2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BAH_2101_049-1</v>
      </c>
      <c r="C622" s="29" t="str">
        <f>IF(NOTA[[#This Row],[CEK_EXP]]&lt;D621,"err","")</f>
        <v/>
      </c>
      <c r="D622" s="29">
        <f>IF(NOTA[[#This Row],[TANGGAL]]="",D621,NOTA[[#This Row],[TANGGAL]])</f>
        <v>44947</v>
      </c>
      <c r="E622" s="29">
        <f ca="1">IF(NOTA[[#This Row],[NAMA BARANG]]="","",INDEX(NOTA[ID],MATCH(,INDIRECT(ADDRESS(ROW(NOTA[ID]),COLUMN(NOTA[ID]))&amp;":"&amp;ADDRESS(ROW(),COLUMN(NOTA[ID]))),-1)))</f>
        <v>119</v>
      </c>
      <c r="F622" s="30"/>
      <c r="G622" s="26" t="s">
        <v>766</v>
      </c>
      <c r="H622" s="26" t="s">
        <v>87</v>
      </c>
      <c r="I622" s="31" t="s">
        <v>765</v>
      </c>
      <c r="J622" s="32"/>
      <c r="K622" s="33">
        <v>44945</v>
      </c>
      <c r="L622" s="32"/>
      <c r="M622" s="26" t="s">
        <v>767</v>
      </c>
      <c r="N622" s="34">
        <v>10</v>
      </c>
      <c r="O622" s="32">
        <v>200</v>
      </c>
      <c r="P622" s="26" t="s">
        <v>274</v>
      </c>
      <c r="Q622" s="28">
        <v>155000</v>
      </c>
      <c r="R622" s="46"/>
      <c r="S622" s="39" t="s">
        <v>136</v>
      </c>
      <c r="T622" s="35"/>
      <c r="U622" s="35"/>
      <c r="V622" s="36"/>
      <c r="W622" s="37"/>
      <c r="X622" s="36">
        <f>IF(NOTA[[#This Row],[HARGA/ CTN]]="",NOTA[[#This Row],[JUMLAH_H]],NOTA[[#This Row],[HARGA/ CTN]]*IF(NOTA[[#This Row],[C]]="",0,NOTA[[#This Row],[C]]))</f>
        <v>31000000</v>
      </c>
      <c r="Y622" s="36">
        <f>IF(NOTA[[#This Row],[JUMLAH]]="","",NOTA[[#This Row],[JUMLAH]]*NOTA[[#This Row],[DISC 1]])</f>
        <v>0</v>
      </c>
      <c r="Z622" s="36">
        <f>IF(NOTA[[#This Row],[JUMLAH]]="","",(NOTA[[#This Row],[JUMLAH]]-NOTA[[#This Row],[DISC 1-]])*NOTA[[#This Row],[DISC 2]])</f>
        <v>0</v>
      </c>
      <c r="AA622" s="36">
        <f>IF(NOTA[[#This Row],[JUMLAH]]="","",NOTA[[#This Row],[DISC 1-]]+NOTA[[#This Row],[DISC 2-]])</f>
        <v>0</v>
      </c>
      <c r="AB622" s="36">
        <f>IF(NOTA[[#This Row],[JUMLAH]]="","",NOTA[[#This Row],[JUMLAH]]-NOTA[[#This Row],[DISC]])</f>
        <v>31000000</v>
      </c>
      <c r="AC6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31000000</v>
      </c>
      <c r="AE622" s="28">
        <f>IF(NOTA[[#This Row],[NAMA BARANG]]="","",IF(NOTA[[#This Row],[JUMLAH_H]]="",NOTA[[#This Row],[HARGA/ CTN]],NOTA[[#This Row],[QTY]]*NOTA[[#This Row],[HARGA SATUAN]]/IF(ISNUMBER(NOTA[[#This Row],[C]]),NOTA[[#This Row],[C]],1)))</f>
        <v>3100000</v>
      </c>
      <c r="AF622" s="36">
        <f>IF(OR(NOTA[[#This Row],[QTY]]="",NOTA[[#This Row],[HARGA SATUAN]]="",),"",NOTA[[#This Row],[QTY]]*NOTA[[#This Row],[HARGA SATUAN]])</f>
        <v>31000000</v>
      </c>
      <c r="AG622" s="33">
        <f ca="1">IF(NOTA[ID_H]="","",INDEX(NOTA[TANGGAL],MATCH(,INDIRECT(ADDRESS(ROW(NOTA[TANGGAL]),COLUMN(NOTA[TANGGAL]))&amp;":"&amp;ADDRESS(ROW(),COLUMN(NOTA[TANGGAL]))),-1)))</f>
        <v>44947</v>
      </c>
      <c r="AH622" s="28" t="str">
        <f ca="1">IF(NOTA[[#This Row],[NAMA BARANG]]="","",INDEX(NOTA[SUPPLIER],MATCH(,INDIRECT(ADDRESS(ROW(NOTA[ID]),COLUMN(NOTA[ID]))&amp;":"&amp;ADDRESS(ROW(),COLUMN(NOTA[ID]))),-1)))</f>
        <v>BAHAGIA TEGUH</v>
      </c>
      <c r="AI622" s="28" t="str">
        <f ca="1">IF(NOTA[[#This Row],[ID_H]]="","",IF(NOTA[[#This Row],[FAKTUR]]="",INDIRECT(ADDRESS(ROW()-1,COLUMN())),NOTA[[#This Row],[FAKTUR]]))</f>
        <v>UNTANA</v>
      </c>
      <c r="AJ622" s="38">
        <f ca="1">IF(NOTA[[#This Row],[ID]]="","",COUNTIF(NOTA[ID_H],NOTA[[#This Row],[ID_H]]))</f>
        <v>1</v>
      </c>
      <c r="AK622" s="38">
        <f>IF(NOTA[[#This Row],[TGL.NOTA]]="",IF(NOTA[[#This Row],[SUPPLIER_H]]="","",AK621),MONTH(NOTA[[#This Row],[TGL.NOTA]]))</f>
        <v>1</v>
      </c>
      <c r="AL622" s="38" t="str">
        <f>LOWER(SUBSTITUTE(SUBSTITUTE(SUBSTITUTE(SUBSTITUTE(SUBSTITUTE(SUBSTITUTE(SUBSTITUTE(SUBSTITUTE(SUBSTITUTE(NOTA[NAMA BARANG]," ",),".",""),"-",""),"(",""),")",""),",",""),"/",""),"""",""),"+",""))</f>
        <v>pensilcarpenter500</v>
      </c>
      <c r="AM622" s="38" t="str">
        <f>IF(NOTA[C]="",NOTA[[#This Row],[CONCAT1]]&amp;NOTA[[#This Row],[HARGA SATUAN]],NOTA[[#This Row],[CONCAT1]]&amp;NOTA[[#This Row],[HARGA/ CTN_H]]&amp;NOTA[[#This Row],[DISC 1]]&amp;NOTA[[#This Row],[DISC 2]])</f>
        <v>pensilcarpenter5003100000</v>
      </c>
      <c r="AN622" s="184">
        <f>IF(NOTA[[#This Row],[CONCAT1]]="","",MATCH(NOTA[[#This Row],[CONCAT1]],[1]!db[NB NOTA_C],0)+1)</f>
        <v>2232</v>
      </c>
    </row>
    <row r="623" spans="1:40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Row],[CEK_EXP]]&lt;D622,"err","")</f>
        <v/>
      </c>
      <c r="D623" s="29">
        <f>IF(NOTA[[#This Row],[TANGGAL]]="",D622,NOTA[[#This Row],[TANGGAL]])</f>
        <v>44947</v>
      </c>
      <c r="E623" s="29" t="str">
        <f ca="1">IF(NOTA[[#This Row],[NAMA BARANG]]="","",INDEX(NOTA[ID],MATCH(,INDIRECT(ADDRESS(ROW(NOTA[ID]),COLUMN(NOTA[ID]))&amp;":"&amp;ADDRESS(ROW(),COLUMN(NOTA[ID]))),-1)))</f>
        <v/>
      </c>
      <c r="F623" s="30"/>
      <c r="G623" s="32"/>
      <c r="H623" s="32"/>
      <c r="I623" s="55"/>
      <c r="J623" s="32"/>
      <c r="K623" s="33"/>
      <c r="L623" s="32"/>
      <c r="M623" s="26"/>
      <c r="N623" s="34"/>
      <c r="O623" s="32"/>
      <c r="P623" s="26"/>
      <c r="Q623" s="28"/>
      <c r="R623" s="46"/>
      <c r="S623" s="39"/>
      <c r="T623" s="35"/>
      <c r="U623" s="35"/>
      <c r="V623" s="36"/>
      <c r="W623" s="37"/>
      <c r="X623" s="36" t="str">
        <f>IF(NOTA[[#This Row],[HARGA/ CTN]]="",NOTA[[#This Row],[JUMLAH_H]],NOTA[[#This Row],[HARGA/ CTN]]*IF(NOTA[[#This Row],[C]]="",0,NOTA[[#This Row],[C]]))</f>
        <v/>
      </c>
      <c r="Y623" s="36" t="str">
        <f>IF(NOTA[[#This Row],[JUMLAH]]="","",NOTA[[#This Row],[JUMLAH]]*NOTA[[#This Row],[DISC 1]])</f>
        <v/>
      </c>
      <c r="Z623" s="36" t="str">
        <f>IF(NOTA[[#This Row],[JUMLAH]]="","",(NOTA[[#This Row],[JUMLAH]]-NOTA[[#This Row],[DISC 1-]])*NOTA[[#This Row],[DISC 2]])</f>
        <v/>
      </c>
      <c r="AA623" s="36" t="str">
        <f>IF(NOTA[[#This Row],[JUMLAH]]="","",NOTA[[#This Row],[DISC 1-]]+NOTA[[#This Row],[DISC 2-]])</f>
        <v/>
      </c>
      <c r="AB623" s="36" t="str">
        <f>IF(NOTA[[#This Row],[JUMLAH]]="","",NOTA[[#This Row],[JUMLAH]]-NOTA[[#This Row],[DISC]])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36" t="str">
        <f>IF(OR(NOTA[[#This Row],[QTY]]="",NOTA[[#This Row],[HARGA SATUAN]]="",),"",NOTA[[#This Row],[QTY]]*NOTA[[#This Row],[HARGA SATUAN]])</f>
        <v/>
      </c>
      <c r="AG623" s="33" t="str">
        <f ca="1">IF(NOTA[ID_H]="","",INDEX(NOTA[TANGGAL],MATCH(,INDIRECT(ADDRESS(ROW(NOTA[TANGGAL]),COLUMN(NOTA[TANGGAL]))&amp;":"&amp;ADDRESS(ROW(),COLUMN(NOTA[TANGGAL]))),-1)))</f>
        <v/>
      </c>
      <c r="AH623" s="28" t="str">
        <f ca="1">IF(NOTA[[#This Row],[NAMA BARANG]]="","",INDEX(NOTA[SUPPLIER],MATCH(,INDIRECT(ADDRESS(ROW(NOTA[ID]),COLUMN(NOTA[ID]))&amp;":"&amp;ADDRESS(ROW(),COLUMN(NOTA[ID]))),-1)))</f>
        <v/>
      </c>
      <c r="AI623" s="28" t="str">
        <f ca="1">IF(NOTA[[#This Row],[ID_H]]="","",IF(NOTA[[#This Row],[FAKTUR]]="",INDIRECT(ADDRESS(ROW()-1,COLUMN())),NOTA[[#This Row],[FAKTUR]]))</f>
        <v/>
      </c>
      <c r="AJ623" s="38" t="str">
        <f ca="1">IF(NOTA[[#This Row],[ID]]="","",COUNTIF(NOTA[ID_H],NOTA[[#This Row],[ID_H]]))</f>
        <v/>
      </c>
      <c r="AK623" s="38" t="str">
        <f ca="1">IF(NOTA[[#This Row],[TGL.NOTA]]="",IF(NOTA[[#This Row],[SUPPLIER_H]]="","",AK622),MONTH(NOTA[[#This Row],[TGL.NOTA]]))</f>
        <v/>
      </c>
      <c r="AL623" s="38" t="str">
        <f>LOWER(SUBSTITUTE(SUBSTITUTE(SUBSTITUTE(SUBSTITUTE(SUBSTITUTE(SUBSTITUTE(SUBSTITUTE(SUBSTITUTE(SUBSTITUTE(NOTA[NAMA BARANG]," ",),".",""),"-",""),"(",""),")",""),",",""),"/",""),"""",""),"+",""))</f>
        <v/>
      </c>
      <c r="AM623" s="38" t="str">
        <f>IF(NOTA[C]="",NOTA[[#This Row],[CONCAT1]]&amp;NOTA[[#This Row],[HARGA SATUAN]],NOTA[[#This Row],[CONCAT1]]&amp;NOTA[[#This Row],[HARGA/ CTN_H]]&amp;NOTA[[#This Row],[DISC 1]]&amp;NOTA[[#This Row],[DISC 2]])</f>
        <v/>
      </c>
      <c r="AN623" s="184" t="str">
        <f>IF(NOTA[[#This Row],[CONCAT1]]="","",MATCH(NOTA[[#This Row],[CONCAT1]],[1]!db[NB NOTA_C],0)+1)</f>
        <v/>
      </c>
    </row>
    <row r="624" spans="1:40" ht="20.100000000000001" customHeight="1" x14ac:dyDescent="0.25">
      <c r="A624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BAH_2101_053-1</v>
      </c>
      <c r="C624" s="29" t="str">
        <f>IF(NOTA[[#This Row],[CEK_EXP]]&lt;D623,"err","")</f>
        <v/>
      </c>
      <c r="D624" s="29">
        <f>IF(NOTA[[#This Row],[TANGGAL]]="",D623,NOTA[[#This Row],[TANGGAL]])</f>
        <v>44947</v>
      </c>
      <c r="E624" s="29">
        <f ca="1">IF(NOTA[[#This Row],[NAMA BARANG]]="","",INDEX(NOTA[ID],MATCH(,INDIRECT(ADDRESS(ROW(NOTA[ID]),COLUMN(NOTA[ID]))&amp;":"&amp;ADDRESS(ROW(),COLUMN(NOTA[ID]))),-1)))</f>
        <v>120</v>
      </c>
      <c r="F624" s="30"/>
      <c r="G624" s="26" t="s">
        <v>766</v>
      </c>
      <c r="H624" s="26" t="s">
        <v>87</v>
      </c>
      <c r="I624" s="31" t="s">
        <v>768</v>
      </c>
      <c r="J624" s="32"/>
      <c r="K624" s="33">
        <v>44945</v>
      </c>
      <c r="L624" s="32"/>
      <c r="M624" s="26" t="s">
        <v>769</v>
      </c>
      <c r="N624" s="34">
        <v>10</v>
      </c>
      <c r="O624" s="26">
        <v>100</v>
      </c>
      <c r="P624" s="26" t="s">
        <v>131</v>
      </c>
      <c r="Q624" s="28">
        <v>330000</v>
      </c>
      <c r="R624" s="46"/>
      <c r="S624" s="39" t="s">
        <v>770</v>
      </c>
      <c r="T624" s="35">
        <v>0.22500000000000001</v>
      </c>
      <c r="U624" s="35"/>
      <c r="V624" s="36"/>
      <c r="W624" s="37"/>
      <c r="X624" s="36">
        <f>IF(NOTA[[#This Row],[HARGA/ CTN]]="",NOTA[[#This Row],[JUMLAH_H]],NOTA[[#This Row],[HARGA/ CTN]]*IF(NOTA[[#This Row],[C]]="",0,NOTA[[#This Row],[C]]))</f>
        <v>33000000</v>
      </c>
      <c r="Y624" s="36">
        <f>IF(NOTA[[#This Row],[JUMLAH]]="","",NOTA[[#This Row],[JUMLAH]]*NOTA[[#This Row],[DISC 1]])</f>
        <v>7425000</v>
      </c>
      <c r="Z624" s="36">
        <f>IF(NOTA[[#This Row],[JUMLAH]]="","",(NOTA[[#This Row],[JUMLAH]]-NOTA[[#This Row],[DISC 1-]])*NOTA[[#This Row],[DISC 2]])</f>
        <v>0</v>
      </c>
      <c r="AA624" s="36">
        <f>IF(NOTA[[#This Row],[JUMLAH]]="","",NOTA[[#This Row],[DISC 1-]]+NOTA[[#This Row],[DISC 2-]])</f>
        <v>7425000</v>
      </c>
      <c r="AB624" s="36">
        <f>IF(NOTA[[#This Row],[JUMLAH]]="","",NOTA[[#This Row],[JUMLAH]]-NOTA[[#This Row],[DISC]])</f>
        <v>25575000</v>
      </c>
      <c r="AC6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7425000</v>
      </c>
      <c r="AD6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25575000</v>
      </c>
      <c r="AE624" s="28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F624" s="36">
        <f>IF(OR(NOTA[[#This Row],[QTY]]="",NOTA[[#This Row],[HARGA SATUAN]]="",),"",NOTA[[#This Row],[QTY]]*NOTA[[#This Row],[HARGA SATUAN]])</f>
        <v>33000000</v>
      </c>
      <c r="AG624" s="33">
        <f ca="1">IF(NOTA[ID_H]="","",INDEX(NOTA[TANGGAL],MATCH(,INDIRECT(ADDRESS(ROW(NOTA[TANGGAL]),COLUMN(NOTA[TANGGAL]))&amp;":"&amp;ADDRESS(ROW(),COLUMN(NOTA[TANGGAL]))),-1)))</f>
        <v>44947</v>
      </c>
      <c r="AH624" s="28" t="str">
        <f ca="1">IF(NOTA[[#This Row],[NAMA BARANG]]="","",INDEX(NOTA[SUPPLIER],MATCH(,INDIRECT(ADDRESS(ROW(NOTA[ID]),COLUMN(NOTA[ID]))&amp;":"&amp;ADDRESS(ROW(),COLUMN(NOTA[ID]))),-1)))</f>
        <v>BAHAGIA TEGUH</v>
      </c>
      <c r="AI624" s="28" t="str">
        <f ca="1">IF(NOTA[[#This Row],[ID_H]]="","",IF(NOTA[[#This Row],[FAKTUR]]="",INDIRECT(ADDRESS(ROW()-1,COLUMN())),NOTA[[#This Row],[FAKTUR]]))</f>
        <v>UNTANA</v>
      </c>
      <c r="AJ624" s="38">
        <f ca="1">IF(NOTA[[#This Row],[ID]]="","",COUNTIF(NOTA[ID_H],NOTA[[#This Row],[ID_H]]))</f>
        <v>1</v>
      </c>
      <c r="AK624" s="38">
        <f>IF(NOTA[[#This Row],[TGL.NOTA]]="",IF(NOTA[[#This Row],[SUPPLIER_H]]="","",AK623),MONTH(NOTA[[#This Row],[TGL.NOTA]]))</f>
        <v>1</v>
      </c>
      <c r="AL624" s="38" t="str">
        <f>LOWER(SUBSTITUTE(SUBSTITUTE(SUBSTITUTE(SUBSTITUTE(SUBSTITUTE(SUBSTITUTE(SUBSTITUTE(SUBSTITUTE(SUBSTITUTE(NOTA[NAMA BARANG]," ",),".",""),"-",""),"(",""),")",""),",",""),"/",""),"""",""),"+",""))</f>
        <v>pensilzhonghua692b</v>
      </c>
      <c r="AM624" s="38" t="str">
        <f>IF(NOTA[C]="",NOTA[[#This Row],[CONCAT1]]&amp;NOTA[[#This Row],[HARGA SATUAN]],NOTA[[#This Row],[CONCAT1]]&amp;NOTA[[#This Row],[HARGA/ CTN_H]]&amp;NOTA[[#This Row],[DISC 1]]&amp;NOTA[[#This Row],[DISC 2]])</f>
        <v>pensilzhonghua692b33000000.225</v>
      </c>
      <c r="AN624" s="184">
        <f>IF(NOTA[[#This Row],[CONCAT1]]="","",MATCH(NOTA[[#This Row],[CONCAT1]],[1]!db[NB NOTA_C],0)+1)</f>
        <v>1831</v>
      </c>
    </row>
    <row r="625" spans="1:40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Row],[CEK_EXP]]&lt;D624,"err","")</f>
        <v/>
      </c>
      <c r="D625" s="29">
        <f>IF(NOTA[[#This Row],[TANGGAL]]="",D624,NOTA[[#This Row],[TANGGAL]])</f>
        <v>44947</v>
      </c>
      <c r="E625" s="29" t="str">
        <f ca="1">IF(NOTA[[#This Row],[NAMA BARANG]]="","",INDEX(NOTA[ID],MATCH(,INDIRECT(ADDRESS(ROW(NOTA[ID]),COLUMN(NOTA[ID]))&amp;":"&amp;ADDRESS(ROW(),COLUMN(NOTA[ID]))),-1)))</f>
        <v/>
      </c>
      <c r="F625" s="30"/>
      <c r="G625" s="26"/>
      <c r="H625" s="26"/>
      <c r="I625" s="31"/>
      <c r="J625" s="26"/>
      <c r="K625" s="33"/>
      <c r="L625" s="32"/>
      <c r="M625" s="26"/>
      <c r="N625" s="34"/>
      <c r="O625" s="32"/>
      <c r="P625" s="26"/>
      <c r="Q625" s="28"/>
      <c r="R625" s="46"/>
      <c r="S625" s="39"/>
      <c r="T625" s="35"/>
      <c r="U625" s="35"/>
      <c r="V625" s="36"/>
      <c r="W625" s="37"/>
      <c r="X625" s="36" t="str">
        <f>IF(NOTA[[#This Row],[HARGA/ CTN]]="",NOTA[[#This Row],[JUMLAH_H]],NOTA[[#This Row],[HARGA/ CTN]]*IF(NOTA[[#This Row],[C]]="",0,NOTA[[#This Row],[C]]))</f>
        <v/>
      </c>
      <c r="Y625" s="36" t="str">
        <f>IF(NOTA[[#This Row],[JUMLAH]]="","",NOTA[[#This Row],[JUMLAH]]*NOTA[[#This Row],[DISC 1]])</f>
        <v/>
      </c>
      <c r="Z625" s="36" t="str">
        <f>IF(NOTA[[#This Row],[JUMLAH]]="","",(NOTA[[#This Row],[JUMLAH]]-NOTA[[#This Row],[DISC 1-]])*NOTA[[#This Row],[DISC 2]])</f>
        <v/>
      </c>
      <c r="AA625" s="36" t="str">
        <f>IF(NOTA[[#This Row],[JUMLAH]]="","",NOTA[[#This Row],[DISC 1-]]+NOTA[[#This Row],[DISC 2-]])</f>
        <v/>
      </c>
      <c r="AB625" s="36" t="str">
        <f>IF(NOTA[[#This Row],[JUMLAH]]="","",NOTA[[#This Row],[JUMLAH]]-NOTA[[#This Row],[DISC]])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36" t="str">
        <f>IF(OR(NOTA[[#This Row],[QTY]]="",NOTA[[#This Row],[HARGA SATUAN]]="",),"",NOTA[[#This Row],[QTY]]*NOTA[[#This Row],[HARGA SATUAN]])</f>
        <v/>
      </c>
      <c r="AG625" s="33" t="str">
        <f ca="1">IF(NOTA[ID_H]="","",INDEX(NOTA[TANGGAL],MATCH(,INDIRECT(ADDRESS(ROW(NOTA[TANGGAL]),COLUMN(NOTA[TANGGAL]))&amp;":"&amp;ADDRESS(ROW(),COLUMN(NOTA[TANGGAL]))),-1)))</f>
        <v/>
      </c>
      <c r="AH625" s="28" t="str">
        <f ca="1">IF(NOTA[[#This Row],[NAMA BARANG]]="","",INDEX(NOTA[SUPPLIER],MATCH(,INDIRECT(ADDRESS(ROW(NOTA[ID]),COLUMN(NOTA[ID]))&amp;":"&amp;ADDRESS(ROW(),COLUMN(NOTA[ID]))),-1)))</f>
        <v/>
      </c>
      <c r="AI625" s="28" t="str">
        <f ca="1">IF(NOTA[[#This Row],[ID_H]]="","",IF(NOTA[[#This Row],[FAKTUR]]="",INDIRECT(ADDRESS(ROW()-1,COLUMN())),NOTA[[#This Row],[FAKTUR]]))</f>
        <v/>
      </c>
      <c r="AJ625" s="38" t="str">
        <f ca="1">IF(NOTA[[#This Row],[ID]]="","",COUNTIF(NOTA[ID_H],NOTA[[#This Row],[ID_H]]))</f>
        <v/>
      </c>
      <c r="AK625" s="38" t="str">
        <f ca="1">IF(NOTA[[#This Row],[TGL.NOTA]]="",IF(NOTA[[#This Row],[SUPPLIER_H]]="","",AK624),MONTH(NOTA[[#This Row],[TGL.NOTA]]))</f>
        <v/>
      </c>
      <c r="AL625" s="38" t="str">
        <f>LOWER(SUBSTITUTE(SUBSTITUTE(SUBSTITUTE(SUBSTITUTE(SUBSTITUTE(SUBSTITUTE(SUBSTITUTE(SUBSTITUTE(SUBSTITUTE(NOTA[NAMA BARANG]," ",),".",""),"-",""),"(",""),")",""),",",""),"/",""),"""",""),"+",""))</f>
        <v/>
      </c>
      <c r="AM625" s="38" t="str">
        <f>IF(NOTA[C]="",NOTA[[#This Row],[CONCAT1]]&amp;NOTA[[#This Row],[HARGA SATUAN]],NOTA[[#This Row],[CONCAT1]]&amp;NOTA[[#This Row],[HARGA/ CTN_H]]&amp;NOTA[[#This Row],[DISC 1]]&amp;NOTA[[#This Row],[DISC 2]])</f>
        <v/>
      </c>
      <c r="AN625" s="184" t="str">
        <f>IF(NOTA[[#This Row],[CONCAT1]]="","",MATCH(NOTA[[#This Row],[CONCAT1]],[1]!db[NB NOTA_C],0)+1)</f>
        <v/>
      </c>
    </row>
    <row r="626" spans="1:40" ht="20.100000000000001" customHeight="1" x14ac:dyDescent="0.25">
      <c r="A626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GRA_2101_285-3</v>
      </c>
      <c r="C626" s="29" t="str">
        <f>IF(NOTA[[#This Row],[CEK_EXP]]&lt;D625,"err","")</f>
        <v/>
      </c>
      <c r="D626" s="29">
        <f>IF(NOTA[[#This Row],[TANGGAL]]="",D625,NOTA[[#This Row],[TANGGAL]])</f>
        <v>44947</v>
      </c>
      <c r="E626" s="29">
        <f ca="1">IF(NOTA[[#This Row],[NAMA BARANG]]="","",INDEX(NOTA[ID],MATCH(,INDIRECT(ADDRESS(ROW(NOTA[ID]),COLUMN(NOTA[ID]))&amp;":"&amp;ADDRESS(ROW(),COLUMN(NOTA[ID]))),-1)))</f>
        <v>121</v>
      </c>
      <c r="F626" s="30"/>
      <c r="G626" s="26" t="s">
        <v>86</v>
      </c>
      <c r="H626" s="26" t="s">
        <v>87</v>
      </c>
      <c r="I626" s="31" t="s">
        <v>771</v>
      </c>
      <c r="J626" s="38"/>
      <c r="K626" s="33">
        <v>44946</v>
      </c>
      <c r="L626" s="32"/>
      <c r="M626" s="26" t="s">
        <v>773</v>
      </c>
      <c r="N626" s="34">
        <v>5</v>
      </c>
      <c r="O626" s="32">
        <v>250</v>
      </c>
      <c r="P626" s="26" t="s">
        <v>90</v>
      </c>
      <c r="Q626" s="28">
        <v>17400</v>
      </c>
      <c r="R626" s="46"/>
      <c r="S626" s="39" t="s">
        <v>227</v>
      </c>
      <c r="T626" s="35"/>
      <c r="U626" s="35"/>
      <c r="V626" s="36"/>
      <c r="W626" s="37"/>
      <c r="X626" s="36">
        <f>IF(NOTA[[#This Row],[HARGA/ CTN]]="",NOTA[[#This Row],[JUMLAH_H]],NOTA[[#This Row],[HARGA/ CTN]]*IF(NOTA[[#This Row],[C]]="",0,NOTA[[#This Row],[C]]))</f>
        <v>4350000</v>
      </c>
      <c r="Y626" s="36">
        <f>IF(NOTA[[#This Row],[JUMLAH]]="","",NOTA[[#This Row],[JUMLAH]]*NOTA[[#This Row],[DISC 1]])</f>
        <v>0</v>
      </c>
      <c r="Z626" s="36">
        <f>IF(NOTA[[#This Row],[JUMLAH]]="","",(NOTA[[#This Row],[JUMLAH]]-NOTA[[#This Row],[DISC 1-]])*NOTA[[#This Row],[DISC 2]])</f>
        <v>0</v>
      </c>
      <c r="AA626" s="36">
        <f>IF(NOTA[[#This Row],[JUMLAH]]="","",NOTA[[#This Row],[DISC 1-]]+NOTA[[#This Row],[DISC 2-]])</f>
        <v>0</v>
      </c>
      <c r="AB626" s="36">
        <f>IF(NOTA[[#This Row],[JUMLAH]]="","",NOTA[[#This Row],[JUMLAH]]-NOTA[[#This Row],[DISC]])</f>
        <v>4350000</v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F626" s="36">
        <f>IF(OR(NOTA[[#This Row],[QTY]]="",NOTA[[#This Row],[HARGA SATUAN]]="",),"",NOTA[[#This Row],[QTY]]*NOTA[[#This Row],[HARGA SATUAN]])</f>
        <v>4350000</v>
      </c>
      <c r="AG626" s="33">
        <f ca="1">IF(NOTA[ID_H]="","",INDEX(NOTA[TANGGAL],MATCH(,INDIRECT(ADDRESS(ROW(NOTA[TANGGAL]),COLUMN(NOTA[TANGGAL]))&amp;":"&amp;ADDRESS(ROW(),COLUMN(NOTA[TANGGAL]))),-1)))</f>
        <v>44947</v>
      </c>
      <c r="AH626" s="28" t="str">
        <f ca="1">IF(NOTA[[#This Row],[NAMA BARANG]]="","",INDEX(NOTA[SUPPLIER],MATCH(,INDIRECT(ADDRESS(ROW(NOTA[ID]),COLUMN(NOTA[ID]))&amp;":"&amp;ADDRESS(ROW(),COLUMN(NOTA[ID]))),-1)))</f>
        <v>GRAFINDO</v>
      </c>
      <c r="AI626" s="28" t="str">
        <f ca="1">IF(NOTA[[#This Row],[ID_H]]="","",IF(NOTA[[#This Row],[FAKTUR]]="",INDIRECT(ADDRESS(ROW()-1,COLUMN())),NOTA[[#This Row],[FAKTUR]]))</f>
        <v>UNTANA</v>
      </c>
      <c r="AJ626" s="38">
        <f ca="1">IF(NOTA[[#This Row],[ID]]="","",COUNTIF(NOTA[ID_H],NOTA[[#This Row],[ID_H]]))</f>
        <v>3</v>
      </c>
      <c r="AK626" s="38">
        <f>IF(NOTA[[#This Row],[TGL.NOTA]]="",IF(NOTA[[#This Row],[SUPPLIER_H]]="","",AK625),MONTH(NOTA[[#This Row],[TGL.NOTA]]))</f>
        <v>1</v>
      </c>
      <c r="AL62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626" s="38" t="str">
        <f>IF(NOTA[C]="",NOTA[[#This Row],[CONCAT1]]&amp;NOTA[[#This Row],[HARGA SATUAN]],NOTA[[#This Row],[CONCAT1]]&amp;NOTA[[#This Row],[HARGA/ CTN_H]]&amp;NOTA[[#This Row],[DISC 1]]&amp;NOTA[[#This Row],[DISC 2]])</f>
        <v>mapkancingsikaac05biru870000</v>
      </c>
      <c r="AN626" s="184">
        <f>IF(NOTA[[#This Row],[CONCAT1]]="","",MATCH(NOTA[[#This Row],[CONCAT1]],[1]!db[NB NOTA_C],0)+1)</f>
        <v>1445</v>
      </c>
    </row>
    <row r="627" spans="1:40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Row],[CEK_EXP]]&lt;D626,"err","")</f>
        <v/>
      </c>
      <c r="D627" s="29">
        <f>IF(NOTA[[#This Row],[TANGGAL]]="",D626,NOTA[[#This Row],[TANGGAL]])</f>
        <v>44947</v>
      </c>
      <c r="E627" s="29">
        <f ca="1">IF(NOTA[[#This Row],[NAMA BARANG]]="","",INDEX(NOTA[ID],MATCH(,INDIRECT(ADDRESS(ROW(NOTA[ID]),COLUMN(NOTA[ID]))&amp;":"&amp;ADDRESS(ROW(),COLUMN(NOTA[ID]))),-1)))</f>
        <v>121</v>
      </c>
      <c r="F627" s="23"/>
      <c r="G627" s="26"/>
      <c r="H627" s="26"/>
      <c r="I627" s="31"/>
      <c r="J627" s="26"/>
      <c r="K627" s="33"/>
      <c r="L627" s="32"/>
      <c r="M627" s="26" t="s">
        <v>772</v>
      </c>
      <c r="N627" s="34">
        <v>12</v>
      </c>
      <c r="O627" s="32">
        <v>600</v>
      </c>
      <c r="P627" s="26" t="s">
        <v>90</v>
      </c>
      <c r="Q627" s="28">
        <v>17400</v>
      </c>
      <c r="R627" s="46"/>
      <c r="S627" s="39" t="s">
        <v>227</v>
      </c>
      <c r="T627" s="35"/>
      <c r="U627" s="35"/>
      <c r="V627" s="36"/>
      <c r="W627" s="37"/>
      <c r="X627" s="36">
        <f>IF(NOTA[[#This Row],[HARGA/ CTN]]="",NOTA[[#This Row],[JUMLAH_H]],NOTA[[#This Row],[HARGA/ CTN]]*IF(NOTA[[#This Row],[C]]="",0,NOTA[[#This Row],[C]]))</f>
        <v>10440000</v>
      </c>
      <c r="Y627" s="36">
        <f>IF(NOTA[[#This Row],[JUMLAH]]="","",NOTA[[#This Row],[JUMLAH]]*NOTA[[#This Row],[DISC 1]])</f>
        <v>0</v>
      </c>
      <c r="Z627" s="36">
        <f>IF(NOTA[[#This Row],[JUMLAH]]="","",(NOTA[[#This Row],[JUMLAH]]-NOTA[[#This Row],[DISC 1-]])*NOTA[[#This Row],[DISC 2]])</f>
        <v>0</v>
      </c>
      <c r="AA627" s="36">
        <f>IF(NOTA[[#This Row],[JUMLAH]]="","",NOTA[[#This Row],[DISC 1-]]+NOTA[[#This Row],[DISC 2-]])</f>
        <v>0</v>
      </c>
      <c r="AB627" s="36">
        <f>IF(NOTA[[#This Row],[JUMLAH]]="","",NOTA[[#This Row],[JUMLAH]]-NOTA[[#This Row],[DISC]])</f>
        <v>10440000</v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F627" s="36">
        <f>IF(OR(NOTA[[#This Row],[QTY]]="",NOTA[[#This Row],[HARGA SATUAN]]="",),"",NOTA[[#This Row],[QTY]]*NOTA[[#This Row],[HARGA SATUAN]])</f>
        <v>10440000</v>
      </c>
      <c r="AG627" s="33">
        <f ca="1">IF(NOTA[ID_H]="","",INDEX(NOTA[TANGGAL],MATCH(,INDIRECT(ADDRESS(ROW(NOTA[TANGGAL]),COLUMN(NOTA[TANGGAL]))&amp;":"&amp;ADDRESS(ROW(),COLUMN(NOTA[TANGGAL]))),-1)))</f>
        <v>44947</v>
      </c>
      <c r="AH627" s="28" t="str">
        <f ca="1">IF(NOTA[[#This Row],[NAMA BARANG]]="","",INDEX(NOTA[SUPPLIER],MATCH(,INDIRECT(ADDRESS(ROW(NOTA[ID]),COLUMN(NOTA[ID]))&amp;":"&amp;ADDRESS(ROW(),COLUMN(NOTA[ID]))),-1)))</f>
        <v>GRAFINDO</v>
      </c>
      <c r="AI627" s="28" t="str">
        <f ca="1">IF(NOTA[[#This Row],[ID_H]]="","",IF(NOTA[[#This Row],[FAKTUR]]="",INDIRECT(ADDRESS(ROW()-1,COLUMN())),NOTA[[#This Row],[FAKTUR]]))</f>
        <v>UNTANA</v>
      </c>
      <c r="AJ627" s="38" t="str">
        <f ca="1">IF(NOTA[[#This Row],[ID]]="","",COUNTIF(NOTA[ID_H],NOTA[[#This Row],[ID_H]]))</f>
        <v/>
      </c>
      <c r="AK627" s="38">
        <f ca="1">IF(NOTA[[#This Row],[TGL.NOTA]]="",IF(NOTA[[#This Row],[SUPPLIER_H]]="","",AK626),MONTH(NOTA[[#This Row],[TGL.NOTA]]))</f>
        <v>1</v>
      </c>
      <c r="AL62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627" s="38" t="str">
        <f>IF(NOTA[C]="",NOTA[[#This Row],[CONCAT1]]&amp;NOTA[[#This Row],[HARGA SATUAN]],NOTA[[#This Row],[CONCAT1]]&amp;NOTA[[#This Row],[HARGA/ CTN_H]]&amp;NOTA[[#This Row],[DISC 1]]&amp;NOTA[[#This Row],[DISC 2]])</f>
        <v>mapkancingsikaac05merah870000</v>
      </c>
      <c r="AN627" s="184">
        <f>IF(NOTA[[#This Row],[CONCAT1]]="","",MATCH(NOTA[[#This Row],[CONCAT1]],[1]!db[NB NOTA_C],0)+1)</f>
        <v>1450</v>
      </c>
    </row>
    <row r="628" spans="1:40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Row],[CEK_EXP]]&lt;D627,"err","")</f>
        <v/>
      </c>
      <c r="D628" s="29">
        <f>IF(NOTA[[#This Row],[TANGGAL]]="",D627,NOTA[[#This Row],[TANGGAL]])</f>
        <v>44947</v>
      </c>
      <c r="E628" s="29">
        <f ca="1">IF(NOTA[[#This Row],[NAMA BARANG]]="","",INDEX(NOTA[ID],MATCH(,INDIRECT(ADDRESS(ROW(NOTA[ID]),COLUMN(NOTA[ID]))&amp;":"&amp;ADDRESS(ROW(),COLUMN(NOTA[ID]))),-1)))</f>
        <v>121</v>
      </c>
      <c r="F628" s="30"/>
      <c r="G628" s="32"/>
      <c r="H628" s="32"/>
      <c r="I628" s="55"/>
      <c r="J628" s="32"/>
      <c r="K628" s="33"/>
      <c r="L628" s="32"/>
      <c r="M628" s="26" t="s">
        <v>225</v>
      </c>
      <c r="N628" s="34">
        <v>5</v>
      </c>
      <c r="O628" s="26">
        <v>250</v>
      </c>
      <c r="P628" s="26" t="s">
        <v>90</v>
      </c>
      <c r="Q628" s="28">
        <v>17400</v>
      </c>
      <c r="R628" s="46"/>
      <c r="S628" s="39" t="s">
        <v>227</v>
      </c>
      <c r="T628" s="35"/>
      <c r="U628" s="35"/>
      <c r="V628" s="36"/>
      <c r="W628" s="37"/>
      <c r="X628" s="36">
        <f>IF(NOTA[[#This Row],[HARGA/ CTN]]="",NOTA[[#This Row],[JUMLAH_H]],NOTA[[#This Row],[HARGA/ CTN]]*IF(NOTA[[#This Row],[C]]="",0,NOTA[[#This Row],[C]]))</f>
        <v>4350000</v>
      </c>
      <c r="Y628" s="36">
        <f>IF(NOTA[[#This Row],[JUMLAH]]="","",NOTA[[#This Row],[JUMLAH]]*NOTA[[#This Row],[DISC 1]])</f>
        <v>0</v>
      </c>
      <c r="Z628" s="36">
        <f>IF(NOTA[[#This Row],[JUMLAH]]="","",(NOTA[[#This Row],[JUMLAH]]-NOTA[[#This Row],[DISC 1-]])*NOTA[[#This Row],[DISC 2]])</f>
        <v>0</v>
      </c>
      <c r="AA628" s="36">
        <f>IF(NOTA[[#This Row],[JUMLAH]]="","",NOTA[[#This Row],[DISC 1-]]+NOTA[[#This Row],[DISC 2-]])</f>
        <v>0</v>
      </c>
      <c r="AB628" s="36">
        <f>IF(NOTA[[#This Row],[JUMLAH]]="","",NOTA[[#This Row],[JUMLAH]]-NOTA[[#This Row],[DISC]])</f>
        <v>4350000</v>
      </c>
      <c r="AC6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19140000</v>
      </c>
      <c r="AE628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F628" s="36">
        <f>IF(OR(NOTA[[#This Row],[QTY]]="",NOTA[[#This Row],[HARGA SATUAN]]="",),"",NOTA[[#This Row],[QTY]]*NOTA[[#This Row],[HARGA SATUAN]])</f>
        <v>4350000</v>
      </c>
      <c r="AG628" s="33">
        <f ca="1">IF(NOTA[ID_H]="","",INDEX(NOTA[TANGGAL],MATCH(,INDIRECT(ADDRESS(ROW(NOTA[TANGGAL]),COLUMN(NOTA[TANGGAL]))&amp;":"&amp;ADDRESS(ROW(),COLUMN(NOTA[TANGGAL]))),-1)))</f>
        <v>44947</v>
      </c>
      <c r="AH628" s="28" t="str">
        <f ca="1">IF(NOTA[[#This Row],[NAMA BARANG]]="","",INDEX(NOTA[SUPPLIER],MATCH(,INDIRECT(ADDRESS(ROW(NOTA[ID]),COLUMN(NOTA[ID]))&amp;":"&amp;ADDRESS(ROW(),COLUMN(NOTA[ID]))),-1)))</f>
        <v>GRAFINDO</v>
      </c>
      <c r="AI628" s="28" t="str">
        <f ca="1">IF(NOTA[[#This Row],[ID_H]]="","",IF(NOTA[[#This Row],[FAKTUR]]="",INDIRECT(ADDRESS(ROW()-1,COLUMN())),NOTA[[#This Row],[FAKTUR]]))</f>
        <v>UNTANA</v>
      </c>
      <c r="AJ628" s="38" t="str">
        <f ca="1">IF(NOTA[[#This Row],[ID]]="","",COUNTIF(NOTA[ID_H],NOTA[[#This Row],[ID_H]]))</f>
        <v/>
      </c>
      <c r="AK628" s="38">
        <f ca="1">IF(NOTA[[#This Row],[TGL.NOTA]]="",IF(NOTA[[#This Row],[SUPPLIER_H]]="","",AK627),MONTH(NOTA[[#This Row],[TGL.NOTA]]))</f>
        <v>1</v>
      </c>
      <c r="AL628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628" s="38" t="str">
        <f>IF(NOTA[C]="",NOTA[[#This Row],[CONCAT1]]&amp;NOTA[[#This Row],[HARGA SATUAN]],NOTA[[#This Row],[CONCAT1]]&amp;NOTA[[#This Row],[HARGA/ CTN_H]]&amp;NOTA[[#This Row],[DISC 1]]&amp;NOTA[[#This Row],[DISC 2]])</f>
        <v>mapkancingsikaac05kuning870000</v>
      </c>
      <c r="AN628" s="184">
        <f>IF(NOTA[[#This Row],[CONCAT1]]="","",MATCH(NOTA[[#This Row],[CONCAT1]],[1]!db[NB NOTA_C],0)+1)</f>
        <v>1448</v>
      </c>
    </row>
    <row r="629" spans="1:40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Row],[CEK_EXP]]&lt;D628,"err","")</f>
        <v/>
      </c>
      <c r="D629" s="29">
        <f>IF(NOTA[[#This Row],[TANGGAL]]="",D628,NOTA[[#This Row],[TANGGAL]])</f>
        <v>44947</v>
      </c>
      <c r="E629" s="29" t="str">
        <f ca="1">IF(NOTA[[#This Row],[NAMA BARANG]]="","",INDEX(NOTA[ID],MATCH(,INDIRECT(ADDRESS(ROW(NOTA[ID]),COLUMN(NOTA[ID]))&amp;":"&amp;ADDRESS(ROW(),COLUMN(NOTA[ID]))),-1)))</f>
        <v/>
      </c>
      <c r="F629" s="30"/>
      <c r="G629" s="26"/>
      <c r="H629" s="26"/>
      <c r="I629" s="31"/>
      <c r="J629" s="32"/>
      <c r="K629" s="33"/>
      <c r="L629" s="32"/>
      <c r="M629" s="26"/>
      <c r="N629" s="34"/>
      <c r="O629" s="32"/>
      <c r="P629" s="26"/>
      <c r="Q629" s="28"/>
      <c r="R629" s="46"/>
      <c r="S629" s="39"/>
      <c r="T629" s="35"/>
      <c r="U629" s="35"/>
      <c r="V629" s="36"/>
      <c r="W629" s="37"/>
      <c r="X629" s="36" t="str">
        <f>IF(NOTA[[#This Row],[HARGA/ CTN]]="",NOTA[[#This Row],[JUMLAH_H]],NOTA[[#This Row],[HARGA/ CTN]]*IF(NOTA[[#This Row],[C]]="",0,NOTA[[#This Row],[C]]))</f>
        <v/>
      </c>
      <c r="Y629" s="36" t="str">
        <f>IF(NOTA[[#This Row],[JUMLAH]]="","",NOTA[[#This Row],[JUMLAH]]*NOTA[[#This Row],[DISC 1]])</f>
        <v/>
      </c>
      <c r="Z629" s="36" t="str">
        <f>IF(NOTA[[#This Row],[JUMLAH]]="","",(NOTA[[#This Row],[JUMLAH]]-NOTA[[#This Row],[DISC 1-]])*NOTA[[#This Row],[DISC 2]])</f>
        <v/>
      </c>
      <c r="AA629" s="36" t="str">
        <f>IF(NOTA[[#This Row],[JUMLAH]]="","",NOTA[[#This Row],[DISC 1-]]+NOTA[[#This Row],[DISC 2-]])</f>
        <v/>
      </c>
      <c r="AB629" s="36" t="str">
        <f>IF(NOTA[[#This Row],[JUMLAH]]="","",NOTA[[#This Row],[JUMLAH]]-NOTA[[#This Row],[DISC]])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36" t="str">
        <f>IF(OR(NOTA[[#This Row],[QTY]]="",NOTA[[#This Row],[HARGA SATUAN]]="",),"",NOTA[[#This Row],[QTY]]*NOTA[[#This Row],[HARGA SATUAN]])</f>
        <v/>
      </c>
      <c r="AG629" s="33" t="str">
        <f ca="1">IF(NOTA[ID_H]="","",INDEX(NOTA[TANGGAL],MATCH(,INDIRECT(ADDRESS(ROW(NOTA[TANGGAL]),COLUMN(NOTA[TANGGAL]))&amp;":"&amp;ADDRESS(ROW(),COLUMN(NOTA[TANGGAL]))),-1)))</f>
        <v/>
      </c>
      <c r="AH629" s="28" t="str">
        <f ca="1">IF(NOTA[[#This Row],[NAMA BARANG]]="","",INDEX(NOTA[SUPPLIER],MATCH(,INDIRECT(ADDRESS(ROW(NOTA[ID]),COLUMN(NOTA[ID]))&amp;":"&amp;ADDRESS(ROW(),COLUMN(NOTA[ID]))),-1)))</f>
        <v/>
      </c>
      <c r="AI629" s="28" t="str">
        <f ca="1">IF(NOTA[[#This Row],[ID_H]]="","",IF(NOTA[[#This Row],[FAKTUR]]="",INDIRECT(ADDRESS(ROW()-1,COLUMN())),NOTA[[#This Row],[FAKTUR]]))</f>
        <v/>
      </c>
      <c r="AJ629" s="38" t="str">
        <f ca="1">IF(NOTA[[#This Row],[ID]]="","",COUNTIF(NOTA[ID_H],NOTA[[#This Row],[ID_H]]))</f>
        <v/>
      </c>
      <c r="AK629" s="38" t="str">
        <f ca="1">IF(NOTA[[#This Row],[TGL.NOTA]]="",IF(NOTA[[#This Row],[SUPPLIER_H]]="","",AK628),MONTH(NOTA[[#This Row],[TGL.NOTA]]))</f>
        <v/>
      </c>
      <c r="AL629" s="38" t="str">
        <f>LOWER(SUBSTITUTE(SUBSTITUTE(SUBSTITUTE(SUBSTITUTE(SUBSTITUTE(SUBSTITUTE(SUBSTITUTE(SUBSTITUTE(SUBSTITUTE(NOTA[NAMA BARANG]," ",),".",""),"-",""),"(",""),")",""),",",""),"/",""),"""",""),"+",""))</f>
        <v/>
      </c>
      <c r="AM629" s="38" t="str">
        <f>IF(NOTA[C]="",NOTA[[#This Row],[CONCAT1]]&amp;NOTA[[#This Row],[HARGA SATUAN]],NOTA[[#This Row],[CONCAT1]]&amp;NOTA[[#This Row],[HARGA/ CTN_H]]&amp;NOTA[[#This Row],[DISC 1]]&amp;NOTA[[#This Row],[DISC 2]])</f>
        <v/>
      </c>
      <c r="AN629" s="184" t="str">
        <f>IF(NOTA[[#This Row],[CONCAT1]]="","",MATCH(NOTA[[#This Row],[CONCAT1]],[1]!db[NB NOTA_C],0)+1)</f>
        <v/>
      </c>
    </row>
    <row r="630" spans="1:40" ht="20.100000000000001" customHeight="1" x14ac:dyDescent="0.25">
      <c r="A630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SDI_2101_430-1</v>
      </c>
      <c r="C630" s="29" t="str">
        <f>IF(NOTA[[#This Row],[CEK_EXP]]&lt;D629,"err","")</f>
        <v/>
      </c>
      <c r="D630" s="29">
        <f>IF(NOTA[[#This Row],[TANGGAL]]="",D629,NOTA[[#This Row],[TANGGAL]])</f>
        <v>44947</v>
      </c>
      <c r="E630" s="29">
        <f ca="1">IF(NOTA[[#This Row],[NAMA BARANG]]="","",INDEX(NOTA[ID],MATCH(,INDIRECT(ADDRESS(ROW(NOTA[ID]),COLUMN(NOTA[ID]))&amp;":"&amp;ADDRESS(ROW(),COLUMN(NOTA[ID]))),-1)))</f>
        <v>122</v>
      </c>
      <c r="F630" s="23"/>
      <c r="G630" s="26" t="s">
        <v>73</v>
      </c>
      <c r="H630" s="26" t="s">
        <v>24</v>
      </c>
      <c r="I630" s="31" t="s">
        <v>774</v>
      </c>
      <c r="J630" s="26"/>
      <c r="K630" s="33">
        <v>44945</v>
      </c>
      <c r="L630" s="32"/>
      <c r="M630" s="26" t="s">
        <v>775</v>
      </c>
      <c r="N630" s="34">
        <v>3</v>
      </c>
      <c r="O630" s="32">
        <v>1500</v>
      </c>
      <c r="P630" s="26" t="s">
        <v>131</v>
      </c>
      <c r="Q630" s="28">
        <v>3036.04</v>
      </c>
      <c r="R630" s="191"/>
      <c r="S630" s="39" t="s">
        <v>479</v>
      </c>
      <c r="T630" s="35">
        <v>0.17499999999999999</v>
      </c>
      <c r="U630" s="35"/>
      <c r="V630" s="36">
        <v>112712.84</v>
      </c>
      <c r="W630" s="37"/>
      <c r="X630" s="36">
        <f>IF(NOTA[[#This Row],[HARGA/ CTN]]="",NOTA[[#This Row],[JUMLAH_H]],NOTA[[#This Row],[HARGA/ CTN]]*IF(NOTA[[#This Row],[C]]="",0,NOTA[[#This Row],[C]]))</f>
        <v>4554060</v>
      </c>
      <c r="Y630" s="36">
        <f>IF(NOTA[[#This Row],[JUMLAH]]="","",NOTA[[#This Row],[JUMLAH]]*NOTA[[#This Row],[DISC 1]])</f>
        <v>796960.5</v>
      </c>
      <c r="Z630" s="36">
        <f>IF(NOTA[[#This Row],[JUMLAH]]="","",(NOTA[[#This Row],[JUMLAH]]-NOTA[[#This Row],[DISC 1-]])*NOTA[[#This Row],[DISC 2]])</f>
        <v>0</v>
      </c>
      <c r="AA630" s="36">
        <f>IF(NOTA[[#This Row],[JUMLAH]]="","",NOTA[[#This Row],[DISC 1-]]+NOTA[[#This Row],[DISC 2-]])</f>
        <v>796960.5</v>
      </c>
      <c r="AB630" s="36">
        <f>IF(NOTA[[#This Row],[JUMLAH]]="","",NOTA[[#This Row],[JUMLAH]]-NOTA[[#This Row],[DISC]])</f>
        <v>3757099.5</v>
      </c>
      <c r="AC6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909673.34</v>
      </c>
      <c r="AD6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3644386.66</v>
      </c>
      <c r="AE630" s="28">
        <f>IF(NOTA[[#This Row],[NAMA BARANG]]="","",IF(NOTA[[#This Row],[JUMLAH_H]]="",NOTA[[#This Row],[HARGA/ CTN]],NOTA[[#This Row],[QTY]]*NOTA[[#This Row],[HARGA SATUAN]]/IF(ISNUMBER(NOTA[[#This Row],[C]]),NOTA[[#This Row],[C]],1)))</f>
        <v>1518020</v>
      </c>
      <c r="AF630" s="36">
        <f>IF(OR(NOTA[[#This Row],[QTY]]="",NOTA[[#This Row],[HARGA SATUAN]]="",),"",NOTA[[#This Row],[QTY]]*NOTA[[#This Row],[HARGA SATUAN]])</f>
        <v>4554060</v>
      </c>
      <c r="AG630" s="33">
        <f ca="1">IF(NOTA[ID_H]="","",INDEX(NOTA[TANGGAL],MATCH(,INDIRECT(ADDRESS(ROW(NOTA[TANGGAL]),COLUMN(NOTA[TANGGAL]))&amp;":"&amp;ADDRESS(ROW(),COLUMN(NOTA[TANGGAL]))),-1)))</f>
        <v>44947</v>
      </c>
      <c r="AH630" s="28" t="str">
        <f ca="1">IF(NOTA[[#This Row],[NAMA BARANG]]="","",INDEX(NOTA[SUPPLIER],MATCH(,INDIRECT(ADDRESS(ROW(NOTA[ID]),COLUMN(NOTA[ID]))&amp;":"&amp;ADDRESS(ROW(),COLUMN(NOTA[ID]))),-1)))</f>
        <v>SDI</v>
      </c>
      <c r="AI630" s="28" t="str">
        <f ca="1">IF(NOTA[[#This Row],[ID_H]]="","",IF(NOTA[[#This Row],[FAKTUR]]="",INDIRECT(ADDRESS(ROW()-1,COLUMN())),NOTA[[#This Row],[FAKTUR]]))</f>
        <v>ARTO MORO</v>
      </c>
      <c r="AJ630" s="38">
        <f ca="1">IF(NOTA[[#This Row],[ID]]="","",COUNTIF(NOTA[ID_H],NOTA[[#This Row],[ID_H]]))</f>
        <v>1</v>
      </c>
      <c r="AK630" s="38">
        <f>IF(NOTA[[#This Row],[TGL.NOTA]]="",IF(NOTA[[#This Row],[SUPPLIER_H]]="","",AK629),MONTH(NOTA[[#This Row],[TGL.NOTA]]))</f>
        <v>1</v>
      </c>
      <c r="AL630" s="38" t="str">
        <f>LOWER(SUBSTITUTE(SUBSTITUTE(SUBSTITUTE(SUBSTITUTE(SUBSTITUTE(SUBSTITUTE(SUBSTITUTE(SUBSTITUTE(SUBSTITUTE(NOTA[NAMA BARANG]," ",),".",""),"-",""),"(",""),")",""),",",""),"/",""),"""",""),"+",""))</f>
        <v>sdistaples1204no3</v>
      </c>
      <c r="AM630" s="38" t="str">
        <f>IF(NOTA[C]="",NOTA[[#This Row],[CONCAT1]]&amp;NOTA[[#This Row],[HARGA SATUAN]],NOTA[[#This Row],[CONCAT1]]&amp;NOTA[[#This Row],[HARGA/ CTN_H]]&amp;NOTA[[#This Row],[DISC 1]]&amp;NOTA[[#This Row],[DISC 2]])</f>
        <v>sdistaples1204no315180200.175</v>
      </c>
      <c r="AN630" s="184">
        <f>IF(NOTA[[#This Row],[CONCAT1]]="","",MATCH(NOTA[[#This Row],[CONCAT1]],[1]!db[NB NOTA_C],0)+1)</f>
        <v>1933</v>
      </c>
    </row>
    <row r="631" spans="1:40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Row],[CEK_EXP]]&lt;D630,"err","")</f>
        <v/>
      </c>
      <c r="D631" s="29">
        <f>IF(NOTA[[#This Row],[TANGGAL]]="",D630,NOTA[[#This Row],[TANGGAL]])</f>
        <v>44947</v>
      </c>
      <c r="E631" s="29" t="str">
        <f ca="1">IF(NOTA[[#This Row],[NAMA BARANG]]="","",INDEX(NOTA[ID],MATCH(,INDIRECT(ADDRESS(ROW(NOTA[ID]),COLUMN(NOTA[ID]))&amp;":"&amp;ADDRESS(ROW(),COLUMN(NOTA[ID]))),-1)))</f>
        <v/>
      </c>
      <c r="F631" s="30"/>
      <c r="G631" s="32"/>
      <c r="H631" s="32"/>
      <c r="I631" s="55"/>
      <c r="J631" s="32"/>
      <c r="K631" s="33"/>
      <c r="L631" s="32"/>
      <c r="M631" s="26"/>
      <c r="N631" s="34"/>
      <c r="O631" s="32"/>
      <c r="P631" s="26"/>
      <c r="Q631" s="28"/>
      <c r="R631" s="46"/>
      <c r="S631" s="39"/>
      <c r="T631" s="35"/>
      <c r="U631" s="35"/>
      <c r="V631" s="36"/>
      <c r="W631" s="37"/>
      <c r="X631" s="36" t="str">
        <f>IF(NOTA[[#This Row],[HARGA/ CTN]]="",NOTA[[#This Row],[JUMLAH_H]],NOTA[[#This Row],[HARGA/ CTN]]*IF(NOTA[[#This Row],[C]]="",0,NOTA[[#This Row],[C]]))</f>
        <v/>
      </c>
      <c r="Y631" s="36" t="str">
        <f>IF(NOTA[[#This Row],[JUMLAH]]="","",NOTA[[#This Row],[JUMLAH]]*NOTA[[#This Row],[DISC 1]])</f>
        <v/>
      </c>
      <c r="Z631" s="36" t="str">
        <f>IF(NOTA[[#This Row],[JUMLAH]]="","",(NOTA[[#This Row],[JUMLAH]]-NOTA[[#This Row],[DISC 1-]])*NOTA[[#This Row],[DISC 2]])</f>
        <v/>
      </c>
      <c r="AA631" s="36" t="str">
        <f>IF(NOTA[[#This Row],[JUMLAH]]="","",NOTA[[#This Row],[DISC 1-]]+NOTA[[#This Row],[DISC 2-]])</f>
        <v/>
      </c>
      <c r="AB631" s="36" t="str">
        <f>IF(NOTA[[#This Row],[JUMLAH]]="","",NOTA[[#This Row],[JUMLAH]]-NOTA[[#This Row],[DISC]])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36" t="str">
        <f>IF(OR(NOTA[[#This Row],[QTY]]="",NOTA[[#This Row],[HARGA SATUAN]]="",),"",NOTA[[#This Row],[QTY]]*NOTA[[#This Row],[HARGA SATUAN]])</f>
        <v/>
      </c>
      <c r="AG631" s="33" t="str">
        <f ca="1">IF(NOTA[ID_H]="","",INDEX(NOTA[TANGGAL],MATCH(,INDIRECT(ADDRESS(ROW(NOTA[TANGGAL]),COLUMN(NOTA[TANGGAL]))&amp;":"&amp;ADDRESS(ROW(),COLUMN(NOTA[TANGGAL]))),-1)))</f>
        <v/>
      </c>
      <c r="AH631" s="28" t="str">
        <f ca="1">IF(NOTA[[#This Row],[NAMA BARANG]]="","",INDEX(NOTA[SUPPLIER],MATCH(,INDIRECT(ADDRESS(ROW(NOTA[ID]),COLUMN(NOTA[ID]))&amp;":"&amp;ADDRESS(ROW(),COLUMN(NOTA[ID]))),-1)))</f>
        <v/>
      </c>
      <c r="AI631" s="28" t="str">
        <f ca="1">IF(NOTA[[#This Row],[ID_H]]="","",IF(NOTA[[#This Row],[FAKTUR]]="",INDIRECT(ADDRESS(ROW()-1,COLUMN())),NOTA[[#This Row],[FAKTUR]]))</f>
        <v/>
      </c>
      <c r="AJ631" s="38" t="str">
        <f ca="1">IF(NOTA[[#This Row],[ID]]="","",COUNTIF(NOTA[ID_H],NOTA[[#This Row],[ID_H]]))</f>
        <v/>
      </c>
      <c r="AK631" s="38" t="str">
        <f ca="1">IF(NOTA[[#This Row],[TGL.NOTA]]="",IF(NOTA[[#This Row],[SUPPLIER_H]]="","",AK630),MONTH(NOTA[[#This Row],[TGL.NOTA]]))</f>
        <v/>
      </c>
      <c r="AL631" s="38" t="str">
        <f>LOWER(SUBSTITUTE(SUBSTITUTE(SUBSTITUTE(SUBSTITUTE(SUBSTITUTE(SUBSTITUTE(SUBSTITUTE(SUBSTITUTE(SUBSTITUTE(NOTA[NAMA BARANG]," ",),".",""),"-",""),"(",""),")",""),",",""),"/",""),"""",""),"+",""))</f>
        <v/>
      </c>
      <c r="AM631" s="38" t="str">
        <f>IF(NOTA[C]="",NOTA[[#This Row],[CONCAT1]]&amp;NOTA[[#This Row],[HARGA SATUAN]],NOTA[[#This Row],[CONCAT1]]&amp;NOTA[[#This Row],[HARGA/ CTN_H]]&amp;NOTA[[#This Row],[DISC 1]]&amp;NOTA[[#This Row],[DISC 2]])</f>
        <v/>
      </c>
      <c r="AN631" s="184" t="str">
        <f>IF(NOTA[[#This Row],[CONCAT1]]="","",MATCH(NOTA[[#This Row],[CONCAT1]],[1]!db[NB NOTA_C],0)+1)</f>
        <v/>
      </c>
    </row>
    <row r="632" spans="1:40" s="48" customFormat="1" ht="20.100000000000001" customHeight="1" x14ac:dyDescent="0.25">
      <c r="A632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3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ATA_2101_066-8</v>
      </c>
      <c r="C632" s="29" t="str">
        <f>IF(NOTA[[#This Row],[CEK_EXP]]&lt;D631,"err","")</f>
        <v/>
      </c>
      <c r="D632" s="29">
        <f>IF(NOTA[[#This Row],[TANGGAL]]="",D631,NOTA[[#This Row],[TANGGAL]])</f>
        <v>44947</v>
      </c>
      <c r="E632" s="29">
        <f ca="1">IF(NOTA[[#This Row],[NAMA BARANG]]="","",INDEX(NOTA[ID],MATCH(,INDIRECT(ADDRESS(ROW(NOTA[ID]),COLUMN(NOTA[ID]))&amp;":"&amp;ADDRESS(ROW(),COLUMN(NOTA[ID]))),-1)))</f>
        <v>123</v>
      </c>
      <c r="F632" s="30"/>
      <c r="G632" s="26" t="s">
        <v>25</v>
      </c>
      <c r="H632" s="26" t="s">
        <v>24</v>
      </c>
      <c r="I632" s="31" t="s">
        <v>776</v>
      </c>
      <c r="J632" s="32"/>
      <c r="K632" s="33">
        <v>44944</v>
      </c>
      <c r="L632" s="32"/>
      <c r="M632" s="26" t="s">
        <v>777</v>
      </c>
      <c r="N632" s="34">
        <v>1</v>
      </c>
      <c r="O632" s="32">
        <v>144</v>
      </c>
      <c r="P632" s="26" t="s">
        <v>128</v>
      </c>
      <c r="Q632" s="28">
        <v>10600</v>
      </c>
      <c r="R632" s="46"/>
      <c r="S632" s="39" t="s">
        <v>264</v>
      </c>
      <c r="T632" s="35">
        <v>0.125</v>
      </c>
      <c r="U632" s="35">
        <v>0.05</v>
      </c>
      <c r="V632" s="36"/>
      <c r="W632" s="37"/>
      <c r="X632" s="36">
        <f>IF(NOTA[[#This Row],[HARGA/ CTN]]="",NOTA[[#This Row],[JUMLAH_H]],NOTA[[#This Row],[HARGA/ CTN]]*IF(NOTA[[#This Row],[C]]="",0,NOTA[[#This Row],[C]]))</f>
        <v>1526400</v>
      </c>
      <c r="Y632" s="36">
        <f>IF(NOTA[[#This Row],[JUMLAH]]="","",NOTA[[#This Row],[JUMLAH]]*NOTA[[#This Row],[DISC 1]])</f>
        <v>190800</v>
      </c>
      <c r="Z632" s="36">
        <f>IF(NOTA[[#This Row],[JUMLAH]]="","",(NOTA[[#This Row],[JUMLAH]]-NOTA[[#This Row],[DISC 1-]])*NOTA[[#This Row],[DISC 2]])</f>
        <v>66780</v>
      </c>
      <c r="AA632" s="36">
        <f>IF(NOTA[[#This Row],[JUMLAH]]="","",NOTA[[#This Row],[DISC 1-]]+NOTA[[#This Row],[DISC 2-]])</f>
        <v>257580</v>
      </c>
      <c r="AB632" s="36">
        <f>IF(NOTA[[#This Row],[JUMLAH]]="","",NOTA[[#This Row],[JUMLAH]]-NOTA[[#This Row],[DISC]])</f>
        <v>1268820</v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32" s="36">
        <f>IF(OR(NOTA[[#This Row],[QTY]]="",NOTA[[#This Row],[HARGA SATUAN]]="",),"",NOTA[[#This Row],[QTY]]*NOTA[[#This Row],[HARGA SATUAN]])</f>
        <v>1526400</v>
      </c>
      <c r="AG632" s="33">
        <f ca="1">IF(NOTA[ID_H]="","",INDEX(NOTA[TANGGAL],MATCH(,INDIRECT(ADDRESS(ROW(NOTA[TANGGAL]),COLUMN(NOTA[TANGGAL]))&amp;":"&amp;ADDRESS(ROW(),COLUMN(NOTA[TANGGAL]))),-1)))</f>
        <v>44947</v>
      </c>
      <c r="AH632" s="28" t="str">
        <f ca="1">IF(NOTA[[#This Row],[NAMA BARANG]]="","",INDEX(NOTA[SUPPLIER],MATCH(,INDIRECT(ADDRESS(ROW(NOTA[ID]),COLUMN(NOTA[ID]))&amp;":"&amp;ADDRESS(ROW(),COLUMN(NOTA[ID]))),-1)))</f>
        <v>ATALI MAKMUR</v>
      </c>
      <c r="AI632" s="28" t="str">
        <f ca="1">IF(NOTA[[#This Row],[ID_H]]="","",IF(NOTA[[#This Row],[FAKTUR]]="",INDIRECT(ADDRESS(ROW()-1,COLUMN())),NOTA[[#This Row],[FAKTUR]]))</f>
        <v>ARTO MORO</v>
      </c>
      <c r="AJ632" s="38">
        <f ca="1">IF(NOTA[[#This Row],[ID]]="","",COUNTIF(NOTA[ID_H],NOTA[[#This Row],[ID_H]]))</f>
        <v>8</v>
      </c>
      <c r="AK632" s="38">
        <f>IF(NOTA[[#This Row],[TGL.NOTA]]="",IF(NOTA[[#This Row],[SUPPLIER_H]]="","",AK631),MONTH(NOTA[[#This Row],[TGL.NOTA]]))</f>
        <v>1</v>
      </c>
      <c r="AL6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32" s="38" t="str">
        <f>IF(NOTA[C]="",NOTA[[#This Row],[CONCAT1]]&amp;NOTA[[#This Row],[HARGA SATUAN]],NOTA[[#This Row],[CONCAT1]]&amp;NOTA[[#This Row],[HARGA/ CTN_H]]&amp;NOTA[[#This Row],[DISC 1]]&amp;NOTA[[#This Row],[DISC 2]])</f>
        <v>colorpencilcp12pbjk15264000.1250.05</v>
      </c>
      <c r="AN632" s="184">
        <f>IF(NOTA[[#This Row],[CONCAT1]]="","",MATCH(NOTA[[#This Row],[CONCAT1]],[1]!db[NB NOTA_C],0)+1)</f>
        <v>488</v>
      </c>
    </row>
    <row r="633" spans="1:40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Row],[CEK_EXP]]&lt;D632,"err","")</f>
        <v/>
      </c>
      <c r="D633" s="29">
        <f>IF(NOTA[[#This Row],[TANGGAL]]="",D632,NOTA[[#This Row],[TANGGAL]])</f>
        <v>44947</v>
      </c>
      <c r="E633" s="29">
        <f ca="1">IF(NOTA[[#This Row],[NAMA BARANG]]="","",INDEX(NOTA[ID],MATCH(,INDIRECT(ADDRESS(ROW(NOTA[ID]),COLUMN(NOTA[ID]))&amp;":"&amp;ADDRESS(ROW(),COLUMN(NOTA[ID]))),-1)))</f>
        <v>123</v>
      </c>
      <c r="F633" s="30"/>
      <c r="G633" s="32"/>
      <c r="H633" s="32"/>
      <c r="I633" s="55"/>
      <c r="J633" s="32"/>
      <c r="K633" s="33"/>
      <c r="L633" s="32"/>
      <c r="M633" s="26" t="s">
        <v>429</v>
      </c>
      <c r="N633" s="34">
        <v>2</v>
      </c>
      <c r="O633" s="32">
        <v>288</v>
      </c>
      <c r="P633" s="26" t="s">
        <v>128</v>
      </c>
      <c r="Q633" s="28">
        <v>23900</v>
      </c>
      <c r="R633" s="46"/>
      <c r="S633" s="39" t="s">
        <v>264</v>
      </c>
      <c r="T633" s="35">
        <v>0.125</v>
      </c>
      <c r="U633" s="35">
        <v>0.05</v>
      </c>
      <c r="V633" s="36"/>
      <c r="W633" s="37"/>
      <c r="X633" s="36">
        <f>IF(NOTA[[#This Row],[HARGA/ CTN]]="",NOTA[[#This Row],[JUMLAH_H]],NOTA[[#This Row],[HARGA/ CTN]]*IF(NOTA[[#This Row],[C]]="",0,NOTA[[#This Row],[C]]))</f>
        <v>6883200</v>
      </c>
      <c r="Y633" s="36">
        <f>IF(NOTA[[#This Row],[JUMLAH]]="","",NOTA[[#This Row],[JUMLAH]]*NOTA[[#This Row],[DISC 1]])</f>
        <v>860400</v>
      </c>
      <c r="Z633" s="36">
        <f>IF(NOTA[[#This Row],[JUMLAH]]="","",(NOTA[[#This Row],[JUMLAH]]-NOTA[[#This Row],[DISC 1-]])*NOTA[[#This Row],[DISC 2]])</f>
        <v>301140</v>
      </c>
      <c r="AA633" s="36">
        <f>IF(NOTA[[#This Row],[JUMLAH]]="","",NOTA[[#This Row],[DISC 1-]]+NOTA[[#This Row],[DISC 2-]])</f>
        <v>1161540</v>
      </c>
      <c r="AB633" s="36">
        <f>IF(NOTA[[#This Row],[JUMLAH]]="","",NOTA[[#This Row],[JUMLAH]]-NOTA[[#This Row],[DISC]])</f>
        <v>5721660</v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28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633" s="36">
        <f>IF(OR(NOTA[[#This Row],[QTY]]="",NOTA[[#This Row],[HARGA SATUAN]]="",),"",NOTA[[#This Row],[QTY]]*NOTA[[#This Row],[HARGA SATUAN]])</f>
        <v>6883200</v>
      </c>
      <c r="AG633" s="33">
        <f ca="1">IF(NOTA[ID_H]="","",INDEX(NOTA[TANGGAL],MATCH(,INDIRECT(ADDRESS(ROW(NOTA[TANGGAL]),COLUMN(NOTA[TANGGAL]))&amp;":"&amp;ADDRESS(ROW(),COLUMN(NOTA[TANGGAL]))),-1)))</f>
        <v>44947</v>
      </c>
      <c r="AH633" s="28" t="str">
        <f ca="1">IF(NOTA[[#This Row],[NAMA BARANG]]="","",INDEX(NOTA[SUPPLIER],MATCH(,INDIRECT(ADDRESS(ROW(NOTA[ID]),COLUMN(NOTA[ID]))&amp;":"&amp;ADDRESS(ROW(),COLUMN(NOTA[ID]))),-1)))</f>
        <v>ATALI MAKMUR</v>
      </c>
      <c r="AI633" s="28" t="str">
        <f ca="1">IF(NOTA[[#This Row],[ID_H]]="","",IF(NOTA[[#This Row],[FAKTUR]]="",INDIRECT(ADDRESS(ROW()-1,COLUMN())),NOTA[[#This Row],[FAKTUR]]))</f>
        <v>ARTO MORO</v>
      </c>
      <c r="AJ633" s="38" t="str">
        <f ca="1">IF(NOTA[[#This Row],[ID]]="","",COUNTIF(NOTA[ID_H],NOTA[[#This Row],[ID_H]]))</f>
        <v/>
      </c>
      <c r="AK633" s="38">
        <f ca="1">IF(NOTA[[#This Row],[TGL.NOTA]]="",IF(NOTA[[#This Row],[SUPPLIER_H]]="","",AK632),MONTH(NOTA[[#This Row],[TGL.NOTA]]))</f>
        <v>1</v>
      </c>
      <c r="AL63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633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N633" s="184">
        <f>IF(NOTA[[#This Row],[CONCAT1]]="","",MATCH(NOTA[[#This Row],[CONCAT1]],[1]!db[NB NOTA_C],0)+1)</f>
        <v>553</v>
      </c>
    </row>
    <row r="634" spans="1:40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Row],[CEK_EXP]]&lt;D633,"err","")</f>
        <v/>
      </c>
      <c r="D634" s="29">
        <f>IF(NOTA[[#This Row],[TANGGAL]]="",D633,NOTA[[#This Row],[TANGGAL]])</f>
        <v>44947</v>
      </c>
      <c r="E634" s="29">
        <f ca="1">IF(NOTA[[#This Row],[NAMA BARANG]]="","",INDEX(NOTA[ID],MATCH(,INDIRECT(ADDRESS(ROW(NOTA[ID]),COLUMN(NOTA[ID]))&amp;":"&amp;ADDRESS(ROW(),COLUMN(NOTA[ID]))),-1)))</f>
        <v>123</v>
      </c>
      <c r="F634" s="30"/>
      <c r="G634" s="26"/>
      <c r="H634" s="26"/>
      <c r="I634" s="31"/>
      <c r="J634" s="26"/>
      <c r="K634" s="33"/>
      <c r="L634" s="26"/>
      <c r="M634" s="26" t="s">
        <v>675</v>
      </c>
      <c r="N634" s="34">
        <v>1</v>
      </c>
      <c r="O634" s="32">
        <v>144</v>
      </c>
      <c r="P634" s="26" t="s">
        <v>128</v>
      </c>
      <c r="Q634" s="28">
        <v>18600</v>
      </c>
      <c r="R634" s="46"/>
      <c r="S634" s="39" t="s">
        <v>264</v>
      </c>
      <c r="T634" s="35">
        <v>0.125</v>
      </c>
      <c r="U634" s="35">
        <v>0.05</v>
      </c>
      <c r="V634" s="36"/>
      <c r="W634" s="37"/>
      <c r="X634" s="36">
        <f>IF(NOTA[[#This Row],[HARGA/ CTN]]="",NOTA[[#This Row],[JUMLAH_H]],NOTA[[#This Row],[HARGA/ CTN]]*IF(NOTA[[#This Row],[C]]="",0,NOTA[[#This Row],[C]]))</f>
        <v>2678400</v>
      </c>
      <c r="Y634" s="36">
        <f>IF(NOTA[[#This Row],[JUMLAH]]="","",NOTA[[#This Row],[JUMLAH]]*NOTA[[#This Row],[DISC 1]])</f>
        <v>334800</v>
      </c>
      <c r="Z634" s="36">
        <f>IF(NOTA[[#This Row],[JUMLAH]]="","",(NOTA[[#This Row],[JUMLAH]]-NOTA[[#This Row],[DISC 1-]])*NOTA[[#This Row],[DISC 2]])</f>
        <v>117180</v>
      </c>
      <c r="AA634" s="36">
        <f>IF(NOTA[[#This Row],[JUMLAH]]="","",NOTA[[#This Row],[DISC 1-]]+NOTA[[#This Row],[DISC 2-]])</f>
        <v>451980</v>
      </c>
      <c r="AB634" s="36">
        <f>IF(NOTA[[#This Row],[JUMLAH]]="","",NOTA[[#This Row],[JUMLAH]]-NOTA[[#This Row],[DISC]])</f>
        <v>2226420</v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34" s="36">
        <f>IF(OR(NOTA[[#This Row],[QTY]]="",NOTA[[#This Row],[HARGA SATUAN]]="",),"",NOTA[[#This Row],[QTY]]*NOTA[[#This Row],[HARGA SATUAN]])</f>
        <v>2678400</v>
      </c>
      <c r="AG634" s="33">
        <f ca="1">IF(NOTA[ID_H]="","",INDEX(NOTA[TANGGAL],MATCH(,INDIRECT(ADDRESS(ROW(NOTA[TANGGAL]),COLUMN(NOTA[TANGGAL]))&amp;":"&amp;ADDRESS(ROW(),COLUMN(NOTA[TANGGAL]))),-1)))</f>
        <v>44947</v>
      </c>
      <c r="AH634" s="28" t="str">
        <f ca="1">IF(NOTA[[#This Row],[NAMA BARANG]]="","",INDEX(NOTA[SUPPLIER],MATCH(,INDIRECT(ADDRESS(ROW(NOTA[ID]),COLUMN(NOTA[ID]))&amp;":"&amp;ADDRESS(ROW(),COLUMN(NOTA[ID]))),-1)))</f>
        <v>ATALI MAKMUR</v>
      </c>
      <c r="AI634" s="28" t="str">
        <f ca="1">IF(NOTA[[#This Row],[ID_H]]="","",IF(NOTA[[#This Row],[FAKTUR]]="",INDIRECT(ADDRESS(ROW()-1,COLUMN())),NOTA[[#This Row],[FAKTUR]]))</f>
        <v>ARTO MORO</v>
      </c>
      <c r="AJ634" s="38" t="str">
        <f ca="1">IF(NOTA[[#This Row],[ID]]="","",COUNTIF(NOTA[ID_H],NOTA[[#This Row],[ID_H]]))</f>
        <v/>
      </c>
      <c r="AK634" s="38">
        <f ca="1">IF(NOTA[[#This Row],[TGL.NOTA]]="",IF(NOTA[[#This Row],[SUPPLIER_H]]="","",AK633),MONTH(NOTA[[#This Row],[TGL.NOTA]]))</f>
        <v>1</v>
      </c>
      <c r="AL63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34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N634" s="184">
        <f>IF(NOTA[[#This Row],[CONCAT1]]="","",MATCH(NOTA[[#This Row],[CONCAT1]],[1]!db[NB NOTA_C],0)+1)</f>
        <v>552</v>
      </c>
    </row>
    <row r="635" spans="1:40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Row],[CEK_EXP]]&lt;D634,"err","")</f>
        <v/>
      </c>
      <c r="D635" s="29">
        <f>IF(NOTA[[#This Row],[TANGGAL]]="",D634,NOTA[[#This Row],[TANGGAL]])</f>
        <v>44947</v>
      </c>
      <c r="E635" s="29">
        <f ca="1">IF(NOTA[[#This Row],[NAMA BARANG]]="","",INDEX(NOTA[ID],MATCH(,INDIRECT(ADDRESS(ROW(NOTA[ID]),COLUMN(NOTA[ID]))&amp;":"&amp;ADDRESS(ROW(),COLUMN(NOTA[ID]))),-1)))</f>
        <v>123</v>
      </c>
      <c r="F635" s="30"/>
      <c r="G635" s="32"/>
      <c r="H635" s="32"/>
      <c r="I635" s="55"/>
      <c r="J635" s="32"/>
      <c r="K635" s="33"/>
      <c r="L635" s="32"/>
      <c r="M635" s="26" t="s">
        <v>676</v>
      </c>
      <c r="N635" s="34">
        <v>10</v>
      </c>
      <c r="O635" s="32">
        <v>1440</v>
      </c>
      <c r="P635" s="26" t="s">
        <v>128</v>
      </c>
      <c r="Q635" s="28">
        <v>11900</v>
      </c>
      <c r="R635" s="46"/>
      <c r="S635" s="39" t="s">
        <v>264</v>
      </c>
      <c r="T635" s="35">
        <v>0.125</v>
      </c>
      <c r="U635" s="35">
        <v>0.05</v>
      </c>
      <c r="V635" s="36"/>
      <c r="W635" s="37"/>
      <c r="X635" s="36">
        <f>IF(NOTA[[#This Row],[HARGA/ CTN]]="",NOTA[[#This Row],[JUMLAH_H]],NOTA[[#This Row],[HARGA/ CTN]]*IF(NOTA[[#This Row],[C]]="",0,NOTA[[#This Row],[C]]))</f>
        <v>17136000</v>
      </c>
      <c r="Y635" s="36">
        <f>IF(NOTA[[#This Row],[JUMLAH]]="","",NOTA[[#This Row],[JUMLAH]]*NOTA[[#This Row],[DISC 1]])</f>
        <v>2142000</v>
      </c>
      <c r="Z635" s="36">
        <f>IF(NOTA[[#This Row],[JUMLAH]]="","",(NOTA[[#This Row],[JUMLAH]]-NOTA[[#This Row],[DISC 1-]])*NOTA[[#This Row],[DISC 2]])</f>
        <v>749700</v>
      </c>
      <c r="AA635" s="36">
        <f>IF(NOTA[[#This Row],[JUMLAH]]="","",NOTA[[#This Row],[DISC 1-]]+NOTA[[#This Row],[DISC 2-]])</f>
        <v>2891700</v>
      </c>
      <c r="AB635" s="36">
        <f>IF(NOTA[[#This Row],[JUMLAH]]="","",NOTA[[#This Row],[JUMLAH]]-NOTA[[#This Row],[DISC]])</f>
        <v>14244300</v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35" s="36">
        <f>IF(OR(NOTA[[#This Row],[QTY]]="",NOTA[[#This Row],[HARGA SATUAN]]="",),"",NOTA[[#This Row],[QTY]]*NOTA[[#This Row],[HARGA SATUAN]])</f>
        <v>17136000</v>
      </c>
      <c r="AG635" s="33">
        <f ca="1">IF(NOTA[ID_H]="","",INDEX(NOTA[TANGGAL],MATCH(,INDIRECT(ADDRESS(ROW(NOTA[TANGGAL]),COLUMN(NOTA[TANGGAL]))&amp;":"&amp;ADDRESS(ROW(),COLUMN(NOTA[TANGGAL]))),-1)))</f>
        <v>44947</v>
      </c>
      <c r="AH635" s="28" t="str">
        <f ca="1">IF(NOTA[[#This Row],[NAMA BARANG]]="","",INDEX(NOTA[SUPPLIER],MATCH(,INDIRECT(ADDRESS(ROW(NOTA[ID]),COLUMN(NOTA[ID]))&amp;":"&amp;ADDRESS(ROW(),COLUMN(NOTA[ID]))),-1)))</f>
        <v>ATALI MAKMUR</v>
      </c>
      <c r="AI635" s="28" t="str">
        <f ca="1">IF(NOTA[[#This Row],[ID_H]]="","",IF(NOTA[[#This Row],[FAKTUR]]="",INDIRECT(ADDRESS(ROW()-1,COLUMN())),NOTA[[#This Row],[FAKTUR]]))</f>
        <v>ARTO MORO</v>
      </c>
      <c r="AJ635" s="38" t="str">
        <f ca="1">IF(NOTA[[#This Row],[ID]]="","",COUNTIF(NOTA[ID_H],NOTA[[#This Row],[ID_H]]))</f>
        <v/>
      </c>
      <c r="AK635" s="38">
        <f ca="1">IF(NOTA[[#This Row],[TGL.NOTA]]="",IF(NOTA[[#This Row],[SUPPLIER_H]]="","",AK634),MONTH(NOTA[[#This Row],[TGL.NOTA]]))</f>
        <v>1</v>
      </c>
      <c r="AL63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35" s="38" t="str">
        <f>IF(NOTA[C]="",NOTA[[#This Row],[CONCAT1]]&amp;NOTA[[#This Row],[HARGA SATUAN]],NOTA[[#This Row],[CONCAT1]]&amp;NOTA[[#This Row],[HARGA/ CTN_H]]&amp;NOTA[[#This Row],[DISC 1]]&amp;NOTA[[#This Row],[DISC 2]])</f>
        <v>oilpastelop12sppcaseseaworldjk17136000.1250.05</v>
      </c>
      <c r="AN635" s="184">
        <f>IF(NOTA[[#This Row],[CONCAT1]]="","",MATCH(NOTA[[#This Row],[CONCAT1]],[1]!db[NB NOTA_C],0)+1)</f>
        <v>1559</v>
      </c>
    </row>
    <row r="636" spans="1:40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Row],[CEK_EXP]]&lt;D635,"err","")</f>
        <v/>
      </c>
      <c r="D636" s="29">
        <f>IF(NOTA[[#This Row],[TANGGAL]]="",D635,NOTA[[#This Row],[TANGGAL]])</f>
        <v>44947</v>
      </c>
      <c r="E636" s="29">
        <f ca="1">IF(NOTA[[#This Row],[NAMA BARANG]]="","",INDEX(NOTA[ID],MATCH(,INDIRECT(ADDRESS(ROW(NOTA[ID]),COLUMN(NOTA[ID]))&amp;":"&amp;ADDRESS(ROW(),COLUMN(NOTA[ID]))),-1)))</f>
        <v>123</v>
      </c>
      <c r="F636" s="30"/>
      <c r="G636" s="26"/>
      <c r="H636" s="26"/>
      <c r="I636" s="31"/>
      <c r="J636" s="26"/>
      <c r="K636" s="33"/>
      <c r="L636" s="32"/>
      <c r="M636" s="26" t="s">
        <v>423</v>
      </c>
      <c r="N636" s="34">
        <v>5</v>
      </c>
      <c r="O636" s="32">
        <v>360</v>
      </c>
      <c r="P636" s="26" t="s">
        <v>128</v>
      </c>
      <c r="Q636" s="28">
        <v>23000</v>
      </c>
      <c r="R636" s="46"/>
      <c r="S636" s="39" t="s">
        <v>424</v>
      </c>
      <c r="T636" s="35">
        <v>0.125</v>
      </c>
      <c r="U636" s="35">
        <v>0.05</v>
      </c>
      <c r="V636" s="36"/>
      <c r="W636" s="37"/>
      <c r="X636" s="36">
        <f>IF(NOTA[[#This Row],[HARGA/ CTN]]="",NOTA[[#This Row],[JUMLAH_H]],NOTA[[#This Row],[HARGA/ CTN]]*IF(NOTA[[#This Row],[C]]="",0,NOTA[[#This Row],[C]]))</f>
        <v>8280000</v>
      </c>
      <c r="Y636" s="36">
        <f>IF(NOTA[[#This Row],[JUMLAH]]="","",NOTA[[#This Row],[JUMLAH]]*NOTA[[#This Row],[DISC 1]])</f>
        <v>1035000</v>
      </c>
      <c r="Z636" s="36">
        <f>IF(NOTA[[#This Row],[JUMLAH]]="","",(NOTA[[#This Row],[JUMLAH]]-NOTA[[#This Row],[DISC 1-]])*NOTA[[#This Row],[DISC 2]])</f>
        <v>362250</v>
      </c>
      <c r="AA636" s="36">
        <f>IF(NOTA[[#This Row],[JUMLAH]]="","",NOTA[[#This Row],[DISC 1-]]+NOTA[[#This Row],[DISC 2-]])</f>
        <v>1397250</v>
      </c>
      <c r="AB636" s="36">
        <f>IF(NOTA[[#This Row],[JUMLAH]]="","",NOTA[[#This Row],[JUMLAH]]-NOTA[[#This Row],[DISC]])</f>
        <v>6882750</v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36" s="36">
        <f>IF(OR(NOTA[[#This Row],[QTY]]="",NOTA[[#This Row],[HARGA SATUAN]]="",),"",NOTA[[#This Row],[QTY]]*NOTA[[#This Row],[HARGA SATUAN]])</f>
        <v>8280000</v>
      </c>
      <c r="AG636" s="33">
        <f ca="1">IF(NOTA[ID_H]="","",INDEX(NOTA[TANGGAL],MATCH(,INDIRECT(ADDRESS(ROW(NOTA[TANGGAL]),COLUMN(NOTA[TANGGAL]))&amp;":"&amp;ADDRESS(ROW(),COLUMN(NOTA[TANGGAL]))),-1)))</f>
        <v>44947</v>
      </c>
      <c r="AH636" s="28" t="str">
        <f ca="1">IF(NOTA[[#This Row],[NAMA BARANG]]="","",INDEX(NOTA[SUPPLIER],MATCH(,INDIRECT(ADDRESS(ROW(NOTA[ID]),COLUMN(NOTA[ID]))&amp;":"&amp;ADDRESS(ROW(),COLUMN(NOTA[ID]))),-1)))</f>
        <v>ATALI MAKMUR</v>
      </c>
      <c r="AI636" s="28" t="str">
        <f ca="1">IF(NOTA[[#This Row],[ID_H]]="","",IF(NOTA[[#This Row],[FAKTUR]]="",INDIRECT(ADDRESS(ROW()-1,COLUMN())),NOTA[[#This Row],[FAKTUR]]))</f>
        <v>ARTO MORO</v>
      </c>
      <c r="AJ636" s="38" t="str">
        <f ca="1">IF(NOTA[[#This Row],[ID]]="","",COUNTIF(NOTA[ID_H],NOTA[[#This Row],[ID_H]]))</f>
        <v/>
      </c>
      <c r="AK636" s="38">
        <f ca="1">IF(NOTA[[#This Row],[TGL.NOTA]]="",IF(NOTA[[#This Row],[SUPPLIER_H]]="","",AK635),MONTH(NOTA[[#This Row],[TGL.NOTA]]))</f>
        <v>1</v>
      </c>
      <c r="AL63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636" s="38" t="str">
        <f>IF(NOTA[C]="",NOTA[[#This Row],[CONCAT1]]&amp;NOTA[[#This Row],[HARGA SATUAN]],NOTA[[#This Row],[CONCAT1]]&amp;NOTA[[#This Row],[HARGA/ CTN_H]]&amp;NOTA[[#This Row],[DISC 1]]&amp;NOTA[[#This Row],[DISC 2]])</f>
        <v>oilpastelop18sppcaseseaworldjk16560000.1250.05</v>
      </c>
      <c r="AN636" s="184">
        <f>IF(NOTA[[#This Row],[CONCAT1]]="","",MATCH(NOTA[[#This Row],[CONCAT1]],[1]!db[NB NOTA_C],0)+1)</f>
        <v>1560</v>
      </c>
    </row>
    <row r="637" spans="1:40" s="48" customFormat="1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Row],[CEK_EXP]]&lt;D636,"err","")</f>
        <v/>
      </c>
      <c r="D637" s="29">
        <f>IF(NOTA[[#This Row],[TANGGAL]]="",D636,NOTA[[#This Row],[TANGGAL]])</f>
        <v>44947</v>
      </c>
      <c r="E637" s="29">
        <f ca="1">IF(NOTA[[#This Row],[NAMA BARANG]]="","",INDEX(NOTA[ID],MATCH(,INDIRECT(ADDRESS(ROW(NOTA[ID]),COLUMN(NOTA[ID]))&amp;":"&amp;ADDRESS(ROW(),COLUMN(NOTA[ID]))),-1)))</f>
        <v>123</v>
      </c>
      <c r="F637" s="30"/>
      <c r="G637" s="32"/>
      <c r="H637" s="32"/>
      <c r="I637" s="55"/>
      <c r="J637" s="32"/>
      <c r="K637" s="33"/>
      <c r="L637" s="32"/>
      <c r="M637" s="26" t="s">
        <v>729</v>
      </c>
      <c r="N637" s="34">
        <v>2</v>
      </c>
      <c r="O637" s="32">
        <v>96</v>
      </c>
      <c r="P637" s="26" t="s">
        <v>128</v>
      </c>
      <c r="Q637" s="28">
        <v>29600</v>
      </c>
      <c r="R637" s="46"/>
      <c r="S637" s="39" t="s">
        <v>408</v>
      </c>
      <c r="T637" s="35">
        <v>0.125</v>
      </c>
      <c r="U637" s="35">
        <v>0.05</v>
      </c>
      <c r="V637" s="36"/>
      <c r="W637" s="37"/>
      <c r="X637" s="36">
        <f>IF(NOTA[[#This Row],[HARGA/ CTN]]="",NOTA[[#This Row],[JUMLAH_H]],NOTA[[#This Row],[HARGA/ CTN]]*IF(NOTA[[#This Row],[C]]="",0,NOTA[[#This Row],[C]]))</f>
        <v>2841600</v>
      </c>
      <c r="Y637" s="36">
        <f>IF(NOTA[[#This Row],[JUMLAH]]="","",NOTA[[#This Row],[JUMLAH]]*NOTA[[#This Row],[DISC 1]])</f>
        <v>355200</v>
      </c>
      <c r="Z637" s="36">
        <f>IF(NOTA[[#This Row],[JUMLAH]]="","",(NOTA[[#This Row],[JUMLAH]]-NOTA[[#This Row],[DISC 1-]])*NOTA[[#This Row],[DISC 2]])</f>
        <v>124320</v>
      </c>
      <c r="AA637" s="36">
        <f>IF(NOTA[[#This Row],[JUMLAH]]="","",NOTA[[#This Row],[DISC 1-]]+NOTA[[#This Row],[DISC 2-]])</f>
        <v>479520</v>
      </c>
      <c r="AB637" s="36">
        <f>IF(NOTA[[#This Row],[JUMLAH]]="","",NOTA[[#This Row],[JUMLAH]]-NOTA[[#This Row],[DISC]])</f>
        <v>2362080</v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637" s="36">
        <f>IF(OR(NOTA[[#This Row],[QTY]]="",NOTA[[#This Row],[HARGA SATUAN]]="",),"",NOTA[[#This Row],[QTY]]*NOTA[[#This Row],[HARGA SATUAN]])</f>
        <v>2841600</v>
      </c>
      <c r="AG637" s="33">
        <f ca="1">IF(NOTA[ID_H]="","",INDEX(NOTA[TANGGAL],MATCH(,INDIRECT(ADDRESS(ROW(NOTA[TANGGAL]),COLUMN(NOTA[TANGGAL]))&amp;":"&amp;ADDRESS(ROW(),COLUMN(NOTA[TANGGAL]))),-1)))</f>
        <v>44947</v>
      </c>
      <c r="AH637" s="28" t="str">
        <f ca="1">IF(NOTA[[#This Row],[NAMA BARANG]]="","",INDEX(NOTA[SUPPLIER],MATCH(,INDIRECT(ADDRESS(ROW(NOTA[ID]),COLUMN(NOTA[ID]))&amp;":"&amp;ADDRESS(ROW(),COLUMN(NOTA[ID]))),-1)))</f>
        <v>ATALI MAKMUR</v>
      </c>
      <c r="AI637" s="28" t="str">
        <f ca="1">IF(NOTA[[#This Row],[ID_H]]="","",IF(NOTA[[#This Row],[FAKTUR]]="",INDIRECT(ADDRESS(ROW()-1,COLUMN())),NOTA[[#This Row],[FAKTUR]]))</f>
        <v>ARTO MORO</v>
      </c>
      <c r="AJ637" s="38" t="str">
        <f ca="1">IF(NOTA[[#This Row],[ID]]="","",COUNTIF(NOTA[ID_H],NOTA[[#This Row],[ID_H]]))</f>
        <v/>
      </c>
      <c r="AK637" s="38">
        <f ca="1">IF(NOTA[[#This Row],[TGL.NOTA]]="",IF(NOTA[[#This Row],[SUPPLIER_H]]="","",AK636),MONTH(NOTA[[#This Row],[TGL.NOTA]]))</f>
        <v>1</v>
      </c>
      <c r="AL63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637" s="38" t="str">
        <f>IF(NOTA[C]="",NOTA[[#This Row],[CONCAT1]]&amp;NOTA[[#This Row],[HARGA SATUAN]],NOTA[[#This Row],[CONCAT1]]&amp;NOTA[[#This Row],[HARGA/ CTN_H]]&amp;NOTA[[#This Row],[DISC 1]]&amp;NOTA[[#This Row],[DISC 2]])</f>
        <v>oilpastelop24sppcaseseaworldjk14208000.1250.05</v>
      </c>
      <c r="AN637" s="184">
        <f>IF(NOTA[[#This Row],[CONCAT1]]="","",MATCH(NOTA[[#This Row],[CONCAT1]],[1]!db[NB NOTA_C],0)+1)</f>
        <v>1561</v>
      </c>
    </row>
    <row r="638" spans="1:40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Row],[CEK_EXP]]&lt;D637,"err","")</f>
        <v/>
      </c>
      <c r="D638" s="29">
        <f>IF(NOTA[[#This Row],[TANGGAL]]="",D637,NOTA[[#This Row],[TANGGAL]])</f>
        <v>44947</v>
      </c>
      <c r="E638" s="29">
        <f ca="1">IF(NOTA[[#This Row],[NAMA BARANG]]="","",INDEX(NOTA[ID],MATCH(,INDIRECT(ADDRESS(ROW(NOTA[ID]),COLUMN(NOTA[ID]))&amp;":"&amp;ADDRESS(ROW(),COLUMN(NOTA[ID]))),-1)))</f>
        <v>123</v>
      </c>
      <c r="F638" s="30"/>
      <c r="G638" s="32"/>
      <c r="H638" s="32"/>
      <c r="I638" s="55"/>
      <c r="J638" s="32"/>
      <c r="K638" s="33"/>
      <c r="L638" s="32"/>
      <c r="M638" s="26" t="s">
        <v>151</v>
      </c>
      <c r="N638" s="34">
        <v>2</v>
      </c>
      <c r="O638" s="32">
        <v>72</v>
      </c>
      <c r="P638" s="26" t="s">
        <v>128</v>
      </c>
      <c r="Q638" s="28">
        <v>41500</v>
      </c>
      <c r="R638" s="46"/>
      <c r="S638" s="39" t="s">
        <v>123</v>
      </c>
      <c r="T638" s="35">
        <v>0.125</v>
      </c>
      <c r="U638" s="35">
        <v>0.05</v>
      </c>
      <c r="V638" s="36"/>
      <c r="W638" s="37"/>
      <c r="X638" s="36">
        <f>IF(NOTA[[#This Row],[HARGA/ CTN]]="",NOTA[[#This Row],[JUMLAH_H]],NOTA[[#This Row],[HARGA/ CTN]]*IF(NOTA[[#This Row],[C]]="",0,NOTA[[#This Row],[C]]))</f>
        <v>2988000</v>
      </c>
      <c r="Y638" s="36">
        <f>IF(NOTA[[#This Row],[JUMLAH]]="","",NOTA[[#This Row],[JUMLAH]]*NOTA[[#This Row],[DISC 1]])</f>
        <v>373500</v>
      </c>
      <c r="Z638" s="36">
        <f>IF(NOTA[[#This Row],[JUMLAH]]="","",(NOTA[[#This Row],[JUMLAH]]-NOTA[[#This Row],[DISC 1-]])*NOTA[[#This Row],[DISC 2]])</f>
        <v>130725</v>
      </c>
      <c r="AA638" s="36">
        <f>IF(NOTA[[#This Row],[JUMLAH]]="","",NOTA[[#This Row],[DISC 1-]]+NOTA[[#This Row],[DISC 2-]])</f>
        <v>504225</v>
      </c>
      <c r="AB638" s="36">
        <f>IF(NOTA[[#This Row],[JUMLAH]]="","",NOTA[[#This Row],[JUMLAH]]-NOTA[[#This Row],[DISC]])</f>
        <v>2483775</v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38" s="36">
        <f>IF(OR(NOTA[[#This Row],[QTY]]="",NOTA[[#This Row],[HARGA SATUAN]]="",),"",NOTA[[#This Row],[QTY]]*NOTA[[#This Row],[HARGA SATUAN]])</f>
        <v>2988000</v>
      </c>
      <c r="AG638" s="33">
        <f ca="1">IF(NOTA[ID_H]="","",INDEX(NOTA[TANGGAL],MATCH(,INDIRECT(ADDRESS(ROW(NOTA[TANGGAL]),COLUMN(NOTA[TANGGAL]))&amp;":"&amp;ADDRESS(ROW(),COLUMN(NOTA[TANGGAL]))),-1)))</f>
        <v>44947</v>
      </c>
      <c r="AH638" s="28" t="str">
        <f ca="1">IF(NOTA[[#This Row],[NAMA BARANG]]="","",INDEX(NOTA[SUPPLIER],MATCH(,INDIRECT(ADDRESS(ROW(NOTA[ID]),COLUMN(NOTA[ID]))&amp;":"&amp;ADDRESS(ROW(),COLUMN(NOTA[ID]))),-1)))</f>
        <v>ATALI MAKMUR</v>
      </c>
      <c r="AI638" s="28" t="str">
        <f ca="1">IF(NOTA[[#This Row],[ID_H]]="","",IF(NOTA[[#This Row],[FAKTUR]]="",INDIRECT(ADDRESS(ROW()-1,COLUMN())),NOTA[[#This Row],[FAKTUR]]))</f>
        <v>ARTO MORO</v>
      </c>
      <c r="AJ638" s="38" t="str">
        <f ca="1">IF(NOTA[[#This Row],[ID]]="","",COUNTIF(NOTA[ID_H],NOTA[[#This Row],[ID_H]]))</f>
        <v/>
      </c>
      <c r="AK638" s="38">
        <f ca="1">IF(NOTA[[#This Row],[TGL.NOTA]]="",IF(NOTA[[#This Row],[SUPPLIER_H]]="","",AK637),MONTH(NOTA[[#This Row],[TGL.NOTA]]))</f>
        <v>1</v>
      </c>
      <c r="AL638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638" s="38" t="str">
        <f>IF(NOTA[C]="",NOTA[[#This Row],[CONCAT1]]&amp;NOTA[[#This Row],[HARGA SATUAN]],NOTA[[#This Row],[CONCAT1]]&amp;NOTA[[#This Row],[HARGA/ CTN_H]]&amp;NOTA[[#This Row],[DISC 1]]&amp;NOTA[[#This Row],[DISC 2]])</f>
        <v>oilpastelop36sppcaseseaworldjk14940000.1250.05</v>
      </c>
      <c r="AN638" s="184">
        <f>IF(NOTA[[#This Row],[CONCAT1]]="","",MATCH(NOTA[[#This Row],[CONCAT1]],[1]!db[NB NOTA_C],0)+1)</f>
        <v>1562</v>
      </c>
    </row>
    <row r="639" spans="1:40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Row],[CEK_EXP]]&lt;D638,"err","")</f>
        <v/>
      </c>
      <c r="D639" s="29">
        <f>IF(NOTA[[#This Row],[TANGGAL]]="",D638,NOTA[[#This Row],[TANGGAL]])</f>
        <v>44947</v>
      </c>
      <c r="E639" s="29">
        <f ca="1">IF(NOTA[[#This Row],[NAMA BARANG]]="","",INDEX(NOTA[ID],MATCH(,INDIRECT(ADDRESS(ROW(NOTA[ID]),COLUMN(NOTA[ID]))&amp;":"&amp;ADDRESS(ROW(),COLUMN(NOTA[ID]))),-1)))</f>
        <v>123</v>
      </c>
      <c r="F639" s="30"/>
      <c r="G639" s="32"/>
      <c r="H639" s="32"/>
      <c r="I639" s="55"/>
      <c r="J639" s="32"/>
      <c r="K639" s="33"/>
      <c r="L639" s="32"/>
      <c r="M639" s="26" t="s">
        <v>275</v>
      </c>
      <c r="N639" s="34"/>
      <c r="O639" s="32">
        <v>228</v>
      </c>
      <c r="P639" s="26" t="s">
        <v>104</v>
      </c>
      <c r="Q639" s="28">
        <v>2350</v>
      </c>
      <c r="R639" s="46"/>
      <c r="S639" s="39" t="s">
        <v>276</v>
      </c>
      <c r="T639" s="35">
        <v>0.1</v>
      </c>
      <c r="U639" s="35">
        <v>0.05</v>
      </c>
      <c r="V639" s="36">
        <v>458109</v>
      </c>
      <c r="W639" s="37" t="s">
        <v>155</v>
      </c>
      <c r="X639" s="36">
        <f>IF(NOTA[[#This Row],[HARGA/ CTN]]="",NOTA[[#This Row],[JUMLAH_H]],NOTA[[#This Row],[HARGA/ CTN]]*IF(NOTA[[#This Row],[C]]="",0,NOTA[[#This Row],[C]]))</f>
        <v>535800</v>
      </c>
      <c r="Y639" s="36">
        <f>IF(NOTA[[#This Row],[JUMLAH]]="","",NOTA[[#This Row],[JUMLAH]]*NOTA[[#This Row],[DISC 1]])</f>
        <v>53580</v>
      </c>
      <c r="Z639" s="36">
        <f>IF(NOTA[[#This Row],[JUMLAH]]="","",(NOTA[[#This Row],[JUMLAH]]-NOTA[[#This Row],[DISC 1-]])*NOTA[[#This Row],[DISC 2]])</f>
        <v>24111</v>
      </c>
      <c r="AA639" s="36">
        <f>IF(NOTA[[#This Row],[JUMLAH]]="","",NOTA[[#This Row],[DISC 1-]]+NOTA[[#This Row],[DISC 2-]])</f>
        <v>77691</v>
      </c>
      <c r="AB639" s="36">
        <f>IF(NOTA[[#This Row],[JUMLAH]]="","",NOTA[[#This Row],[JUMLAH]]-NOTA[[#This Row],[DISC]])</f>
        <v>458109</v>
      </c>
      <c r="AC6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7679595</v>
      </c>
      <c r="AD6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35189805</v>
      </c>
      <c r="AE639" s="28">
        <f>IF(NOTA[[#This Row],[NAMA BARANG]]="","",IF(NOTA[[#This Row],[JUMLAH_H]]="",NOTA[[#This Row],[HARGA/ CTN]],NOTA[[#This Row],[QTY]]*NOTA[[#This Row],[HARGA SATUAN]]/IF(ISNUMBER(NOTA[[#This Row],[C]]),NOTA[[#This Row],[C]],1)))</f>
        <v>535800</v>
      </c>
      <c r="AF639" s="36">
        <f>IF(OR(NOTA[[#This Row],[QTY]]="",NOTA[[#This Row],[HARGA SATUAN]]="",),"",NOTA[[#This Row],[QTY]]*NOTA[[#This Row],[HARGA SATUAN]])</f>
        <v>535800</v>
      </c>
      <c r="AG639" s="33">
        <f ca="1">IF(NOTA[ID_H]="","",INDEX(NOTA[TANGGAL],MATCH(,INDIRECT(ADDRESS(ROW(NOTA[TANGGAL]),COLUMN(NOTA[TANGGAL]))&amp;":"&amp;ADDRESS(ROW(),COLUMN(NOTA[TANGGAL]))),-1)))</f>
        <v>44947</v>
      </c>
      <c r="AH639" s="28" t="str">
        <f ca="1">IF(NOTA[[#This Row],[NAMA BARANG]]="","",INDEX(NOTA[SUPPLIER],MATCH(,INDIRECT(ADDRESS(ROW(NOTA[ID]),COLUMN(NOTA[ID]))&amp;":"&amp;ADDRESS(ROW(),COLUMN(NOTA[ID]))),-1)))</f>
        <v>ATALI MAKMUR</v>
      </c>
      <c r="AI639" s="28" t="str">
        <f ca="1">IF(NOTA[[#This Row],[ID_H]]="","",IF(NOTA[[#This Row],[FAKTUR]]="",INDIRECT(ADDRESS(ROW()-1,COLUMN())),NOTA[[#This Row],[FAKTUR]]))</f>
        <v>ARTO MORO</v>
      </c>
      <c r="AJ639" s="38" t="str">
        <f ca="1">IF(NOTA[[#This Row],[ID]]="","",COUNTIF(NOTA[ID_H],NOTA[[#This Row],[ID_H]]))</f>
        <v/>
      </c>
      <c r="AK639" s="38">
        <f ca="1">IF(NOTA[[#This Row],[TGL.NOTA]]="",IF(NOTA[[#This Row],[SUPPLIER_H]]="","",AK638),MONTH(NOTA[[#This Row],[TGL.NOTA]]))</f>
        <v>1</v>
      </c>
      <c r="AL63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M639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N639" s="184">
        <f>IF(NOTA[[#This Row],[CONCAT1]]="","",MATCH(NOTA[[#This Row],[CONCAT1]],[1]!db[NB NOTA_C],0)+1)</f>
        <v>1834</v>
      </c>
    </row>
    <row r="640" spans="1:40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Row],[CEK_EXP]]&lt;D639,"err","")</f>
        <v/>
      </c>
      <c r="D640" s="29">
        <f>IF(NOTA[[#This Row],[TANGGAL]]="",D639,NOTA[[#This Row],[TANGGAL]])</f>
        <v>44947</v>
      </c>
      <c r="E640" s="29" t="str">
        <f ca="1">IF(NOTA[[#This Row],[NAMA BARANG]]="","",INDEX(NOTA[ID],MATCH(,INDIRECT(ADDRESS(ROW(NOTA[ID]),COLUMN(NOTA[ID]))&amp;":"&amp;ADDRESS(ROW(),COLUMN(NOTA[ID]))),-1)))</f>
        <v/>
      </c>
      <c r="F640" s="30"/>
      <c r="G640" s="26"/>
      <c r="H640" s="26"/>
      <c r="I640" s="31"/>
      <c r="J640" s="32"/>
      <c r="K640" s="33"/>
      <c r="L640" s="32"/>
      <c r="M640" s="26"/>
      <c r="N640" s="34"/>
      <c r="O640" s="32"/>
      <c r="P640" s="26"/>
      <c r="Q640" s="28"/>
      <c r="R640" s="46"/>
      <c r="S640" s="39"/>
      <c r="T640" s="35"/>
      <c r="U640" s="35"/>
      <c r="V640" s="36"/>
      <c r="W640" s="37"/>
      <c r="X640" s="36" t="str">
        <f>IF(NOTA[[#This Row],[HARGA/ CTN]]="",NOTA[[#This Row],[JUMLAH_H]],NOTA[[#This Row],[HARGA/ CTN]]*IF(NOTA[[#This Row],[C]]="",0,NOTA[[#This Row],[C]]))</f>
        <v/>
      </c>
      <c r="Y640" s="36" t="str">
        <f>IF(NOTA[[#This Row],[JUMLAH]]="","",NOTA[[#This Row],[JUMLAH]]*NOTA[[#This Row],[DISC 1]])</f>
        <v/>
      </c>
      <c r="Z640" s="36" t="str">
        <f>IF(NOTA[[#This Row],[JUMLAH]]="","",(NOTA[[#This Row],[JUMLAH]]-NOTA[[#This Row],[DISC 1-]])*NOTA[[#This Row],[DISC 2]])</f>
        <v/>
      </c>
      <c r="AA640" s="36" t="str">
        <f>IF(NOTA[[#This Row],[JUMLAH]]="","",NOTA[[#This Row],[DISC 1-]]+NOTA[[#This Row],[DISC 2-]])</f>
        <v/>
      </c>
      <c r="AB640" s="36" t="str">
        <f>IF(NOTA[[#This Row],[JUMLAH]]="","",NOTA[[#This Row],[JUMLAH]]-NOTA[[#This Row],[DISC]])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36" t="str">
        <f>IF(OR(NOTA[[#This Row],[QTY]]="",NOTA[[#This Row],[HARGA SATUAN]]="",),"",NOTA[[#This Row],[QTY]]*NOTA[[#This Row],[HARGA SATUAN]])</f>
        <v/>
      </c>
      <c r="AG640" s="33" t="str">
        <f ca="1">IF(NOTA[ID_H]="","",INDEX(NOTA[TANGGAL],MATCH(,INDIRECT(ADDRESS(ROW(NOTA[TANGGAL]),COLUMN(NOTA[TANGGAL]))&amp;":"&amp;ADDRESS(ROW(),COLUMN(NOTA[TANGGAL]))),-1)))</f>
        <v/>
      </c>
      <c r="AH640" s="28" t="str">
        <f ca="1">IF(NOTA[[#This Row],[NAMA BARANG]]="","",INDEX(NOTA[SUPPLIER],MATCH(,INDIRECT(ADDRESS(ROW(NOTA[ID]),COLUMN(NOTA[ID]))&amp;":"&amp;ADDRESS(ROW(),COLUMN(NOTA[ID]))),-1)))</f>
        <v/>
      </c>
      <c r="AI640" s="28" t="str">
        <f ca="1">IF(NOTA[[#This Row],[ID_H]]="","",IF(NOTA[[#This Row],[FAKTUR]]="",INDIRECT(ADDRESS(ROW()-1,COLUMN())),NOTA[[#This Row],[FAKTUR]]))</f>
        <v/>
      </c>
      <c r="AJ640" s="38" t="str">
        <f ca="1">IF(NOTA[[#This Row],[ID]]="","",COUNTIF(NOTA[ID_H],NOTA[[#This Row],[ID_H]]))</f>
        <v/>
      </c>
      <c r="AK640" s="38" t="str">
        <f ca="1">IF(NOTA[[#This Row],[TGL.NOTA]]="",IF(NOTA[[#This Row],[SUPPLIER_H]]="","",AK639),MONTH(NOTA[[#This Row],[TGL.NOTA]]))</f>
        <v/>
      </c>
      <c r="AL640" s="38" t="str">
        <f>LOWER(SUBSTITUTE(SUBSTITUTE(SUBSTITUTE(SUBSTITUTE(SUBSTITUTE(SUBSTITUTE(SUBSTITUTE(SUBSTITUTE(SUBSTITUTE(NOTA[NAMA BARANG]," ",),".",""),"-",""),"(",""),")",""),",",""),"/",""),"""",""),"+",""))</f>
        <v/>
      </c>
      <c r="AM640" s="38" t="str">
        <f>IF(NOTA[C]="",NOTA[[#This Row],[CONCAT1]]&amp;NOTA[[#This Row],[HARGA SATUAN]],NOTA[[#This Row],[CONCAT1]]&amp;NOTA[[#This Row],[HARGA/ CTN_H]]&amp;NOTA[[#This Row],[DISC 1]]&amp;NOTA[[#This Row],[DISC 2]])</f>
        <v/>
      </c>
      <c r="AN640" s="184" t="str">
        <f>IF(NOTA[[#This Row],[CONCAT1]]="","",MATCH(NOTA[[#This Row],[CONCAT1]],[1]!db[NB NOTA_C],0)+1)</f>
        <v/>
      </c>
    </row>
    <row r="641" spans="1:40" ht="20.100000000000001" customHeight="1" x14ac:dyDescent="0.25">
      <c r="A641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4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ATA_2401_229-5</v>
      </c>
      <c r="C641" s="29" t="str">
        <f>IF(NOTA[[#This Row],[CEK_EXP]]&lt;D640,"err","")</f>
        <v/>
      </c>
      <c r="D641" s="29">
        <f>IF(NOTA[[#This Row],[TANGGAL]]="",D640,NOTA[[#This Row],[TANGGAL]])</f>
        <v>44950</v>
      </c>
      <c r="E641" s="29">
        <f ca="1">IF(NOTA[[#This Row],[NAMA BARANG]]="","",INDEX(NOTA[ID],MATCH(,INDIRECT(ADDRESS(ROW(NOTA[ID]),COLUMN(NOTA[ID]))&amp;":"&amp;ADDRESS(ROW(),COLUMN(NOTA[ID]))),-1)))</f>
        <v>124</v>
      </c>
      <c r="F641" s="30">
        <v>44950</v>
      </c>
      <c r="G641" s="26" t="s">
        <v>25</v>
      </c>
      <c r="H641" s="26" t="s">
        <v>24</v>
      </c>
      <c r="I641" s="31" t="s">
        <v>778</v>
      </c>
      <c r="J641" s="32"/>
      <c r="K641" s="33">
        <v>44946</v>
      </c>
      <c r="L641" s="32"/>
      <c r="M641" s="26" t="s">
        <v>428</v>
      </c>
      <c r="N641" s="34">
        <v>2</v>
      </c>
      <c r="O641" s="32">
        <v>60</v>
      </c>
      <c r="P641" s="26" t="s">
        <v>274</v>
      </c>
      <c r="Q641" s="28">
        <v>104400</v>
      </c>
      <c r="R641" s="46"/>
      <c r="S641" s="39" t="s">
        <v>370</v>
      </c>
      <c r="T641" s="35">
        <v>0.125</v>
      </c>
      <c r="U641" s="35">
        <v>0.05</v>
      </c>
      <c r="V641" s="36"/>
      <c r="W641" s="37"/>
      <c r="X641" s="36">
        <f>IF(NOTA[[#This Row],[HARGA/ CTN]]="",NOTA[[#This Row],[JUMLAH_H]],NOTA[[#This Row],[HARGA/ CTN]]*IF(NOTA[[#This Row],[C]]="",0,NOTA[[#This Row],[C]]))</f>
        <v>6264000</v>
      </c>
      <c r="Y641" s="36">
        <f>IF(NOTA[[#This Row],[JUMLAH]]="","",NOTA[[#This Row],[JUMLAH]]*NOTA[[#This Row],[DISC 1]])</f>
        <v>783000</v>
      </c>
      <c r="Z641" s="36">
        <f>IF(NOTA[[#This Row],[JUMLAH]]="","",(NOTA[[#This Row],[JUMLAH]]-NOTA[[#This Row],[DISC 1-]])*NOTA[[#This Row],[DISC 2]])</f>
        <v>274050</v>
      </c>
      <c r="AA641" s="36">
        <f>IF(NOTA[[#This Row],[JUMLAH]]="","",NOTA[[#This Row],[DISC 1-]]+NOTA[[#This Row],[DISC 2-]])</f>
        <v>1057050</v>
      </c>
      <c r="AB641" s="36">
        <f>IF(NOTA[[#This Row],[JUMLAH]]="","",NOTA[[#This Row],[JUMLAH]]-NOTA[[#This Row],[DISC]])</f>
        <v>5206950</v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641" s="36">
        <f>IF(OR(NOTA[[#This Row],[QTY]]="",NOTA[[#This Row],[HARGA SATUAN]]="",),"",NOTA[[#This Row],[QTY]]*NOTA[[#This Row],[HARGA SATUAN]])</f>
        <v>6264000</v>
      </c>
      <c r="AG641" s="33">
        <f ca="1">IF(NOTA[ID_H]="","",INDEX(NOTA[TANGGAL],MATCH(,INDIRECT(ADDRESS(ROW(NOTA[TANGGAL]),COLUMN(NOTA[TANGGAL]))&amp;":"&amp;ADDRESS(ROW(),COLUMN(NOTA[TANGGAL]))),-1)))</f>
        <v>44950</v>
      </c>
      <c r="AH641" s="28" t="str">
        <f ca="1">IF(NOTA[[#This Row],[NAMA BARANG]]="","",INDEX(NOTA[SUPPLIER],MATCH(,INDIRECT(ADDRESS(ROW(NOTA[ID]),COLUMN(NOTA[ID]))&amp;":"&amp;ADDRESS(ROW(),COLUMN(NOTA[ID]))),-1)))</f>
        <v>ATALI MAKMUR</v>
      </c>
      <c r="AI641" s="28" t="str">
        <f ca="1">IF(NOTA[[#This Row],[ID_H]]="","",IF(NOTA[[#This Row],[FAKTUR]]="",INDIRECT(ADDRESS(ROW()-1,COLUMN())),NOTA[[#This Row],[FAKTUR]]))</f>
        <v>ARTO MORO</v>
      </c>
      <c r="AJ641" s="38">
        <f ca="1">IF(NOTA[[#This Row],[ID]]="","",COUNTIF(NOTA[ID_H],NOTA[[#This Row],[ID_H]]))</f>
        <v>5</v>
      </c>
      <c r="AK641" s="38">
        <f>IF(NOTA[[#This Row],[TGL.NOTA]]="",IF(NOTA[[#This Row],[SUPPLIER_H]]="","",AK640),MONTH(NOTA[[#This Row],[TGL.NOTA]]))</f>
        <v>1</v>
      </c>
      <c r="AL64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641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N641" s="184">
        <f>IF(NOTA[[#This Row],[CONCAT1]]="","",MATCH(NOTA[[#This Row],[CONCAT1]],[1]!db[NB NOTA_C],0)+1)</f>
        <v>1765</v>
      </c>
    </row>
    <row r="642" spans="1:40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Row],[CEK_EXP]]&lt;D641,"err","")</f>
        <v/>
      </c>
      <c r="D642" s="29">
        <f>IF(NOTA[[#This Row],[TANGGAL]]="",D641,NOTA[[#This Row],[TANGGAL]])</f>
        <v>44950</v>
      </c>
      <c r="E642" s="29">
        <f ca="1">IF(NOTA[[#This Row],[NAMA BARANG]]="","",INDEX(NOTA[ID],MATCH(,INDIRECT(ADDRESS(ROW(NOTA[ID]),COLUMN(NOTA[ID]))&amp;":"&amp;ADDRESS(ROW(),COLUMN(NOTA[ID]))),-1)))</f>
        <v>124</v>
      </c>
      <c r="F642" s="23"/>
      <c r="G642" s="26"/>
      <c r="H642" s="26"/>
      <c r="I642" s="31"/>
      <c r="J642" s="32"/>
      <c r="K642" s="33"/>
      <c r="L642" s="32"/>
      <c r="M642" s="26" t="s">
        <v>630</v>
      </c>
      <c r="N642" s="34">
        <v>2</v>
      </c>
      <c r="O642" s="32">
        <v>48</v>
      </c>
      <c r="P642" s="26" t="s">
        <v>116</v>
      </c>
      <c r="Q642" s="28">
        <v>162000</v>
      </c>
      <c r="R642" s="46"/>
      <c r="S642" s="39" t="s">
        <v>631</v>
      </c>
      <c r="T642" s="35">
        <v>0.125</v>
      </c>
      <c r="U642" s="35">
        <v>0.05</v>
      </c>
      <c r="V642" s="36"/>
      <c r="W642" s="37"/>
      <c r="X642" s="36">
        <f>IF(NOTA[[#This Row],[HARGA/ CTN]]="",NOTA[[#This Row],[JUMLAH_H]],NOTA[[#This Row],[HARGA/ CTN]]*IF(NOTA[[#This Row],[C]]="",0,NOTA[[#This Row],[C]]))</f>
        <v>7776000</v>
      </c>
      <c r="Y642" s="36">
        <f>IF(NOTA[[#This Row],[JUMLAH]]="","",NOTA[[#This Row],[JUMLAH]]*NOTA[[#This Row],[DISC 1]])</f>
        <v>972000</v>
      </c>
      <c r="Z642" s="36">
        <f>IF(NOTA[[#This Row],[JUMLAH]]="","",(NOTA[[#This Row],[JUMLAH]]-NOTA[[#This Row],[DISC 1-]])*NOTA[[#This Row],[DISC 2]])</f>
        <v>340200</v>
      </c>
      <c r="AA642" s="36">
        <f>IF(NOTA[[#This Row],[JUMLAH]]="","",NOTA[[#This Row],[DISC 1-]]+NOTA[[#This Row],[DISC 2-]])</f>
        <v>1312200</v>
      </c>
      <c r="AB642" s="36">
        <f>IF(NOTA[[#This Row],[JUMLAH]]="","",NOTA[[#This Row],[JUMLAH]]-NOTA[[#This Row],[DISC]])</f>
        <v>6463800</v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42" s="36">
        <f>IF(OR(NOTA[[#This Row],[QTY]]="",NOTA[[#This Row],[HARGA SATUAN]]="",),"",NOTA[[#This Row],[QTY]]*NOTA[[#This Row],[HARGA SATUAN]])</f>
        <v>7776000</v>
      </c>
      <c r="AG642" s="33">
        <f ca="1">IF(NOTA[ID_H]="","",INDEX(NOTA[TANGGAL],MATCH(,INDIRECT(ADDRESS(ROW(NOTA[TANGGAL]),COLUMN(NOTA[TANGGAL]))&amp;":"&amp;ADDRESS(ROW(),COLUMN(NOTA[TANGGAL]))),-1)))</f>
        <v>44950</v>
      </c>
      <c r="AH642" s="28" t="str">
        <f ca="1">IF(NOTA[[#This Row],[NAMA BARANG]]="","",INDEX(NOTA[SUPPLIER],MATCH(,INDIRECT(ADDRESS(ROW(NOTA[ID]),COLUMN(NOTA[ID]))&amp;":"&amp;ADDRESS(ROW(),COLUMN(NOTA[ID]))),-1)))</f>
        <v>ATALI MAKMUR</v>
      </c>
      <c r="AI642" s="28" t="str">
        <f ca="1">IF(NOTA[[#This Row],[ID_H]]="","",IF(NOTA[[#This Row],[FAKTUR]]="",INDIRECT(ADDRESS(ROW()-1,COLUMN())),NOTA[[#This Row],[FAKTUR]]))</f>
        <v>ARTO MORO</v>
      </c>
      <c r="AJ642" s="38" t="str">
        <f ca="1">IF(NOTA[[#This Row],[ID]]="","",COUNTIF(NOTA[ID_H],NOTA[[#This Row],[ID_H]]))</f>
        <v/>
      </c>
      <c r="AK642" s="38">
        <f ca="1">IF(NOTA[[#This Row],[TGL.NOTA]]="",IF(NOTA[[#This Row],[SUPPLIER_H]]="","",AK641),MONTH(NOTA[[#This Row],[TGL.NOTA]]))</f>
        <v>1</v>
      </c>
      <c r="AL642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M642" s="38" t="str">
        <f>IF(NOTA[C]="",NOTA[[#This Row],[CONCAT1]]&amp;NOTA[[#This Row],[HARGA SATUAN]],NOTA[[#This Row],[CONCAT1]]&amp;NOTA[[#This Row],[HARGA/ CTN_H]]&amp;NOTA[[#This Row],[DISC 1]]&amp;NOTA[[#This Row],[DISC 2]])</f>
        <v>cutterl500jk38880000.1250.05</v>
      </c>
      <c r="AN642" s="184">
        <f>IF(NOTA[[#This Row],[CONCAT1]]="","",MATCH(NOTA[[#This Row],[CONCAT1]],[1]!db[NB NOTA_C],0)+1)</f>
        <v>571</v>
      </c>
    </row>
    <row r="643" spans="1:40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Row],[CEK_EXP]]&lt;D642,"err","")</f>
        <v/>
      </c>
      <c r="D643" s="29">
        <f>IF(NOTA[[#This Row],[TANGGAL]]="",D642,NOTA[[#This Row],[TANGGAL]])</f>
        <v>44950</v>
      </c>
      <c r="E643" s="29">
        <f ca="1">IF(NOTA[[#This Row],[NAMA BARANG]]="","",INDEX(NOTA[ID],MATCH(,INDIRECT(ADDRESS(ROW(NOTA[ID]),COLUMN(NOTA[ID]))&amp;":"&amp;ADDRESS(ROW(),COLUMN(NOTA[ID]))),-1)))</f>
        <v>124</v>
      </c>
      <c r="F643" s="30"/>
      <c r="G643" s="32"/>
      <c r="H643" s="32"/>
      <c r="I643" s="55"/>
      <c r="J643" s="32"/>
      <c r="K643" s="33"/>
      <c r="L643" s="32"/>
      <c r="M643" s="26" t="s">
        <v>632</v>
      </c>
      <c r="N643" s="34"/>
      <c r="O643" s="32">
        <v>48</v>
      </c>
      <c r="P643" s="26" t="s">
        <v>116</v>
      </c>
      <c r="Q643" s="28"/>
      <c r="R643" s="46"/>
      <c r="S643" s="39" t="s">
        <v>633</v>
      </c>
      <c r="T643" s="35"/>
      <c r="U643" s="35"/>
      <c r="V643" s="36"/>
      <c r="W643" s="37" t="s">
        <v>666</v>
      </c>
      <c r="X643" s="36" t="str">
        <f>IF(NOTA[[#This Row],[HARGA/ CTN]]="",NOTA[[#This Row],[JUMLAH_H]],NOTA[[#This Row],[HARGA/ CTN]]*IF(NOTA[[#This Row],[C]]="",0,NOTA[[#This Row],[C]]))</f>
        <v/>
      </c>
      <c r="Y643" s="36" t="str">
        <f>IF(NOTA[[#This Row],[JUMLAH]]="","",NOTA[[#This Row],[JUMLAH]]*NOTA[[#This Row],[DISC 1]])</f>
        <v/>
      </c>
      <c r="Z643" s="36" t="str">
        <f>IF(NOTA[[#This Row],[JUMLAH]]="","",(NOTA[[#This Row],[JUMLAH]]-NOTA[[#This Row],[DISC 1-]])*NOTA[[#This Row],[DISC 2]])</f>
        <v/>
      </c>
      <c r="AA643" s="36" t="str">
        <f>IF(NOTA[[#This Row],[JUMLAH]]="","",NOTA[[#This Row],[DISC 1-]]+NOTA[[#This Row],[DISC 2-]])</f>
        <v/>
      </c>
      <c r="AB643" s="36" t="str">
        <f>IF(NOTA[[#This Row],[JUMLAH]]="","",NOTA[[#This Row],[JUMLAH]]-NOTA[[#This Row],[DISC]])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3" s="36" t="str">
        <f>IF(OR(NOTA[[#This Row],[QTY]]="",NOTA[[#This Row],[HARGA SATUAN]]="",),"",NOTA[[#This Row],[QTY]]*NOTA[[#This Row],[HARGA SATUAN]])</f>
        <v/>
      </c>
      <c r="AG643" s="33">
        <f ca="1">IF(NOTA[ID_H]="","",INDEX(NOTA[TANGGAL],MATCH(,INDIRECT(ADDRESS(ROW(NOTA[TANGGAL]),COLUMN(NOTA[TANGGAL]))&amp;":"&amp;ADDRESS(ROW(),COLUMN(NOTA[TANGGAL]))),-1)))</f>
        <v>44950</v>
      </c>
      <c r="AH643" s="28" t="str">
        <f ca="1">IF(NOTA[[#This Row],[NAMA BARANG]]="","",INDEX(NOTA[SUPPLIER],MATCH(,INDIRECT(ADDRESS(ROW(NOTA[ID]),COLUMN(NOTA[ID]))&amp;":"&amp;ADDRESS(ROW(),COLUMN(NOTA[ID]))),-1)))</f>
        <v>ATALI MAKMUR</v>
      </c>
      <c r="AI643" s="28" t="str">
        <f ca="1">IF(NOTA[[#This Row],[ID_H]]="","",IF(NOTA[[#This Row],[FAKTUR]]="",INDIRECT(ADDRESS(ROW()-1,COLUMN())),NOTA[[#This Row],[FAKTUR]]))</f>
        <v>ARTO MORO</v>
      </c>
      <c r="AJ643" s="38" t="str">
        <f ca="1">IF(NOTA[[#This Row],[ID]]="","",COUNTIF(NOTA[ID_H],NOTA[[#This Row],[ID_H]]))</f>
        <v/>
      </c>
      <c r="AK643" s="38">
        <f ca="1">IF(NOTA[[#This Row],[TGL.NOTA]]="",IF(NOTA[[#This Row],[SUPPLIER_H]]="","",AK642),MONTH(NOTA[[#This Row],[TGL.NOTA]]))</f>
        <v>1</v>
      </c>
      <c r="AL643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643" s="38" t="str">
        <f>IF(NOTA[C]="",NOTA[[#This Row],[CONCAT1]]&amp;NOTA[[#This Row],[HARGA SATUAN]],NOTA[[#This Row],[CONCAT1]]&amp;NOTA[[#This Row],[HARGA/ CTN_H]]&amp;NOTA[[#This Row],[DISC 1]]&amp;NOTA[[#This Row],[DISC 2]])</f>
        <v>cutterbladel150amljk</v>
      </c>
      <c r="AN643" s="184">
        <f>IF(NOTA[[#This Row],[CONCAT1]]="","",MATCH(NOTA[[#This Row],[CONCAT1]],[1]!db[NB NOTA_C],0)+1)</f>
        <v>563</v>
      </c>
    </row>
    <row r="644" spans="1:40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Row],[CEK_EXP]]&lt;D643,"err","")</f>
        <v/>
      </c>
      <c r="D644" s="29">
        <f>IF(NOTA[[#This Row],[TANGGAL]]="",D643,NOTA[[#This Row],[TANGGAL]])</f>
        <v>44950</v>
      </c>
      <c r="E644" s="29">
        <f ca="1">IF(NOTA[[#This Row],[NAMA BARANG]]="","",INDEX(NOTA[ID],MATCH(,INDIRECT(ADDRESS(ROW(NOTA[ID]),COLUMN(NOTA[ID]))&amp;":"&amp;ADDRESS(ROW(),COLUMN(NOTA[ID]))),-1)))</f>
        <v>124</v>
      </c>
      <c r="F644" s="30"/>
      <c r="G644" s="32"/>
      <c r="H644" s="32"/>
      <c r="I644" s="55"/>
      <c r="J644" s="32"/>
      <c r="K644" s="33"/>
      <c r="L644" s="32"/>
      <c r="M644" s="26" t="s">
        <v>779</v>
      </c>
      <c r="N644" s="34">
        <v>2</v>
      </c>
      <c r="O644" s="32">
        <v>96</v>
      </c>
      <c r="P644" s="26" t="s">
        <v>116</v>
      </c>
      <c r="Q644" s="28">
        <v>36000</v>
      </c>
      <c r="R644" s="46"/>
      <c r="S644" s="39" t="s">
        <v>780</v>
      </c>
      <c r="T644" s="35">
        <v>0.125</v>
      </c>
      <c r="U644" s="35">
        <v>0.05</v>
      </c>
      <c r="V644" s="36"/>
      <c r="W644" s="37"/>
      <c r="X644" s="36">
        <f>IF(NOTA[[#This Row],[HARGA/ CTN]]="",NOTA[[#This Row],[JUMLAH_H]],NOTA[[#This Row],[HARGA/ CTN]]*IF(NOTA[[#This Row],[C]]="",0,NOTA[[#This Row],[C]]))</f>
        <v>3456000</v>
      </c>
      <c r="Y644" s="36">
        <f>IF(NOTA[[#This Row],[JUMLAH]]="","",NOTA[[#This Row],[JUMLAH]]*NOTA[[#This Row],[DISC 1]])</f>
        <v>432000</v>
      </c>
      <c r="Z644" s="36">
        <f>IF(NOTA[[#This Row],[JUMLAH]]="","",(NOTA[[#This Row],[JUMLAH]]-NOTA[[#This Row],[DISC 1-]])*NOTA[[#This Row],[DISC 2]])</f>
        <v>151200</v>
      </c>
      <c r="AA644" s="36">
        <f>IF(NOTA[[#This Row],[JUMLAH]]="","",NOTA[[#This Row],[DISC 1-]]+NOTA[[#This Row],[DISC 2-]])</f>
        <v>583200</v>
      </c>
      <c r="AB644" s="36">
        <f>IF(NOTA[[#This Row],[JUMLAH]]="","",NOTA[[#This Row],[JUMLAH]]-NOTA[[#This Row],[DISC]])</f>
        <v>2872800</v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644" s="36">
        <f>IF(OR(NOTA[[#This Row],[QTY]]="",NOTA[[#This Row],[HARGA SATUAN]]="",),"",NOTA[[#This Row],[QTY]]*NOTA[[#This Row],[HARGA SATUAN]])</f>
        <v>3456000</v>
      </c>
      <c r="AG644" s="33">
        <f ca="1">IF(NOTA[ID_H]="","",INDEX(NOTA[TANGGAL],MATCH(,INDIRECT(ADDRESS(ROW(NOTA[TANGGAL]),COLUMN(NOTA[TANGGAL]))&amp;":"&amp;ADDRESS(ROW(),COLUMN(NOTA[TANGGAL]))),-1)))</f>
        <v>44950</v>
      </c>
      <c r="AH644" s="28" t="str">
        <f ca="1">IF(NOTA[[#This Row],[NAMA BARANG]]="","",INDEX(NOTA[SUPPLIER],MATCH(,INDIRECT(ADDRESS(ROW(NOTA[ID]),COLUMN(NOTA[ID]))&amp;":"&amp;ADDRESS(ROW(),COLUMN(NOTA[ID]))),-1)))</f>
        <v>ATALI MAKMUR</v>
      </c>
      <c r="AI644" s="28" t="str">
        <f ca="1">IF(NOTA[[#This Row],[ID_H]]="","",IF(NOTA[[#This Row],[FAKTUR]]="",INDIRECT(ADDRESS(ROW()-1,COLUMN())),NOTA[[#This Row],[FAKTUR]]))</f>
        <v>ARTO MORO</v>
      </c>
      <c r="AJ644" s="38" t="str">
        <f ca="1">IF(NOTA[[#This Row],[ID]]="","",COUNTIF(NOTA[ID_H],NOTA[[#This Row],[ID_H]]))</f>
        <v/>
      </c>
      <c r="AK644" s="38">
        <f ca="1">IF(NOTA[[#This Row],[TGL.NOTA]]="",IF(NOTA[[#This Row],[SUPPLIER_H]]="","",AK643),MONTH(NOTA[[#This Row],[TGL.NOTA]]))</f>
        <v>1</v>
      </c>
      <c r="AL644" s="38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M644" s="38" t="str">
        <f>IF(NOTA[C]="",NOTA[[#This Row],[CONCAT1]]&amp;NOTA[[#This Row],[HARGA SATUAN]],NOTA[[#This Row],[CONCAT1]]&amp;NOTA[[#This Row],[HARGA/ CTN_H]]&amp;NOTA[[#This Row],[DISC 1]]&amp;NOTA[[#This Row],[DISC 2]])</f>
        <v>correctionfluidjk101jk17280000.1250.05</v>
      </c>
      <c r="AN644" s="184">
        <f>IF(NOTA[[#This Row],[CONCAT1]]="","",MATCH(NOTA[[#This Row],[CONCAT1]],[1]!db[NB NOTA_C],0)+1)</f>
        <v>514</v>
      </c>
    </row>
    <row r="645" spans="1:40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Row],[CEK_EXP]]&lt;D644,"err","")</f>
        <v/>
      </c>
      <c r="D645" s="29">
        <f>IF(NOTA[[#This Row],[TANGGAL]]="",D644,NOTA[[#This Row],[TANGGAL]])</f>
        <v>44950</v>
      </c>
      <c r="E645" s="29">
        <f ca="1">IF(NOTA[[#This Row],[NAMA BARANG]]="","",INDEX(NOTA[ID],MATCH(,INDIRECT(ADDRESS(ROW(NOTA[ID]),COLUMN(NOTA[ID]))&amp;":"&amp;ADDRESS(ROW(),COLUMN(NOTA[ID]))),-1)))</f>
        <v>124</v>
      </c>
      <c r="F645" s="30"/>
      <c r="G645" s="26"/>
      <c r="H645" s="26"/>
      <c r="I645" s="31"/>
      <c r="J645" s="32"/>
      <c r="K645" s="33"/>
      <c r="L645" s="32"/>
      <c r="M645" s="26" t="s">
        <v>275</v>
      </c>
      <c r="N645" s="34"/>
      <c r="O645" s="32">
        <v>24</v>
      </c>
      <c r="P645" s="26" t="s">
        <v>104</v>
      </c>
      <c r="Q645" s="28">
        <v>2350</v>
      </c>
      <c r="R645" s="46"/>
      <c r="S645" s="39" t="s">
        <v>276</v>
      </c>
      <c r="T645" s="35">
        <v>0.1</v>
      </c>
      <c r="U645" s="35">
        <v>0.05</v>
      </c>
      <c r="V645" s="36">
        <v>48222</v>
      </c>
      <c r="W645" s="37" t="s">
        <v>781</v>
      </c>
      <c r="X645" s="36">
        <f>IF(NOTA[[#This Row],[HARGA/ CTN]]="",NOTA[[#This Row],[JUMLAH_H]],NOTA[[#This Row],[HARGA/ CTN]]*IF(NOTA[[#This Row],[C]]="",0,NOTA[[#This Row],[C]]))</f>
        <v>56400</v>
      </c>
      <c r="Y645" s="36">
        <f>IF(NOTA[[#This Row],[JUMLAH]]="","",NOTA[[#This Row],[JUMLAH]]*NOTA[[#This Row],[DISC 1]])</f>
        <v>5640</v>
      </c>
      <c r="Z645" s="36">
        <f>IF(NOTA[[#This Row],[JUMLAH]]="","",(NOTA[[#This Row],[JUMLAH]]-NOTA[[#This Row],[DISC 1-]])*NOTA[[#This Row],[DISC 2]])</f>
        <v>2538</v>
      </c>
      <c r="AA645" s="36">
        <f>IF(NOTA[[#This Row],[JUMLAH]]="","",NOTA[[#This Row],[DISC 1-]]+NOTA[[#This Row],[DISC 2-]])</f>
        <v>8178</v>
      </c>
      <c r="AB645" s="36">
        <f>IF(NOTA[[#This Row],[JUMLAH]]="","",NOTA[[#This Row],[JUMLAH]]-NOTA[[#This Row],[DISC]])</f>
        <v>48222</v>
      </c>
      <c r="AC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3008850</v>
      </c>
      <c r="AD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14543550</v>
      </c>
      <c r="AE645" s="28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F645" s="36">
        <f>IF(OR(NOTA[[#This Row],[QTY]]="",NOTA[[#This Row],[HARGA SATUAN]]="",),"",NOTA[[#This Row],[QTY]]*NOTA[[#This Row],[HARGA SATUAN]])</f>
        <v>56400</v>
      </c>
      <c r="AG645" s="33">
        <f ca="1">IF(NOTA[ID_H]="","",INDEX(NOTA[TANGGAL],MATCH(,INDIRECT(ADDRESS(ROW(NOTA[TANGGAL]),COLUMN(NOTA[TANGGAL]))&amp;":"&amp;ADDRESS(ROW(),COLUMN(NOTA[TANGGAL]))),-1)))</f>
        <v>44950</v>
      </c>
      <c r="AH645" s="28" t="str">
        <f ca="1">IF(NOTA[[#This Row],[NAMA BARANG]]="","",INDEX(NOTA[SUPPLIER],MATCH(,INDIRECT(ADDRESS(ROW(NOTA[ID]),COLUMN(NOTA[ID]))&amp;":"&amp;ADDRESS(ROW(),COLUMN(NOTA[ID]))),-1)))</f>
        <v>ATALI MAKMUR</v>
      </c>
      <c r="AI645" s="28" t="str">
        <f ca="1">IF(NOTA[[#This Row],[ID_H]]="","",IF(NOTA[[#This Row],[FAKTUR]]="",INDIRECT(ADDRESS(ROW()-1,COLUMN())),NOTA[[#This Row],[FAKTUR]]))</f>
        <v>ARTO MORO</v>
      </c>
      <c r="AJ645" s="38" t="str">
        <f ca="1">IF(NOTA[[#This Row],[ID]]="","",COUNTIF(NOTA[ID_H],NOTA[[#This Row],[ID_H]]))</f>
        <v/>
      </c>
      <c r="AK645" s="38">
        <f ca="1">IF(NOTA[[#This Row],[TGL.NOTA]]="",IF(NOTA[[#This Row],[SUPPLIER_H]]="","",AK644),MONTH(NOTA[[#This Row],[TGL.NOTA]]))</f>
        <v>1</v>
      </c>
      <c r="AL64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M645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N645" s="184">
        <f>IF(NOTA[[#This Row],[CONCAT1]]="","",MATCH(NOTA[[#This Row],[CONCAT1]],[1]!db[NB NOTA_C],0)+1)</f>
        <v>1834</v>
      </c>
    </row>
    <row r="646" spans="1:40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Row],[CEK_EXP]]&lt;D645,"err","")</f>
        <v/>
      </c>
      <c r="D646" s="29">
        <f>IF(NOTA[[#This Row],[TANGGAL]]="",D645,NOTA[[#This Row],[TANGGAL]])</f>
        <v>44950</v>
      </c>
      <c r="E646" s="29" t="str">
        <f ca="1">IF(NOTA[[#This Row],[NAMA BARANG]]="","",INDEX(NOTA[ID],MATCH(,INDIRECT(ADDRESS(ROW(NOTA[ID]),COLUMN(NOTA[ID]))&amp;":"&amp;ADDRESS(ROW(),COLUMN(NOTA[ID]))),-1)))</f>
        <v/>
      </c>
      <c r="F646" s="30"/>
      <c r="G646" s="32"/>
      <c r="H646" s="32"/>
      <c r="I646" s="55"/>
      <c r="J646" s="32"/>
      <c r="K646" s="33"/>
      <c r="L646" s="32"/>
      <c r="M646" s="26"/>
      <c r="N646" s="34"/>
      <c r="O646" s="32"/>
      <c r="P646" s="26"/>
      <c r="Q646" s="28"/>
      <c r="R646" s="46"/>
      <c r="S646" s="39"/>
      <c r="T646" s="35"/>
      <c r="U646" s="35"/>
      <c r="V646" s="36"/>
      <c r="W646" s="37"/>
      <c r="X646" s="36" t="str">
        <f>IF(NOTA[[#This Row],[HARGA/ CTN]]="",NOTA[[#This Row],[JUMLAH_H]],NOTA[[#This Row],[HARGA/ CTN]]*IF(NOTA[[#This Row],[C]]="",0,NOTA[[#This Row],[C]]))</f>
        <v/>
      </c>
      <c r="Y646" s="36" t="str">
        <f>IF(NOTA[[#This Row],[JUMLAH]]="","",NOTA[[#This Row],[JUMLAH]]*NOTA[[#This Row],[DISC 1]])</f>
        <v/>
      </c>
      <c r="Z646" s="36" t="str">
        <f>IF(NOTA[[#This Row],[JUMLAH]]="","",(NOTA[[#This Row],[JUMLAH]]-NOTA[[#This Row],[DISC 1-]])*NOTA[[#This Row],[DISC 2]])</f>
        <v/>
      </c>
      <c r="AA646" s="36" t="str">
        <f>IF(NOTA[[#This Row],[JUMLAH]]="","",NOTA[[#This Row],[DISC 1-]]+NOTA[[#This Row],[DISC 2-]])</f>
        <v/>
      </c>
      <c r="AB646" s="36" t="str">
        <f>IF(NOTA[[#This Row],[JUMLAH]]="","",NOTA[[#This Row],[JUMLAH]]-NOTA[[#This Row],[DISC]])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36" t="str">
        <f>IF(OR(NOTA[[#This Row],[QTY]]="",NOTA[[#This Row],[HARGA SATUAN]]="",),"",NOTA[[#This Row],[QTY]]*NOTA[[#This Row],[HARGA SATUAN]])</f>
        <v/>
      </c>
      <c r="AG646" s="33" t="str">
        <f ca="1">IF(NOTA[ID_H]="","",INDEX(NOTA[TANGGAL],MATCH(,INDIRECT(ADDRESS(ROW(NOTA[TANGGAL]),COLUMN(NOTA[TANGGAL]))&amp;":"&amp;ADDRESS(ROW(),COLUMN(NOTA[TANGGAL]))),-1)))</f>
        <v/>
      </c>
      <c r="AH646" s="28" t="str">
        <f ca="1">IF(NOTA[[#This Row],[NAMA BARANG]]="","",INDEX(NOTA[SUPPLIER],MATCH(,INDIRECT(ADDRESS(ROW(NOTA[ID]),COLUMN(NOTA[ID]))&amp;":"&amp;ADDRESS(ROW(),COLUMN(NOTA[ID]))),-1)))</f>
        <v/>
      </c>
      <c r="AI646" s="28" t="str">
        <f ca="1">IF(NOTA[[#This Row],[ID_H]]="","",IF(NOTA[[#This Row],[FAKTUR]]="",INDIRECT(ADDRESS(ROW()-1,COLUMN())),NOTA[[#This Row],[FAKTUR]]))</f>
        <v/>
      </c>
      <c r="AJ646" s="38" t="str">
        <f ca="1">IF(NOTA[[#This Row],[ID]]="","",COUNTIF(NOTA[ID_H],NOTA[[#This Row],[ID_H]]))</f>
        <v/>
      </c>
      <c r="AK646" s="38" t="str">
        <f ca="1">IF(NOTA[[#This Row],[TGL.NOTA]]="",IF(NOTA[[#This Row],[SUPPLIER_H]]="","",AK645),MONTH(NOTA[[#This Row],[TGL.NOTA]]))</f>
        <v/>
      </c>
      <c r="AL646" s="38" t="str">
        <f>LOWER(SUBSTITUTE(SUBSTITUTE(SUBSTITUTE(SUBSTITUTE(SUBSTITUTE(SUBSTITUTE(SUBSTITUTE(SUBSTITUTE(SUBSTITUTE(NOTA[NAMA BARANG]," ",),".",""),"-",""),"(",""),")",""),",",""),"/",""),"""",""),"+",""))</f>
        <v/>
      </c>
      <c r="AM646" s="38" t="str">
        <f>IF(NOTA[C]="",NOTA[[#This Row],[CONCAT1]]&amp;NOTA[[#This Row],[HARGA SATUAN]],NOTA[[#This Row],[CONCAT1]]&amp;NOTA[[#This Row],[HARGA/ CTN_H]]&amp;NOTA[[#This Row],[DISC 1]]&amp;NOTA[[#This Row],[DISC 2]])</f>
        <v/>
      </c>
      <c r="AN646" s="184" t="str">
        <f>IF(NOTA[[#This Row],[CONCAT1]]="","",MATCH(NOTA[[#This Row],[CONCAT1]],[1]!db[NB NOTA_C],0)+1)</f>
        <v/>
      </c>
    </row>
    <row r="647" spans="1:40" ht="20.100000000000001" customHeight="1" x14ac:dyDescent="0.25">
      <c r="A647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ATA_2401_237-6</v>
      </c>
      <c r="C647" s="29" t="str">
        <f>IF(NOTA[[#This Row],[CEK_EXP]]&lt;D646,"err","")</f>
        <v/>
      </c>
      <c r="D647" s="29">
        <f>IF(NOTA[[#This Row],[TANGGAL]]="",D646,NOTA[[#This Row],[TANGGAL]])</f>
        <v>44950</v>
      </c>
      <c r="E647" s="29">
        <f ca="1">IF(NOTA[[#This Row],[NAMA BARANG]]="","",INDEX(NOTA[ID],MATCH(,INDIRECT(ADDRESS(ROW(NOTA[ID]),COLUMN(NOTA[ID]))&amp;":"&amp;ADDRESS(ROW(),COLUMN(NOTA[ID]))),-1)))</f>
        <v>125</v>
      </c>
      <c r="F647" s="30"/>
      <c r="G647" s="26" t="s">
        <v>25</v>
      </c>
      <c r="H647" s="26" t="s">
        <v>24</v>
      </c>
      <c r="I647" s="31" t="s">
        <v>782</v>
      </c>
      <c r="J647" s="32"/>
      <c r="K647" s="51">
        <v>44946</v>
      </c>
      <c r="L647" s="32"/>
      <c r="M647" s="26" t="s">
        <v>428</v>
      </c>
      <c r="N647" s="34">
        <v>2</v>
      </c>
      <c r="O647" s="32">
        <v>60</v>
      </c>
      <c r="P647" s="26" t="s">
        <v>274</v>
      </c>
      <c r="Q647" s="28">
        <v>104400</v>
      </c>
      <c r="R647" s="52"/>
      <c r="S647" s="39" t="s">
        <v>370</v>
      </c>
      <c r="T647" s="35">
        <v>0.125</v>
      </c>
      <c r="U647" s="35">
        <v>0.05</v>
      </c>
      <c r="V647" s="36"/>
      <c r="W647" s="37"/>
      <c r="X647" s="36">
        <f>IF(NOTA[[#This Row],[HARGA/ CTN]]="",NOTA[[#This Row],[JUMLAH_H]],NOTA[[#This Row],[HARGA/ CTN]]*IF(NOTA[[#This Row],[C]]="",0,NOTA[[#This Row],[C]]))</f>
        <v>6264000</v>
      </c>
      <c r="Y647" s="36">
        <f>IF(NOTA[[#This Row],[JUMLAH]]="","",NOTA[[#This Row],[JUMLAH]]*NOTA[[#This Row],[DISC 1]])</f>
        <v>783000</v>
      </c>
      <c r="Z647" s="36">
        <f>IF(NOTA[[#This Row],[JUMLAH]]="","",(NOTA[[#This Row],[JUMLAH]]-NOTA[[#This Row],[DISC 1-]])*NOTA[[#This Row],[DISC 2]])</f>
        <v>274050</v>
      </c>
      <c r="AA647" s="36">
        <f>IF(NOTA[[#This Row],[JUMLAH]]="","",NOTA[[#This Row],[DISC 1-]]+NOTA[[#This Row],[DISC 2-]])</f>
        <v>1057050</v>
      </c>
      <c r="AB647" s="36">
        <f>IF(NOTA[[#This Row],[JUMLAH]]="","",NOTA[[#This Row],[JUMLAH]]-NOTA[[#This Row],[DISC]])</f>
        <v>5206950</v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647" s="36">
        <f>IF(OR(NOTA[[#This Row],[QTY]]="",NOTA[[#This Row],[HARGA SATUAN]]="",),"",NOTA[[#This Row],[QTY]]*NOTA[[#This Row],[HARGA SATUAN]])</f>
        <v>6264000</v>
      </c>
      <c r="AG647" s="33">
        <f ca="1">IF(NOTA[ID_H]="","",INDEX(NOTA[TANGGAL],MATCH(,INDIRECT(ADDRESS(ROW(NOTA[TANGGAL]),COLUMN(NOTA[TANGGAL]))&amp;":"&amp;ADDRESS(ROW(),COLUMN(NOTA[TANGGAL]))),-1)))</f>
        <v>44950</v>
      </c>
      <c r="AH647" s="28" t="str">
        <f ca="1">IF(NOTA[[#This Row],[NAMA BARANG]]="","",INDEX(NOTA[SUPPLIER],MATCH(,INDIRECT(ADDRESS(ROW(NOTA[ID]),COLUMN(NOTA[ID]))&amp;":"&amp;ADDRESS(ROW(),COLUMN(NOTA[ID]))),-1)))</f>
        <v>ATALI MAKMUR</v>
      </c>
      <c r="AI647" s="28" t="str">
        <f ca="1">IF(NOTA[[#This Row],[ID_H]]="","",IF(NOTA[[#This Row],[FAKTUR]]="",INDIRECT(ADDRESS(ROW()-1,COLUMN())),NOTA[[#This Row],[FAKTUR]]))</f>
        <v>ARTO MORO</v>
      </c>
      <c r="AJ647" s="38">
        <f ca="1">IF(NOTA[[#This Row],[ID]]="","",COUNTIF(NOTA[ID_H],NOTA[[#This Row],[ID_H]]))</f>
        <v>6</v>
      </c>
      <c r="AK647" s="38">
        <f>IF(NOTA[[#This Row],[TGL.NOTA]]="",IF(NOTA[[#This Row],[SUPPLIER_H]]="","",AK646),MONTH(NOTA[[#This Row],[TGL.NOTA]]))</f>
        <v>1</v>
      </c>
      <c r="AL6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647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N647" s="184">
        <f>IF(NOTA[[#This Row],[CONCAT1]]="","",MATCH(NOTA[[#This Row],[CONCAT1]],[1]!db[NB NOTA_C],0)+1)</f>
        <v>1765</v>
      </c>
    </row>
    <row r="648" spans="1:40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Row],[CEK_EXP]]&lt;D647,"err","")</f>
        <v/>
      </c>
      <c r="D648" s="29">
        <f>IF(NOTA[[#This Row],[TANGGAL]]="",D647,NOTA[[#This Row],[TANGGAL]])</f>
        <v>44950</v>
      </c>
      <c r="E648" s="29">
        <f ca="1">IF(NOTA[[#This Row],[NAMA BARANG]]="","",INDEX(NOTA[ID],MATCH(,INDIRECT(ADDRESS(ROW(NOTA[ID]),COLUMN(NOTA[ID]))&amp;":"&amp;ADDRESS(ROW(),COLUMN(NOTA[ID]))),-1)))</f>
        <v>125</v>
      </c>
      <c r="F648" s="30"/>
      <c r="G648" s="26"/>
      <c r="H648" s="26"/>
      <c r="I648" s="31"/>
      <c r="J648" s="26"/>
      <c r="K648" s="33"/>
      <c r="L648" s="26"/>
      <c r="M648" s="26" t="s">
        <v>783</v>
      </c>
      <c r="N648" s="34">
        <v>1</v>
      </c>
      <c r="O648" s="32">
        <v>72</v>
      </c>
      <c r="P648" s="26" t="s">
        <v>104</v>
      </c>
      <c r="Q648" s="28">
        <v>15800</v>
      </c>
      <c r="R648" s="46"/>
      <c r="S648" s="39" t="s">
        <v>692</v>
      </c>
      <c r="T648" s="35">
        <v>0.125</v>
      </c>
      <c r="U648" s="35">
        <v>0.05</v>
      </c>
      <c r="V648" s="36"/>
      <c r="W648" s="37"/>
      <c r="X648" s="36">
        <f>IF(NOTA[[#This Row],[HARGA/ CTN]]="",NOTA[[#This Row],[JUMLAH_H]],NOTA[[#This Row],[HARGA/ CTN]]*IF(NOTA[[#This Row],[C]]="",0,NOTA[[#This Row],[C]]))</f>
        <v>1137600</v>
      </c>
      <c r="Y648" s="36">
        <f>IF(NOTA[[#This Row],[JUMLAH]]="","",NOTA[[#This Row],[JUMLAH]]*NOTA[[#This Row],[DISC 1]])</f>
        <v>142200</v>
      </c>
      <c r="Z648" s="36">
        <f>IF(NOTA[[#This Row],[JUMLAH]]="","",(NOTA[[#This Row],[JUMLAH]]-NOTA[[#This Row],[DISC 1-]])*NOTA[[#This Row],[DISC 2]])</f>
        <v>49770</v>
      </c>
      <c r="AA648" s="36">
        <f>IF(NOTA[[#This Row],[JUMLAH]]="","",NOTA[[#This Row],[DISC 1-]]+NOTA[[#This Row],[DISC 2-]])</f>
        <v>191970</v>
      </c>
      <c r="AB648" s="36">
        <f>IF(NOTA[[#This Row],[JUMLAH]]="","",NOTA[[#This Row],[JUMLAH]]-NOTA[[#This Row],[DISC]])</f>
        <v>945630</v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48" s="36">
        <f>IF(OR(NOTA[[#This Row],[QTY]]="",NOTA[[#This Row],[HARGA SATUAN]]="",),"",NOTA[[#This Row],[QTY]]*NOTA[[#This Row],[HARGA SATUAN]])</f>
        <v>1137600</v>
      </c>
      <c r="AG648" s="33">
        <f ca="1">IF(NOTA[ID_H]="","",INDEX(NOTA[TANGGAL],MATCH(,INDIRECT(ADDRESS(ROW(NOTA[TANGGAL]),COLUMN(NOTA[TANGGAL]))&amp;":"&amp;ADDRESS(ROW(),COLUMN(NOTA[TANGGAL]))),-1)))</f>
        <v>44950</v>
      </c>
      <c r="AH648" s="28" t="str">
        <f ca="1">IF(NOTA[[#This Row],[NAMA BARANG]]="","",INDEX(NOTA[SUPPLIER],MATCH(,INDIRECT(ADDRESS(ROW(NOTA[ID]),COLUMN(NOTA[ID]))&amp;":"&amp;ADDRESS(ROW(),COLUMN(NOTA[ID]))),-1)))</f>
        <v>ATALI MAKMUR</v>
      </c>
      <c r="AI648" s="28" t="str">
        <f ca="1">IF(NOTA[[#This Row],[ID_H]]="","",IF(NOTA[[#This Row],[FAKTUR]]="",INDIRECT(ADDRESS(ROW()-1,COLUMN())),NOTA[[#This Row],[FAKTUR]]))</f>
        <v>ARTO MORO</v>
      </c>
      <c r="AJ648" s="38" t="str">
        <f ca="1">IF(NOTA[[#This Row],[ID]]="","",COUNTIF(NOTA[ID_H],NOTA[[#This Row],[ID_H]]))</f>
        <v/>
      </c>
      <c r="AK648" s="38">
        <f ca="1">IF(NOTA[[#This Row],[TGL.NOTA]]="",IF(NOTA[[#This Row],[SUPPLIER_H]]="","",AK647),MONTH(NOTA[[#This Row],[TGL.NOTA]]))</f>
        <v>1</v>
      </c>
      <c r="AL648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M648" s="38" t="str">
        <f>IF(NOTA[C]="",NOTA[[#This Row],[CONCAT1]]&amp;NOTA[[#This Row],[HARGA SATUAN]],NOTA[[#This Row],[CONCAT1]]&amp;NOTA[[#This Row],[HARGA/ CTN_H]]&amp;NOTA[[#This Row],[DISC 1]]&amp;NOTA[[#This Row],[DISC 2]])</f>
        <v>bindera5tsimm478imagintnjku11376000.1250.05</v>
      </c>
      <c r="AN648" s="184">
        <f>IF(NOTA[[#This Row],[CONCAT1]]="","",MATCH(NOTA[[#This Row],[CONCAT1]],[1]!db[NB NOTA_C],0)+1)</f>
        <v>157</v>
      </c>
    </row>
    <row r="649" spans="1:40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Row],[CEK_EXP]]&lt;D648,"err","")</f>
        <v/>
      </c>
      <c r="D649" s="29">
        <f>IF(NOTA[[#This Row],[TANGGAL]]="",D648,NOTA[[#This Row],[TANGGAL]])</f>
        <v>44950</v>
      </c>
      <c r="E649" s="29">
        <f ca="1">IF(NOTA[[#This Row],[NAMA BARANG]]="","",INDEX(NOTA[ID],MATCH(,INDIRECT(ADDRESS(ROW(NOTA[ID]),COLUMN(NOTA[ID]))&amp;":"&amp;ADDRESS(ROW(),COLUMN(NOTA[ID]))),-1)))</f>
        <v>125</v>
      </c>
      <c r="F649" s="30"/>
      <c r="G649" s="26"/>
      <c r="H649" s="26"/>
      <c r="I649" s="31"/>
      <c r="J649" s="32"/>
      <c r="K649" s="33"/>
      <c r="L649" s="32"/>
      <c r="M649" s="26" t="s">
        <v>784</v>
      </c>
      <c r="N649" s="34">
        <v>1</v>
      </c>
      <c r="O649" s="32">
        <v>72</v>
      </c>
      <c r="P649" s="26" t="s">
        <v>104</v>
      </c>
      <c r="Q649" s="28">
        <v>15800</v>
      </c>
      <c r="R649" s="46"/>
      <c r="S649" s="39" t="s">
        <v>692</v>
      </c>
      <c r="T649" s="35">
        <v>0.125</v>
      </c>
      <c r="U649" s="35">
        <v>0.05</v>
      </c>
      <c r="V649" s="36"/>
      <c r="W649" s="37"/>
      <c r="X649" s="36">
        <f>IF(NOTA[[#This Row],[HARGA/ CTN]]="",NOTA[[#This Row],[JUMLAH_H]],NOTA[[#This Row],[HARGA/ CTN]]*IF(NOTA[[#This Row],[C]]="",0,NOTA[[#This Row],[C]]))</f>
        <v>1137600</v>
      </c>
      <c r="Y649" s="36">
        <f>IF(NOTA[[#This Row],[JUMLAH]]="","",NOTA[[#This Row],[JUMLAH]]*NOTA[[#This Row],[DISC 1]])</f>
        <v>142200</v>
      </c>
      <c r="Z649" s="36">
        <f>IF(NOTA[[#This Row],[JUMLAH]]="","",(NOTA[[#This Row],[JUMLAH]]-NOTA[[#This Row],[DISC 1-]])*NOTA[[#This Row],[DISC 2]])</f>
        <v>49770</v>
      </c>
      <c r="AA649" s="36">
        <f>IF(NOTA[[#This Row],[JUMLAH]]="","",NOTA[[#This Row],[DISC 1-]]+NOTA[[#This Row],[DISC 2-]])</f>
        <v>191970</v>
      </c>
      <c r="AB649" s="36">
        <f>IF(NOTA[[#This Row],[JUMLAH]]="","",NOTA[[#This Row],[JUMLAH]]-NOTA[[#This Row],[DISC]])</f>
        <v>945630</v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49" s="36">
        <f>IF(OR(NOTA[[#This Row],[QTY]]="",NOTA[[#This Row],[HARGA SATUAN]]="",),"",NOTA[[#This Row],[QTY]]*NOTA[[#This Row],[HARGA SATUAN]])</f>
        <v>1137600</v>
      </c>
      <c r="AG649" s="33">
        <f ca="1">IF(NOTA[ID_H]="","",INDEX(NOTA[TANGGAL],MATCH(,INDIRECT(ADDRESS(ROW(NOTA[TANGGAL]),COLUMN(NOTA[TANGGAL]))&amp;":"&amp;ADDRESS(ROW(),COLUMN(NOTA[TANGGAL]))),-1)))</f>
        <v>44950</v>
      </c>
      <c r="AH649" s="28" t="str">
        <f ca="1">IF(NOTA[[#This Row],[NAMA BARANG]]="","",INDEX(NOTA[SUPPLIER],MATCH(,INDIRECT(ADDRESS(ROW(NOTA[ID]),COLUMN(NOTA[ID]))&amp;":"&amp;ADDRESS(ROW(),COLUMN(NOTA[ID]))),-1)))</f>
        <v>ATALI MAKMUR</v>
      </c>
      <c r="AI649" s="28" t="str">
        <f ca="1">IF(NOTA[[#This Row],[ID_H]]="","",IF(NOTA[[#This Row],[FAKTUR]]="",INDIRECT(ADDRESS(ROW()-1,COLUMN())),NOTA[[#This Row],[FAKTUR]]))</f>
        <v>ARTO MORO</v>
      </c>
      <c r="AJ649" s="38" t="str">
        <f ca="1">IF(NOTA[[#This Row],[ID]]="","",COUNTIF(NOTA[ID_H],NOTA[[#This Row],[ID_H]]))</f>
        <v/>
      </c>
      <c r="AK649" s="38">
        <f ca="1">IF(NOTA[[#This Row],[TGL.NOTA]]="",IF(NOTA[[#This Row],[SUPPLIER_H]]="","",AK648),MONTH(NOTA[[#This Row],[TGL.NOTA]]))</f>
        <v>1</v>
      </c>
      <c r="AL649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M649" s="38" t="str">
        <f>IF(NOTA[C]="",NOTA[[#This Row],[CONCAT1]]&amp;NOTA[[#This Row],[HARGA SATUAN]],NOTA[[#This Row],[CONCAT1]]&amp;NOTA[[#This Row],[HARGA/ CTN_H]]&amp;NOTA[[#This Row],[DISC 1]]&amp;NOTA[[#This Row],[DISC 2]])</f>
        <v>bindera5tsfcm480facultyjku11376000.1250.05</v>
      </c>
      <c r="AN649" s="184">
        <f>IF(NOTA[[#This Row],[CONCAT1]]="","",MATCH(NOTA[[#This Row],[CONCAT1]],[1]!db[NB NOTA_C],0)+1)</f>
        <v>151</v>
      </c>
    </row>
    <row r="650" spans="1:40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Row],[CEK_EXP]]&lt;D649,"err","")</f>
        <v/>
      </c>
      <c r="D650" s="29">
        <f>IF(NOTA[[#This Row],[TANGGAL]]="",D649,NOTA[[#This Row],[TANGGAL]])</f>
        <v>44950</v>
      </c>
      <c r="E650" s="29">
        <f ca="1">IF(NOTA[[#This Row],[NAMA BARANG]]="","",INDEX(NOTA[ID],MATCH(,INDIRECT(ADDRESS(ROW(NOTA[ID]),COLUMN(NOTA[ID]))&amp;":"&amp;ADDRESS(ROW(),COLUMN(NOTA[ID]))),-1)))</f>
        <v>125</v>
      </c>
      <c r="F650" s="30"/>
      <c r="G650" s="26"/>
      <c r="H650" s="26"/>
      <c r="I650" s="31"/>
      <c r="J650" s="26"/>
      <c r="K650" s="33"/>
      <c r="L650" s="32"/>
      <c r="M650" s="26" t="s">
        <v>785</v>
      </c>
      <c r="N650" s="34">
        <v>1</v>
      </c>
      <c r="O650" s="32">
        <v>72</v>
      </c>
      <c r="P650" s="26" t="s">
        <v>104</v>
      </c>
      <c r="Q650" s="28">
        <v>15800</v>
      </c>
      <c r="R650" s="46"/>
      <c r="S650" s="39" t="s">
        <v>692</v>
      </c>
      <c r="T650" s="35">
        <v>0.125</v>
      </c>
      <c r="U650" s="35">
        <v>0.05</v>
      </c>
      <c r="V650" s="36"/>
      <c r="W650" s="37"/>
      <c r="X650" s="36">
        <f>IF(NOTA[[#This Row],[HARGA/ CTN]]="",NOTA[[#This Row],[JUMLAH_H]],NOTA[[#This Row],[HARGA/ CTN]]*IF(NOTA[[#This Row],[C]]="",0,NOTA[[#This Row],[C]]))</f>
        <v>1137600</v>
      </c>
      <c r="Y650" s="36">
        <f>IF(NOTA[[#This Row],[JUMLAH]]="","",NOTA[[#This Row],[JUMLAH]]*NOTA[[#This Row],[DISC 1]])</f>
        <v>142200</v>
      </c>
      <c r="Z650" s="36">
        <f>IF(NOTA[[#This Row],[JUMLAH]]="","",(NOTA[[#This Row],[JUMLAH]]-NOTA[[#This Row],[DISC 1-]])*NOTA[[#This Row],[DISC 2]])</f>
        <v>49770</v>
      </c>
      <c r="AA650" s="36">
        <f>IF(NOTA[[#This Row],[JUMLAH]]="","",NOTA[[#This Row],[DISC 1-]]+NOTA[[#This Row],[DISC 2-]])</f>
        <v>191970</v>
      </c>
      <c r="AB650" s="36">
        <f>IF(NOTA[[#This Row],[JUMLAH]]="","",NOTA[[#This Row],[JUMLAH]]-NOTA[[#This Row],[DISC]])</f>
        <v>945630</v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50" s="36">
        <f>IF(OR(NOTA[[#This Row],[QTY]]="",NOTA[[#This Row],[HARGA SATUAN]]="",),"",NOTA[[#This Row],[QTY]]*NOTA[[#This Row],[HARGA SATUAN]])</f>
        <v>1137600</v>
      </c>
      <c r="AG650" s="33">
        <f ca="1">IF(NOTA[ID_H]="","",INDEX(NOTA[TANGGAL],MATCH(,INDIRECT(ADDRESS(ROW(NOTA[TANGGAL]),COLUMN(NOTA[TANGGAL]))&amp;":"&amp;ADDRESS(ROW(),COLUMN(NOTA[TANGGAL]))),-1)))</f>
        <v>44950</v>
      </c>
      <c r="AH650" s="28" t="str">
        <f ca="1">IF(NOTA[[#This Row],[NAMA BARANG]]="","",INDEX(NOTA[SUPPLIER],MATCH(,INDIRECT(ADDRESS(ROW(NOTA[ID]),COLUMN(NOTA[ID]))&amp;":"&amp;ADDRESS(ROW(),COLUMN(NOTA[ID]))),-1)))</f>
        <v>ATALI MAKMUR</v>
      </c>
      <c r="AI650" s="28" t="str">
        <f ca="1">IF(NOTA[[#This Row],[ID_H]]="","",IF(NOTA[[#This Row],[FAKTUR]]="",INDIRECT(ADDRESS(ROW()-1,COLUMN())),NOTA[[#This Row],[FAKTUR]]))</f>
        <v>ARTO MORO</v>
      </c>
      <c r="AJ650" s="38" t="str">
        <f ca="1">IF(NOTA[[#This Row],[ID]]="","",COUNTIF(NOTA[ID_H],NOTA[[#This Row],[ID_H]]))</f>
        <v/>
      </c>
      <c r="AK650" s="38">
        <f ca="1">IF(NOTA[[#This Row],[TGL.NOTA]]="",IF(NOTA[[#This Row],[SUPPLIER_H]]="","",AK649),MONTH(NOTA[[#This Row],[TGL.NOTA]]))</f>
        <v>1</v>
      </c>
      <c r="AL650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650" s="38" t="str">
        <f>IF(NOTA[C]="",NOTA[[#This Row],[CONCAT1]]&amp;NOTA[[#This Row],[HARGA SATUAN]],NOTA[[#This Row],[CONCAT1]]&amp;NOTA[[#This Row],[HARGA/ CTN_H]]&amp;NOTA[[#This Row],[DISC 1]]&amp;NOTA[[#This Row],[DISC 2]])</f>
        <v>bindera5tsfs514friendshipjku11376000.1250.05</v>
      </c>
      <c r="AN650" s="184">
        <f>IF(NOTA[[#This Row],[CONCAT1]]="","",MATCH(NOTA[[#This Row],[CONCAT1]],[1]!db[NB NOTA_C],0)+1)</f>
        <v>153</v>
      </c>
    </row>
    <row r="651" spans="1:40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Row],[CEK_EXP]]&lt;D650,"err","")</f>
        <v/>
      </c>
      <c r="D651" s="29">
        <f>IF(NOTA[[#This Row],[TANGGAL]]="",D650,NOTA[[#This Row],[TANGGAL]])</f>
        <v>44950</v>
      </c>
      <c r="E651" s="29">
        <f ca="1">IF(NOTA[[#This Row],[NAMA BARANG]]="","",INDEX(NOTA[ID],MATCH(,INDIRECT(ADDRESS(ROW(NOTA[ID]),COLUMN(NOTA[ID]))&amp;":"&amp;ADDRESS(ROW(),COLUMN(NOTA[ID]))),-1)))</f>
        <v>125</v>
      </c>
      <c r="F651" s="30"/>
      <c r="G651" s="26"/>
      <c r="H651" s="26"/>
      <c r="I651" s="31"/>
      <c r="J651" s="32"/>
      <c r="K651" s="33"/>
      <c r="L651" s="32"/>
      <c r="M651" s="26" t="s">
        <v>786</v>
      </c>
      <c r="N651" s="34">
        <v>1</v>
      </c>
      <c r="O651" s="32">
        <v>72</v>
      </c>
      <c r="P651" s="26" t="s">
        <v>104</v>
      </c>
      <c r="Q651" s="28">
        <v>15800</v>
      </c>
      <c r="R651" s="46"/>
      <c r="S651" s="39" t="s">
        <v>692</v>
      </c>
      <c r="T651" s="35">
        <v>0.125</v>
      </c>
      <c r="U651" s="35">
        <v>0.05</v>
      </c>
      <c r="V651" s="36"/>
      <c r="W651" s="37"/>
      <c r="X651" s="36">
        <f>IF(NOTA[[#This Row],[HARGA/ CTN]]="",NOTA[[#This Row],[JUMLAH_H]],NOTA[[#This Row],[HARGA/ CTN]]*IF(NOTA[[#This Row],[C]]="",0,NOTA[[#This Row],[C]]))</f>
        <v>1137600</v>
      </c>
      <c r="Y651" s="36">
        <f>IF(NOTA[[#This Row],[JUMLAH]]="","",NOTA[[#This Row],[JUMLAH]]*NOTA[[#This Row],[DISC 1]])</f>
        <v>142200</v>
      </c>
      <c r="Z651" s="36">
        <f>IF(NOTA[[#This Row],[JUMLAH]]="","",(NOTA[[#This Row],[JUMLAH]]-NOTA[[#This Row],[DISC 1-]])*NOTA[[#This Row],[DISC 2]])</f>
        <v>49770</v>
      </c>
      <c r="AA651" s="36">
        <f>IF(NOTA[[#This Row],[JUMLAH]]="","",NOTA[[#This Row],[DISC 1-]]+NOTA[[#This Row],[DISC 2-]])</f>
        <v>191970</v>
      </c>
      <c r="AB651" s="36">
        <f>IF(NOTA[[#This Row],[JUMLAH]]="","",NOTA[[#This Row],[JUMLAH]]-NOTA[[#This Row],[DISC]])</f>
        <v>945630</v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51" s="36">
        <f>IF(OR(NOTA[[#This Row],[QTY]]="",NOTA[[#This Row],[HARGA SATUAN]]="",),"",NOTA[[#This Row],[QTY]]*NOTA[[#This Row],[HARGA SATUAN]])</f>
        <v>1137600</v>
      </c>
      <c r="AG651" s="33">
        <f ca="1">IF(NOTA[ID_H]="","",INDEX(NOTA[TANGGAL],MATCH(,INDIRECT(ADDRESS(ROW(NOTA[TANGGAL]),COLUMN(NOTA[TANGGAL]))&amp;":"&amp;ADDRESS(ROW(),COLUMN(NOTA[TANGGAL]))),-1)))</f>
        <v>44950</v>
      </c>
      <c r="AH651" s="28" t="str">
        <f ca="1">IF(NOTA[[#This Row],[NAMA BARANG]]="","",INDEX(NOTA[SUPPLIER],MATCH(,INDIRECT(ADDRESS(ROW(NOTA[ID]),COLUMN(NOTA[ID]))&amp;":"&amp;ADDRESS(ROW(),COLUMN(NOTA[ID]))),-1)))</f>
        <v>ATALI MAKMUR</v>
      </c>
      <c r="AI651" s="28" t="str">
        <f ca="1">IF(NOTA[[#This Row],[ID_H]]="","",IF(NOTA[[#This Row],[FAKTUR]]="",INDIRECT(ADDRESS(ROW()-1,COLUMN())),NOTA[[#This Row],[FAKTUR]]))</f>
        <v>ARTO MORO</v>
      </c>
      <c r="AJ651" s="38" t="str">
        <f ca="1">IF(NOTA[[#This Row],[ID]]="","",COUNTIF(NOTA[ID_H],NOTA[[#This Row],[ID_H]]))</f>
        <v/>
      </c>
      <c r="AK651" s="38">
        <f ca="1">IF(NOTA[[#This Row],[TGL.NOTA]]="",IF(NOTA[[#This Row],[SUPPLIER_H]]="","",AK650),MONTH(NOTA[[#This Row],[TGL.NOTA]]))</f>
        <v>1</v>
      </c>
      <c r="AL651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651" s="38" t="str">
        <f>IF(NOTA[C]="",NOTA[[#This Row],[CONCAT1]]&amp;NOTA[[#This Row],[HARGA SATUAN]],NOTA[[#This Row],[CONCAT1]]&amp;NOTA[[#This Row],[HARGA/ CTN_H]]&amp;NOTA[[#This Row],[DISC 1]]&amp;NOTA[[#This Row],[DISC 2]])</f>
        <v>bindera5tsedm503educationjku11376000.1250.05</v>
      </c>
      <c r="AN651" s="184">
        <f>IF(NOTA[[#This Row],[CONCAT1]]="","",MATCH(NOTA[[#This Row],[CONCAT1]],[1]!db[NB NOTA_C],0)+1)</f>
        <v>150</v>
      </c>
    </row>
    <row r="652" spans="1:40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Row],[CEK_EXP]]&lt;D651,"err","")</f>
        <v/>
      </c>
      <c r="D652" s="29">
        <f>IF(NOTA[[#This Row],[TANGGAL]]="",D651,NOTA[[#This Row],[TANGGAL]])</f>
        <v>44950</v>
      </c>
      <c r="E652" s="29">
        <f ca="1">IF(NOTA[[#This Row],[NAMA BARANG]]="","",INDEX(NOTA[ID],MATCH(,INDIRECT(ADDRESS(ROW(NOTA[ID]),COLUMN(NOTA[ID]))&amp;":"&amp;ADDRESS(ROW(),COLUMN(NOTA[ID]))),-1)))</f>
        <v>125</v>
      </c>
      <c r="F652" s="30"/>
      <c r="G652" s="26"/>
      <c r="H652" s="26"/>
      <c r="I652" s="31"/>
      <c r="J652" s="32"/>
      <c r="K652" s="33"/>
      <c r="L652" s="32"/>
      <c r="M652" s="26" t="s">
        <v>787</v>
      </c>
      <c r="N652" s="34">
        <v>1</v>
      </c>
      <c r="O652" s="32">
        <v>72</v>
      </c>
      <c r="P652" s="26" t="s">
        <v>104</v>
      </c>
      <c r="Q652" s="28">
        <v>15800</v>
      </c>
      <c r="R652" s="52"/>
      <c r="S652" s="39" t="s">
        <v>692</v>
      </c>
      <c r="T652" s="35">
        <v>0.125</v>
      </c>
      <c r="U652" s="35">
        <v>0.05</v>
      </c>
      <c r="V652" s="36"/>
      <c r="W652" s="37"/>
      <c r="X652" s="36">
        <f>IF(NOTA[[#This Row],[HARGA/ CTN]]="",NOTA[[#This Row],[JUMLAH_H]],NOTA[[#This Row],[HARGA/ CTN]]*IF(NOTA[[#This Row],[C]]="",0,NOTA[[#This Row],[C]]))</f>
        <v>1137600</v>
      </c>
      <c r="Y652" s="36">
        <f>IF(NOTA[[#This Row],[JUMLAH]]="","",NOTA[[#This Row],[JUMLAH]]*NOTA[[#This Row],[DISC 1]])</f>
        <v>142200</v>
      </c>
      <c r="Z652" s="36">
        <f>IF(NOTA[[#This Row],[JUMLAH]]="","",(NOTA[[#This Row],[JUMLAH]]-NOTA[[#This Row],[DISC 1-]])*NOTA[[#This Row],[DISC 2]])</f>
        <v>49770</v>
      </c>
      <c r="AA652" s="36">
        <f>IF(NOTA[[#This Row],[JUMLAH]]="","",NOTA[[#This Row],[DISC 1-]]+NOTA[[#This Row],[DISC 2-]])</f>
        <v>191970</v>
      </c>
      <c r="AB652" s="36">
        <f>IF(NOTA[[#This Row],[JUMLAH]]="","",NOTA[[#This Row],[JUMLAH]]-NOTA[[#This Row],[DISC]])</f>
        <v>945630</v>
      </c>
      <c r="AC6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2016900</v>
      </c>
      <c r="AD6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9935100</v>
      </c>
      <c r="AE652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52" s="36">
        <f>IF(OR(NOTA[[#This Row],[QTY]]="",NOTA[[#This Row],[HARGA SATUAN]]="",),"",NOTA[[#This Row],[QTY]]*NOTA[[#This Row],[HARGA SATUAN]])</f>
        <v>1137600</v>
      </c>
      <c r="AG652" s="33">
        <f ca="1">IF(NOTA[ID_H]="","",INDEX(NOTA[TANGGAL],MATCH(,INDIRECT(ADDRESS(ROW(NOTA[TANGGAL]),COLUMN(NOTA[TANGGAL]))&amp;":"&amp;ADDRESS(ROW(),COLUMN(NOTA[TANGGAL]))),-1)))</f>
        <v>44950</v>
      </c>
      <c r="AH652" s="28" t="str">
        <f ca="1">IF(NOTA[[#This Row],[NAMA BARANG]]="","",INDEX(NOTA[SUPPLIER],MATCH(,INDIRECT(ADDRESS(ROW(NOTA[ID]),COLUMN(NOTA[ID]))&amp;":"&amp;ADDRESS(ROW(),COLUMN(NOTA[ID]))),-1)))</f>
        <v>ATALI MAKMUR</v>
      </c>
      <c r="AI652" s="28" t="str">
        <f ca="1">IF(NOTA[[#This Row],[ID_H]]="","",IF(NOTA[[#This Row],[FAKTUR]]="",INDIRECT(ADDRESS(ROW()-1,COLUMN())),NOTA[[#This Row],[FAKTUR]]))</f>
        <v>ARTO MORO</v>
      </c>
      <c r="AJ652" s="38" t="str">
        <f ca="1">IF(NOTA[[#This Row],[ID]]="","",COUNTIF(NOTA[ID_H],NOTA[[#This Row],[ID_H]]))</f>
        <v/>
      </c>
      <c r="AK652" s="38">
        <f ca="1">IF(NOTA[[#This Row],[TGL.NOTA]]="",IF(NOTA[[#This Row],[SUPPLIER_H]]="","",AK651),MONTH(NOTA[[#This Row],[TGL.NOTA]]))</f>
        <v>1</v>
      </c>
      <c r="AL652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652" s="38" t="str">
        <f>IF(NOTA[C]="",NOTA[[#This Row],[CONCAT1]]&amp;NOTA[[#This Row],[HARGA SATUAN]],NOTA[[#This Row],[CONCAT1]]&amp;NOTA[[#This Row],[HARGA/ CTN_H]]&amp;NOTA[[#This Row],[DISC 1]]&amp;NOTA[[#This Row],[DISC 2]])</f>
        <v>bindera5tsclm401collegejku11376000.1250.05</v>
      </c>
      <c r="AN652" s="184">
        <f>IF(NOTA[[#This Row],[CONCAT1]]="","",MATCH(NOTA[[#This Row],[CONCAT1]],[1]!db[NB NOTA_C],0)+1)</f>
        <v>142</v>
      </c>
    </row>
    <row r="653" spans="1:40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Row],[CEK_EXP]]&lt;D652,"err","")</f>
        <v/>
      </c>
      <c r="D653" s="29">
        <f>IF(NOTA[[#This Row],[TANGGAL]]="",D652,NOTA[[#This Row],[TANGGAL]])</f>
        <v>44950</v>
      </c>
      <c r="E653" s="29" t="str">
        <f ca="1">IF(NOTA[[#This Row],[NAMA BARANG]]="","",INDEX(NOTA[ID],MATCH(,INDIRECT(ADDRESS(ROW(NOTA[ID]),COLUMN(NOTA[ID]))&amp;":"&amp;ADDRESS(ROW(),COLUMN(NOTA[ID]))),-1)))</f>
        <v/>
      </c>
      <c r="F653" s="30"/>
      <c r="G653" s="32"/>
      <c r="H653" s="32"/>
      <c r="I653" s="55"/>
      <c r="J653" s="32"/>
      <c r="K653" s="33"/>
      <c r="L653" s="32"/>
      <c r="M653" s="26"/>
      <c r="N653" s="34"/>
      <c r="O653" s="32"/>
      <c r="P653" s="26"/>
      <c r="Q653" s="28"/>
      <c r="R653" s="46"/>
      <c r="S653" s="39"/>
      <c r="T653" s="35"/>
      <c r="U653" s="35"/>
      <c r="V653" s="36"/>
      <c r="W653" s="37"/>
      <c r="X653" s="36" t="str">
        <f>IF(NOTA[[#This Row],[HARGA/ CTN]]="",NOTA[[#This Row],[JUMLAH_H]],NOTA[[#This Row],[HARGA/ CTN]]*IF(NOTA[[#This Row],[C]]="",0,NOTA[[#This Row],[C]]))</f>
        <v/>
      </c>
      <c r="Y653" s="36" t="str">
        <f>IF(NOTA[[#This Row],[JUMLAH]]="","",NOTA[[#This Row],[JUMLAH]]*NOTA[[#This Row],[DISC 1]])</f>
        <v/>
      </c>
      <c r="Z653" s="36" t="str">
        <f>IF(NOTA[[#This Row],[JUMLAH]]="","",(NOTA[[#This Row],[JUMLAH]]-NOTA[[#This Row],[DISC 1-]])*NOTA[[#This Row],[DISC 2]])</f>
        <v/>
      </c>
      <c r="AA653" s="36" t="str">
        <f>IF(NOTA[[#This Row],[JUMLAH]]="","",NOTA[[#This Row],[DISC 1-]]+NOTA[[#This Row],[DISC 2-]])</f>
        <v/>
      </c>
      <c r="AB653" s="36" t="str">
        <f>IF(NOTA[[#This Row],[JUMLAH]]="","",NOTA[[#This Row],[JUMLAH]]-NOTA[[#This Row],[DISC]])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36" t="str">
        <f>IF(OR(NOTA[[#This Row],[QTY]]="",NOTA[[#This Row],[HARGA SATUAN]]="",),"",NOTA[[#This Row],[QTY]]*NOTA[[#This Row],[HARGA SATUAN]])</f>
        <v/>
      </c>
      <c r="AG653" s="33" t="str">
        <f ca="1">IF(NOTA[ID_H]="","",INDEX(NOTA[TANGGAL],MATCH(,INDIRECT(ADDRESS(ROW(NOTA[TANGGAL]),COLUMN(NOTA[TANGGAL]))&amp;":"&amp;ADDRESS(ROW(),COLUMN(NOTA[TANGGAL]))),-1)))</f>
        <v/>
      </c>
      <c r="AH653" s="28" t="str">
        <f ca="1">IF(NOTA[[#This Row],[NAMA BARANG]]="","",INDEX(NOTA[SUPPLIER],MATCH(,INDIRECT(ADDRESS(ROW(NOTA[ID]),COLUMN(NOTA[ID]))&amp;":"&amp;ADDRESS(ROW(),COLUMN(NOTA[ID]))),-1)))</f>
        <v/>
      </c>
      <c r="AI653" s="28" t="str">
        <f ca="1">IF(NOTA[[#This Row],[ID_H]]="","",IF(NOTA[[#This Row],[FAKTUR]]="",INDIRECT(ADDRESS(ROW()-1,COLUMN())),NOTA[[#This Row],[FAKTUR]]))</f>
        <v/>
      </c>
      <c r="AJ653" s="38" t="str">
        <f ca="1">IF(NOTA[[#This Row],[ID]]="","",COUNTIF(NOTA[ID_H],NOTA[[#This Row],[ID_H]]))</f>
        <v/>
      </c>
      <c r="AK653" s="38" t="str">
        <f ca="1">IF(NOTA[[#This Row],[TGL.NOTA]]="",IF(NOTA[[#This Row],[SUPPLIER_H]]="","",AK652),MONTH(NOTA[[#This Row],[TGL.NOTA]]))</f>
        <v/>
      </c>
      <c r="AL653" s="38" t="str">
        <f>LOWER(SUBSTITUTE(SUBSTITUTE(SUBSTITUTE(SUBSTITUTE(SUBSTITUTE(SUBSTITUTE(SUBSTITUTE(SUBSTITUTE(SUBSTITUTE(NOTA[NAMA BARANG]," ",),".",""),"-",""),"(",""),")",""),",",""),"/",""),"""",""),"+",""))</f>
        <v/>
      </c>
      <c r="AM653" s="38" t="str">
        <f>IF(NOTA[C]="",NOTA[[#This Row],[CONCAT1]]&amp;NOTA[[#This Row],[HARGA SATUAN]],NOTA[[#This Row],[CONCAT1]]&amp;NOTA[[#This Row],[HARGA/ CTN_H]]&amp;NOTA[[#This Row],[DISC 1]]&amp;NOTA[[#This Row],[DISC 2]])</f>
        <v/>
      </c>
      <c r="AN653" s="184" t="str">
        <f>IF(NOTA[[#This Row],[CONCAT1]]="","",MATCH(NOTA[[#This Row],[CONCAT1]],[1]!db[NB NOTA_C],0)+1)</f>
        <v/>
      </c>
    </row>
    <row r="654" spans="1:40" ht="20.100000000000001" customHeight="1" x14ac:dyDescent="0.25">
      <c r="A654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ATA_2401_228-11</v>
      </c>
      <c r="C654" s="29" t="str">
        <f>IF(NOTA[[#This Row],[CEK_EXP]]&lt;D653,"err","")</f>
        <v/>
      </c>
      <c r="D654" s="29">
        <f>IF(NOTA[[#This Row],[TANGGAL]]="",D653,NOTA[[#This Row],[TANGGAL]])</f>
        <v>44950</v>
      </c>
      <c r="E654" s="29">
        <f ca="1">IF(NOTA[[#This Row],[NAMA BARANG]]="","",INDEX(NOTA[ID],MATCH(,INDIRECT(ADDRESS(ROW(NOTA[ID]),COLUMN(NOTA[ID]))&amp;":"&amp;ADDRESS(ROW(),COLUMN(NOTA[ID]))),-1)))</f>
        <v>126</v>
      </c>
      <c r="F654" s="30"/>
      <c r="G654" s="26" t="s">
        <v>25</v>
      </c>
      <c r="H654" s="26" t="s">
        <v>24</v>
      </c>
      <c r="I654" s="31" t="s">
        <v>788</v>
      </c>
      <c r="J654" s="32"/>
      <c r="K654" s="33">
        <v>44946</v>
      </c>
      <c r="L654" s="32"/>
      <c r="M654" s="26" t="s">
        <v>658</v>
      </c>
      <c r="N654" s="34">
        <v>1</v>
      </c>
      <c r="O654" s="32">
        <v>480</v>
      </c>
      <c r="P654" s="26" t="s">
        <v>104</v>
      </c>
      <c r="Q654" s="28">
        <v>8500</v>
      </c>
      <c r="R654" s="46"/>
      <c r="S654" s="39" t="s">
        <v>659</v>
      </c>
      <c r="T654" s="35">
        <v>0.125</v>
      </c>
      <c r="U654" s="35">
        <v>0.05</v>
      </c>
      <c r="V654" s="36"/>
      <c r="W654" s="37"/>
      <c r="X654" s="36">
        <f>IF(NOTA[[#This Row],[HARGA/ CTN]]="",NOTA[[#This Row],[JUMLAH_H]],NOTA[[#This Row],[HARGA/ CTN]]*IF(NOTA[[#This Row],[C]]="",0,NOTA[[#This Row],[C]]))</f>
        <v>4080000</v>
      </c>
      <c r="Y654" s="36">
        <f>IF(NOTA[[#This Row],[JUMLAH]]="","",NOTA[[#This Row],[JUMLAH]]*NOTA[[#This Row],[DISC 1]])</f>
        <v>510000</v>
      </c>
      <c r="Z654" s="36">
        <f>IF(NOTA[[#This Row],[JUMLAH]]="","",(NOTA[[#This Row],[JUMLAH]]-NOTA[[#This Row],[DISC 1-]])*NOTA[[#This Row],[DISC 2]])</f>
        <v>178500</v>
      </c>
      <c r="AA654" s="36">
        <f>IF(NOTA[[#This Row],[JUMLAH]]="","",NOTA[[#This Row],[DISC 1-]]+NOTA[[#This Row],[DISC 2-]])</f>
        <v>688500</v>
      </c>
      <c r="AB654" s="36">
        <f>IF(NOTA[[#This Row],[JUMLAH]]="","",NOTA[[#This Row],[JUMLAH]]-NOTA[[#This Row],[DISC]])</f>
        <v>3391500</v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28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654" s="36">
        <f>IF(OR(NOTA[[#This Row],[QTY]]="",NOTA[[#This Row],[HARGA SATUAN]]="",),"",NOTA[[#This Row],[QTY]]*NOTA[[#This Row],[HARGA SATUAN]])</f>
        <v>4080000</v>
      </c>
      <c r="AG654" s="33">
        <f ca="1">IF(NOTA[ID_H]="","",INDEX(NOTA[TANGGAL],MATCH(,INDIRECT(ADDRESS(ROW(NOTA[TANGGAL]),COLUMN(NOTA[TANGGAL]))&amp;":"&amp;ADDRESS(ROW(),COLUMN(NOTA[TANGGAL]))),-1)))</f>
        <v>44950</v>
      </c>
      <c r="AH654" s="28" t="str">
        <f ca="1">IF(NOTA[[#This Row],[NAMA BARANG]]="","",INDEX(NOTA[SUPPLIER],MATCH(,INDIRECT(ADDRESS(ROW(NOTA[ID]),COLUMN(NOTA[ID]))&amp;":"&amp;ADDRESS(ROW(),COLUMN(NOTA[ID]))),-1)))</f>
        <v>ATALI MAKMUR</v>
      </c>
      <c r="AI654" s="28" t="str">
        <f ca="1">IF(NOTA[[#This Row],[ID_H]]="","",IF(NOTA[[#This Row],[FAKTUR]]="",INDIRECT(ADDRESS(ROW()-1,COLUMN())),NOTA[[#This Row],[FAKTUR]]))</f>
        <v>ARTO MORO</v>
      </c>
      <c r="AJ654" s="38">
        <f ca="1">IF(NOTA[[#This Row],[ID]]="","",COUNTIF(NOTA[ID_H],NOTA[[#This Row],[ID_H]]))</f>
        <v>11</v>
      </c>
      <c r="AK654" s="38">
        <f>IF(NOTA[[#This Row],[TGL.NOTA]]="",IF(NOTA[[#This Row],[SUPPLIER_H]]="","",AK653),MONTH(NOTA[[#This Row],[TGL.NOTA]]))</f>
        <v>1</v>
      </c>
      <c r="AL654" s="38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M654" s="38" t="str">
        <f>IF(NOTA[C]="",NOTA[[#This Row],[CONCAT1]]&amp;NOTA[[#This Row],[HARGA SATUAN]],NOTA[[#This Row],[CONCAT1]]&amp;NOTA[[#This Row],[HARGA/ CTN_H]]&amp;NOTA[[#This Row],[DISC 1]]&amp;NOTA[[#This Row],[DISC 2]])</f>
        <v>correctiontapect533jk40800000.1250.05</v>
      </c>
      <c r="AN654" s="184">
        <f>IF(NOTA[[#This Row],[CONCAT1]]="","",MATCH(NOTA[[#This Row],[CONCAT1]],[1]!db[NB NOTA_C],0)+1)</f>
        <v>524</v>
      </c>
    </row>
    <row r="655" spans="1:40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Row],[CEK_EXP]]&lt;D654,"err","")</f>
        <v/>
      </c>
      <c r="D655" s="29">
        <f>IF(NOTA[[#This Row],[TANGGAL]]="",D654,NOTA[[#This Row],[TANGGAL]])</f>
        <v>44950</v>
      </c>
      <c r="E655" s="29">
        <f ca="1">IF(NOTA[[#This Row],[NAMA BARANG]]="","",INDEX(NOTA[ID],MATCH(,INDIRECT(ADDRESS(ROW(NOTA[ID]),COLUMN(NOTA[ID]))&amp;":"&amp;ADDRESS(ROW(),COLUMN(NOTA[ID]))),-1)))</f>
        <v>126</v>
      </c>
      <c r="F655" s="30"/>
      <c r="G655" s="26"/>
      <c r="H655" s="26"/>
      <c r="I655" s="31"/>
      <c r="J655" s="32"/>
      <c r="K655" s="33"/>
      <c r="L655" s="32"/>
      <c r="M655" s="26" t="s">
        <v>789</v>
      </c>
      <c r="N655" s="34">
        <v>4</v>
      </c>
      <c r="O655" s="32">
        <v>3456</v>
      </c>
      <c r="P655" s="26" t="s">
        <v>104</v>
      </c>
      <c r="Q655" s="49">
        <v>2450</v>
      </c>
      <c r="R655" s="52"/>
      <c r="S655" s="39" t="s">
        <v>681</v>
      </c>
      <c r="T655" s="35">
        <v>0.125</v>
      </c>
      <c r="U655" s="35">
        <v>0.05</v>
      </c>
      <c r="V655" s="36"/>
      <c r="W655" s="37"/>
      <c r="X655" s="36">
        <f>IF(NOTA[[#This Row],[HARGA/ CTN]]="",NOTA[[#This Row],[JUMLAH_H]],NOTA[[#This Row],[HARGA/ CTN]]*IF(NOTA[[#This Row],[C]]="",0,NOTA[[#This Row],[C]]))</f>
        <v>8467200</v>
      </c>
      <c r="Y655" s="36">
        <f>IF(NOTA[[#This Row],[JUMLAH]]="","",NOTA[[#This Row],[JUMLAH]]*NOTA[[#This Row],[DISC 1]])</f>
        <v>1058400</v>
      </c>
      <c r="Z655" s="36">
        <f>IF(NOTA[[#This Row],[JUMLAH]]="","",(NOTA[[#This Row],[JUMLAH]]-NOTA[[#This Row],[DISC 1-]])*NOTA[[#This Row],[DISC 2]])</f>
        <v>370440</v>
      </c>
      <c r="AA655" s="36">
        <f>IF(NOTA[[#This Row],[JUMLAH]]="","",NOTA[[#This Row],[DISC 1-]]+NOTA[[#This Row],[DISC 2-]])</f>
        <v>1428840</v>
      </c>
      <c r="AB655" s="36">
        <f>IF(NOTA[[#This Row],[JUMLAH]]="","",NOTA[[#This Row],[JUMLAH]]-NOTA[[#This Row],[DISC]])</f>
        <v>7038360</v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655" s="36">
        <f>IF(OR(NOTA[[#This Row],[QTY]]="",NOTA[[#This Row],[HARGA SATUAN]]="",),"",NOTA[[#This Row],[QTY]]*NOTA[[#This Row],[HARGA SATUAN]])</f>
        <v>8467200</v>
      </c>
      <c r="AG655" s="33">
        <f ca="1">IF(NOTA[ID_H]="","",INDEX(NOTA[TANGGAL],MATCH(,INDIRECT(ADDRESS(ROW(NOTA[TANGGAL]),COLUMN(NOTA[TANGGAL]))&amp;":"&amp;ADDRESS(ROW(),COLUMN(NOTA[TANGGAL]))),-1)))</f>
        <v>44950</v>
      </c>
      <c r="AH655" s="28" t="str">
        <f ca="1">IF(NOTA[[#This Row],[NAMA BARANG]]="","",INDEX(NOTA[SUPPLIER],MATCH(,INDIRECT(ADDRESS(ROW(NOTA[ID]),COLUMN(NOTA[ID]))&amp;":"&amp;ADDRESS(ROW(),COLUMN(NOTA[ID]))),-1)))</f>
        <v>ATALI MAKMUR</v>
      </c>
      <c r="AI655" s="28" t="str">
        <f ca="1">IF(NOTA[[#This Row],[ID_H]]="","",IF(NOTA[[#This Row],[FAKTUR]]="",INDIRECT(ADDRESS(ROW()-1,COLUMN())),NOTA[[#This Row],[FAKTUR]]))</f>
        <v>ARTO MORO</v>
      </c>
      <c r="AJ655" s="38" t="str">
        <f ca="1">IF(NOTA[[#This Row],[ID]]="","",COUNTIF(NOTA[ID_H],NOTA[[#This Row],[ID_H]]))</f>
        <v/>
      </c>
      <c r="AK655" s="38">
        <f ca="1">IF(NOTA[[#This Row],[TGL.NOTA]]="",IF(NOTA[[#This Row],[SUPPLIER_H]]="","",AK654),MONTH(NOTA[[#This Row],[TGL.NOTA]]))</f>
        <v>1</v>
      </c>
      <c r="AL6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655" s="38" t="str">
        <f>IF(NOTA[C]="",NOTA[[#This Row],[CONCAT1]]&amp;NOTA[[#This Row],[HARGA SATUAN]],NOTA[[#This Row],[CONCAT1]]&amp;NOTA[[#This Row],[HARGA/ CTN_H]]&amp;NOTA[[#This Row],[DISC 1]]&amp;NOTA[[#This Row],[DISC 2]])</f>
        <v>gluestickgs104animalkingdomjk21168000.1250.05</v>
      </c>
      <c r="AN655" s="184">
        <f>IF(NOTA[[#This Row],[CONCAT1]]="","",MATCH(NOTA[[#This Row],[CONCAT1]],[1]!db[NB NOTA_C],0)+1)</f>
        <v>931</v>
      </c>
    </row>
    <row r="656" spans="1:40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Row],[CEK_EXP]]&lt;D655,"err","")</f>
        <v/>
      </c>
      <c r="D656" s="29">
        <f>IF(NOTA[[#This Row],[TANGGAL]]="",D655,NOTA[[#This Row],[TANGGAL]])</f>
        <v>44950</v>
      </c>
      <c r="E656" s="29">
        <f ca="1">IF(NOTA[[#This Row],[NAMA BARANG]]="","",INDEX(NOTA[ID],MATCH(,INDIRECT(ADDRESS(ROW(NOTA[ID]),COLUMN(NOTA[ID]))&amp;":"&amp;ADDRESS(ROW(),COLUMN(NOTA[ID]))),-1)))</f>
        <v>126</v>
      </c>
      <c r="F656" s="30"/>
      <c r="G656" s="32"/>
      <c r="H656" s="32"/>
      <c r="I656" s="55"/>
      <c r="J656" s="32"/>
      <c r="K656" s="33"/>
      <c r="L656" s="32"/>
      <c r="M656" s="26" t="s">
        <v>797</v>
      </c>
      <c r="N656" s="34">
        <v>1</v>
      </c>
      <c r="O656" s="32">
        <v>12</v>
      </c>
      <c r="P656" s="26" t="s">
        <v>104</v>
      </c>
      <c r="Q656" s="28">
        <v>31000</v>
      </c>
      <c r="R656" s="46"/>
      <c r="S656" s="39" t="s">
        <v>448</v>
      </c>
      <c r="T656" s="35">
        <v>0.125</v>
      </c>
      <c r="U656" s="35">
        <v>0.05</v>
      </c>
      <c r="V656" s="36"/>
      <c r="W656" s="37"/>
      <c r="X656" s="36">
        <f>IF(NOTA[[#This Row],[HARGA/ CTN]]="",NOTA[[#This Row],[JUMLAH_H]],NOTA[[#This Row],[HARGA/ CTN]]*IF(NOTA[[#This Row],[C]]="",0,NOTA[[#This Row],[C]]))</f>
        <v>372000</v>
      </c>
      <c r="Y656" s="36">
        <f>IF(NOTA[[#This Row],[JUMLAH]]="","",NOTA[[#This Row],[JUMLAH]]*NOTA[[#This Row],[DISC 1]])</f>
        <v>46500</v>
      </c>
      <c r="Z656" s="36">
        <f>IF(NOTA[[#This Row],[JUMLAH]]="","",(NOTA[[#This Row],[JUMLAH]]-NOTA[[#This Row],[DISC 1-]])*NOTA[[#This Row],[DISC 2]])</f>
        <v>16275</v>
      </c>
      <c r="AA656" s="36">
        <f>IF(NOTA[[#This Row],[JUMLAH]]="","",NOTA[[#This Row],[DISC 1-]]+NOTA[[#This Row],[DISC 2-]])</f>
        <v>62775</v>
      </c>
      <c r="AB656" s="36">
        <f>IF(NOTA[[#This Row],[JUMLAH]]="","",NOTA[[#This Row],[JUMLAH]]-NOTA[[#This Row],[DISC]])</f>
        <v>309225</v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28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56" s="36">
        <f>IF(OR(NOTA[[#This Row],[QTY]]="",NOTA[[#This Row],[HARGA SATUAN]]="",),"",NOTA[[#This Row],[QTY]]*NOTA[[#This Row],[HARGA SATUAN]])</f>
        <v>372000</v>
      </c>
      <c r="AG656" s="33">
        <f ca="1">IF(NOTA[ID_H]="","",INDEX(NOTA[TANGGAL],MATCH(,INDIRECT(ADDRESS(ROW(NOTA[TANGGAL]),COLUMN(NOTA[TANGGAL]))&amp;":"&amp;ADDRESS(ROW(),COLUMN(NOTA[TANGGAL]))),-1)))</f>
        <v>44950</v>
      </c>
      <c r="AH656" s="28" t="str">
        <f ca="1">IF(NOTA[[#This Row],[NAMA BARANG]]="","",INDEX(NOTA[SUPPLIER],MATCH(,INDIRECT(ADDRESS(ROW(NOTA[ID]),COLUMN(NOTA[ID]))&amp;":"&amp;ADDRESS(ROW(),COLUMN(NOTA[ID]))),-1)))</f>
        <v>ATALI MAKMUR</v>
      </c>
      <c r="AI656" s="28" t="str">
        <f ca="1">IF(NOTA[[#This Row],[ID_H]]="","",IF(NOTA[[#This Row],[FAKTUR]]="",INDIRECT(ADDRESS(ROW()-1,COLUMN())),NOTA[[#This Row],[FAKTUR]]))</f>
        <v>ARTO MORO</v>
      </c>
      <c r="AJ656" s="38" t="str">
        <f ca="1">IF(NOTA[[#This Row],[ID]]="","",COUNTIF(NOTA[ID_H],NOTA[[#This Row],[ID_H]]))</f>
        <v/>
      </c>
      <c r="AK656" s="38">
        <f ca="1">IF(NOTA[[#This Row],[TGL.NOTA]]="",IF(NOTA[[#This Row],[SUPPLIER_H]]="","",AK655),MONTH(NOTA[[#This Row],[TGL.NOTA]]))</f>
        <v>1</v>
      </c>
      <c r="AL656" s="38" t="str">
        <f>LOWER(SUBSTITUTE(SUBSTITUTE(SUBSTITUTE(SUBSTITUTE(SUBSTITUTE(SUBSTITUTE(SUBSTITUTE(SUBSTITUTE(SUBSTITUTE(NOTA[NAMA BARANG]," ",),".",""),"-",""),"(",""),")",""),",",""),"/",""),"""",""),"+",""))</f>
        <v>tapecuttertc106jk</v>
      </c>
      <c r="AM656" s="38" t="str">
        <f>IF(NOTA[C]="",NOTA[[#This Row],[CONCAT1]]&amp;NOTA[[#This Row],[HARGA SATUAN]],NOTA[[#This Row],[CONCAT1]]&amp;NOTA[[#This Row],[HARGA/ CTN_H]]&amp;NOTA[[#This Row],[DISC 1]]&amp;NOTA[[#This Row],[DISC 2]])</f>
        <v>tapecuttertc106jk3720000.1250.05</v>
      </c>
      <c r="AN656" s="184">
        <f>IF(NOTA[[#This Row],[CONCAT1]]="","",MATCH(NOTA[[#This Row],[CONCAT1]],[1]!db[NB NOTA_C],0)+1)</f>
        <v>2018</v>
      </c>
    </row>
    <row r="657" spans="1:40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Row],[CEK_EXP]]&lt;D656,"err","")</f>
        <v/>
      </c>
      <c r="D657" s="29">
        <f>IF(NOTA[[#This Row],[TANGGAL]]="",D656,NOTA[[#This Row],[TANGGAL]])</f>
        <v>44950</v>
      </c>
      <c r="E657" s="29">
        <f ca="1">IF(NOTA[[#This Row],[NAMA BARANG]]="","",INDEX(NOTA[ID],MATCH(,INDIRECT(ADDRESS(ROW(NOTA[ID]),COLUMN(NOTA[ID]))&amp;":"&amp;ADDRESS(ROW(),COLUMN(NOTA[ID]))),-1)))</f>
        <v>126</v>
      </c>
      <c r="F657" s="30"/>
      <c r="G657" s="32"/>
      <c r="H657" s="32"/>
      <c r="I657" s="55"/>
      <c r="J657" s="32"/>
      <c r="K657" s="33"/>
      <c r="L657" s="32"/>
      <c r="M657" s="26" t="s">
        <v>790</v>
      </c>
      <c r="N657" s="34">
        <v>1</v>
      </c>
      <c r="O657" s="32">
        <v>24</v>
      </c>
      <c r="P657" s="26" t="s">
        <v>104</v>
      </c>
      <c r="Q657" s="28">
        <v>24300</v>
      </c>
      <c r="R657" s="46"/>
      <c r="S657" s="39" t="s">
        <v>130</v>
      </c>
      <c r="T657" s="35">
        <v>0.125</v>
      </c>
      <c r="U657" s="35">
        <v>0.05</v>
      </c>
      <c r="V657" s="36"/>
      <c r="W657" s="37"/>
      <c r="X657" s="36">
        <f>IF(NOTA[[#This Row],[HARGA/ CTN]]="",NOTA[[#This Row],[JUMLAH_H]],NOTA[[#This Row],[HARGA/ CTN]]*IF(NOTA[[#This Row],[C]]="",0,NOTA[[#This Row],[C]]))</f>
        <v>583200</v>
      </c>
      <c r="Y657" s="36">
        <f>IF(NOTA[[#This Row],[JUMLAH]]="","",NOTA[[#This Row],[JUMLAH]]*NOTA[[#This Row],[DISC 1]])</f>
        <v>72900</v>
      </c>
      <c r="Z657" s="36">
        <f>IF(NOTA[[#This Row],[JUMLAH]]="","",(NOTA[[#This Row],[JUMLAH]]-NOTA[[#This Row],[DISC 1-]])*NOTA[[#This Row],[DISC 2]])</f>
        <v>25515</v>
      </c>
      <c r="AA657" s="36">
        <f>IF(NOTA[[#This Row],[JUMLAH]]="","",NOTA[[#This Row],[DISC 1-]]+NOTA[[#This Row],[DISC 2-]])</f>
        <v>98415</v>
      </c>
      <c r="AB657" s="36">
        <f>IF(NOTA[[#This Row],[JUMLAH]]="","",NOTA[[#This Row],[JUMLAH]]-NOTA[[#This Row],[DISC]])</f>
        <v>484785</v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28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657" s="36">
        <f>IF(OR(NOTA[[#This Row],[QTY]]="",NOTA[[#This Row],[HARGA SATUAN]]="",),"",NOTA[[#This Row],[QTY]]*NOTA[[#This Row],[HARGA SATUAN]])</f>
        <v>583200</v>
      </c>
      <c r="AG657" s="33">
        <f ca="1">IF(NOTA[ID_H]="","",INDEX(NOTA[TANGGAL],MATCH(,INDIRECT(ADDRESS(ROW(NOTA[TANGGAL]),COLUMN(NOTA[TANGGAL]))&amp;":"&amp;ADDRESS(ROW(),COLUMN(NOTA[TANGGAL]))),-1)))</f>
        <v>44950</v>
      </c>
      <c r="AH657" s="28" t="str">
        <f ca="1">IF(NOTA[[#This Row],[NAMA BARANG]]="","",INDEX(NOTA[SUPPLIER],MATCH(,INDIRECT(ADDRESS(ROW(NOTA[ID]),COLUMN(NOTA[ID]))&amp;":"&amp;ADDRESS(ROW(),COLUMN(NOTA[ID]))),-1)))</f>
        <v>ATALI MAKMUR</v>
      </c>
      <c r="AI657" s="28" t="str">
        <f ca="1">IF(NOTA[[#This Row],[ID_H]]="","",IF(NOTA[[#This Row],[FAKTUR]]="",INDIRECT(ADDRESS(ROW()-1,COLUMN())),NOTA[[#This Row],[FAKTUR]]))</f>
        <v>ARTO MORO</v>
      </c>
      <c r="AJ657" s="38" t="str">
        <f ca="1">IF(NOTA[[#This Row],[ID]]="","",COUNTIF(NOTA[ID_H],NOTA[[#This Row],[ID_H]]))</f>
        <v/>
      </c>
      <c r="AK657" s="38">
        <f ca="1">IF(NOTA[[#This Row],[TGL.NOTA]]="",IF(NOTA[[#This Row],[SUPPLIER_H]]="","",AK656),MONTH(NOTA[[#This Row],[TGL.NOTA]]))</f>
        <v>1</v>
      </c>
      <c r="AL657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M657" s="38" t="str">
        <f>IF(NOTA[C]="",NOTA[[#This Row],[CONCAT1]]&amp;NOTA[[#This Row],[HARGA SATUAN]],NOTA[[#This Row],[CONCAT1]]&amp;NOTA[[#This Row],[HARGA/ CTN_H]]&amp;NOTA[[#This Row],[DISC 1]]&amp;NOTA[[#This Row],[DISC 2]])</f>
        <v>tapecuttertd101jk5832000.1250.05</v>
      </c>
      <c r="AN657" s="184">
        <f>IF(NOTA[[#This Row],[CONCAT1]]="","",MATCH(NOTA[[#This Row],[CONCAT1]],[1]!db[NB NOTA_C],0)+1)</f>
        <v>2024</v>
      </c>
    </row>
    <row r="658" spans="1:40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Row],[CEK_EXP]]&lt;D657,"err","")</f>
        <v/>
      </c>
      <c r="D658" s="29">
        <f>IF(NOTA[[#This Row],[TANGGAL]]="",D657,NOTA[[#This Row],[TANGGAL]])</f>
        <v>44950</v>
      </c>
      <c r="E658" s="29">
        <f ca="1">IF(NOTA[[#This Row],[NAMA BARANG]]="","",INDEX(NOTA[ID],MATCH(,INDIRECT(ADDRESS(ROW(NOTA[ID]),COLUMN(NOTA[ID]))&amp;":"&amp;ADDRESS(ROW(),COLUMN(NOTA[ID]))),-1)))</f>
        <v>126</v>
      </c>
      <c r="F658" s="30"/>
      <c r="G658" s="26"/>
      <c r="H658" s="26"/>
      <c r="I658" s="31"/>
      <c r="J658" s="26"/>
      <c r="K658" s="33"/>
      <c r="L658" s="109"/>
      <c r="M658" s="26" t="s">
        <v>269</v>
      </c>
      <c r="N658" s="34">
        <v>2</v>
      </c>
      <c r="O658" s="32">
        <v>48</v>
      </c>
      <c r="P658" s="26" t="s">
        <v>104</v>
      </c>
      <c r="Q658" s="28">
        <v>19000</v>
      </c>
      <c r="R658" s="46"/>
      <c r="S658" s="39" t="s">
        <v>130</v>
      </c>
      <c r="T658" s="35">
        <v>0.125</v>
      </c>
      <c r="U658" s="35">
        <v>0.05</v>
      </c>
      <c r="V658" s="36"/>
      <c r="W658" s="37"/>
      <c r="X658" s="36">
        <f>IF(NOTA[[#This Row],[HARGA/ CTN]]="",NOTA[[#This Row],[JUMLAH_H]],NOTA[[#This Row],[HARGA/ CTN]]*IF(NOTA[[#This Row],[C]]="",0,NOTA[[#This Row],[C]]))</f>
        <v>912000</v>
      </c>
      <c r="Y658" s="36">
        <f>IF(NOTA[[#This Row],[JUMLAH]]="","",NOTA[[#This Row],[JUMLAH]]*NOTA[[#This Row],[DISC 1]])</f>
        <v>114000</v>
      </c>
      <c r="Z658" s="36">
        <f>IF(NOTA[[#This Row],[JUMLAH]]="","",(NOTA[[#This Row],[JUMLAH]]-NOTA[[#This Row],[DISC 1-]])*NOTA[[#This Row],[DISC 2]])</f>
        <v>39900</v>
      </c>
      <c r="AA658" s="36">
        <f>IF(NOTA[[#This Row],[JUMLAH]]="","",NOTA[[#This Row],[DISC 1-]]+NOTA[[#This Row],[DISC 2-]])</f>
        <v>153900</v>
      </c>
      <c r="AB658" s="36">
        <f>IF(NOTA[[#This Row],[JUMLAH]]="","",NOTA[[#This Row],[JUMLAH]]-NOTA[[#This Row],[DISC]])</f>
        <v>758100</v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58" s="36">
        <f>IF(OR(NOTA[[#This Row],[QTY]]="",NOTA[[#This Row],[HARGA SATUAN]]="",),"",NOTA[[#This Row],[QTY]]*NOTA[[#This Row],[HARGA SATUAN]])</f>
        <v>912000</v>
      </c>
      <c r="AG658" s="33">
        <f ca="1">IF(NOTA[ID_H]="","",INDEX(NOTA[TANGGAL],MATCH(,INDIRECT(ADDRESS(ROW(NOTA[TANGGAL]),COLUMN(NOTA[TANGGAL]))&amp;":"&amp;ADDRESS(ROW(),COLUMN(NOTA[TANGGAL]))),-1)))</f>
        <v>44950</v>
      </c>
      <c r="AH658" s="28" t="str">
        <f ca="1">IF(NOTA[[#This Row],[NAMA BARANG]]="","",INDEX(NOTA[SUPPLIER],MATCH(,INDIRECT(ADDRESS(ROW(NOTA[ID]),COLUMN(NOTA[ID]))&amp;":"&amp;ADDRESS(ROW(),COLUMN(NOTA[ID]))),-1)))</f>
        <v>ATALI MAKMUR</v>
      </c>
      <c r="AI658" s="28" t="str">
        <f ca="1">IF(NOTA[[#This Row],[ID_H]]="","",IF(NOTA[[#This Row],[FAKTUR]]="",INDIRECT(ADDRESS(ROW()-1,COLUMN())),NOTA[[#This Row],[FAKTUR]]))</f>
        <v>ARTO MORO</v>
      </c>
      <c r="AJ658" s="38" t="str">
        <f ca="1">IF(NOTA[[#This Row],[ID]]="","",COUNTIF(NOTA[ID_H],NOTA[[#This Row],[ID_H]]))</f>
        <v/>
      </c>
      <c r="AK658" s="38">
        <f ca="1">IF(NOTA[[#This Row],[TGL.NOTA]]="",IF(NOTA[[#This Row],[SUPPLIER_H]]="","",AK657),MONTH(NOTA[[#This Row],[TGL.NOTA]]))</f>
        <v>1</v>
      </c>
      <c r="AL65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658" s="38" t="str">
        <f>IF(NOTA[C]="",NOTA[[#This Row],[CONCAT1]]&amp;NOTA[[#This Row],[HARGA SATUAN]],NOTA[[#This Row],[CONCAT1]]&amp;NOTA[[#This Row],[HARGA/ CTN_H]]&amp;NOTA[[#This Row],[DISC 1]]&amp;NOTA[[#This Row],[DISC 2]])</f>
        <v>tapecuttertd103jk4560000.1250.05</v>
      </c>
      <c r="AN658" s="184">
        <f>IF(NOTA[[#This Row],[CONCAT1]]="","",MATCH(NOTA[[#This Row],[CONCAT1]],[1]!db[NB NOTA_C],0)+1)</f>
        <v>2026</v>
      </c>
    </row>
    <row r="659" spans="1:40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Row],[CEK_EXP]]&lt;D658,"err","")</f>
        <v/>
      </c>
      <c r="D659" s="29">
        <f>IF(NOTA[[#This Row],[TANGGAL]]="",D658,NOTA[[#This Row],[TANGGAL]])</f>
        <v>44950</v>
      </c>
      <c r="E659" s="29">
        <f ca="1">IF(NOTA[[#This Row],[NAMA BARANG]]="","",INDEX(NOTA[ID],MATCH(,INDIRECT(ADDRESS(ROW(NOTA[ID]),COLUMN(NOTA[ID]))&amp;":"&amp;ADDRESS(ROW(),COLUMN(NOTA[ID]))),-1)))</f>
        <v>126</v>
      </c>
      <c r="F659" s="30"/>
      <c r="G659" s="26"/>
      <c r="H659" s="26"/>
      <c r="I659" s="31"/>
      <c r="J659" s="26"/>
      <c r="K659" s="33"/>
      <c r="L659" s="32"/>
      <c r="M659" s="26" t="s">
        <v>483</v>
      </c>
      <c r="N659" s="34">
        <v>1</v>
      </c>
      <c r="O659" s="32">
        <v>144</v>
      </c>
      <c r="P659" s="26" t="s">
        <v>116</v>
      </c>
      <c r="Q659" s="28">
        <v>19800</v>
      </c>
      <c r="R659" s="46"/>
      <c r="S659" s="39" t="s">
        <v>484</v>
      </c>
      <c r="T659" s="35">
        <v>0.125</v>
      </c>
      <c r="U659" s="35">
        <v>0.05</v>
      </c>
      <c r="V659" s="36"/>
      <c r="W659" s="37"/>
      <c r="X659" s="36">
        <f>IF(NOTA[[#This Row],[HARGA/ CTN]]="",NOTA[[#This Row],[JUMLAH_H]],NOTA[[#This Row],[HARGA/ CTN]]*IF(NOTA[[#This Row],[C]]="",0,NOTA[[#This Row],[C]]))</f>
        <v>2851200</v>
      </c>
      <c r="Y659" s="36">
        <f>IF(NOTA[[#This Row],[JUMLAH]]="","",NOTA[[#This Row],[JUMLAH]]*NOTA[[#This Row],[DISC 1]])</f>
        <v>356400</v>
      </c>
      <c r="Z659" s="36">
        <f>IF(NOTA[[#This Row],[JUMLAH]]="","",(NOTA[[#This Row],[JUMLAH]]-NOTA[[#This Row],[DISC 1-]])*NOTA[[#This Row],[DISC 2]])</f>
        <v>124740</v>
      </c>
      <c r="AA659" s="36">
        <f>IF(NOTA[[#This Row],[JUMLAH]]="","",NOTA[[#This Row],[DISC 1-]]+NOTA[[#This Row],[DISC 2-]])</f>
        <v>481140</v>
      </c>
      <c r="AB659" s="36">
        <f>IF(NOTA[[#This Row],[JUMLAH]]="","",NOTA[[#This Row],[JUMLAH]]-NOTA[[#This Row],[DISC]])</f>
        <v>2370060</v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59" s="36">
        <f>IF(OR(NOTA[[#This Row],[QTY]]="",NOTA[[#This Row],[HARGA SATUAN]]="",),"",NOTA[[#This Row],[QTY]]*NOTA[[#This Row],[HARGA SATUAN]])</f>
        <v>2851200</v>
      </c>
      <c r="AG659" s="33">
        <f ca="1">IF(NOTA[ID_H]="","",INDEX(NOTA[TANGGAL],MATCH(,INDIRECT(ADDRESS(ROW(NOTA[TANGGAL]),COLUMN(NOTA[TANGGAL]))&amp;":"&amp;ADDRESS(ROW(),COLUMN(NOTA[TANGGAL]))),-1)))</f>
        <v>44950</v>
      </c>
      <c r="AH659" s="28" t="str">
        <f ca="1">IF(NOTA[[#This Row],[NAMA BARANG]]="","",INDEX(NOTA[SUPPLIER],MATCH(,INDIRECT(ADDRESS(ROW(NOTA[ID]),COLUMN(NOTA[ID]))&amp;":"&amp;ADDRESS(ROW(),COLUMN(NOTA[ID]))),-1)))</f>
        <v>ATALI MAKMUR</v>
      </c>
      <c r="AI659" s="28" t="str">
        <f ca="1">IF(NOTA[[#This Row],[ID_H]]="","",IF(NOTA[[#This Row],[FAKTUR]]="",INDIRECT(ADDRESS(ROW()-1,COLUMN())),NOTA[[#This Row],[FAKTUR]]))</f>
        <v>ARTO MORO</v>
      </c>
      <c r="AJ659" s="38" t="str">
        <f ca="1">IF(NOTA[[#This Row],[ID]]="","",COUNTIF(NOTA[ID_H],NOTA[[#This Row],[ID_H]]))</f>
        <v/>
      </c>
      <c r="AK659" s="38">
        <f ca="1">IF(NOTA[[#This Row],[TGL.NOTA]]="",IF(NOTA[[#This Row],[SUPPLIER_H]]="","",AK658),MONTH(NOTA[[#This Row],[TGL.NOTA]]))</f>
        <v>1</v>
      </c>
      <c r="AL659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659" s="38" t="str">
        <f>IF(NOTA[C]="",NOTA[[#This Row],[CONCAT1]]&amp;NOTA[[#This Row],[HARGA SATUAN]],NOTA[[#This Row],[CONCAT1]]&amp;NOTA[[#This Row],[HARGA/ CTN_H]]&amp;NOTA[[#This Row],[DISC 1]]&amp;NOTA[[#This Row],[DISC 2]])</f>
        <v>pencilleadpl10202bjk28512000.1250.05</v>
      </c>
      <c r="AN659" s="184">
        <f>IF(NOTA[[#This Row],[CONCAT1]]="","",MATCH(NOTA[[#This Row],[CONCAT1]],[1]!db[NB NOTA_C],0)+1)</f>
        <v>1761</v>
      </c>
    </row>
    <row r="660" spans="1:40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Row],[CEK_EXP]]&lt;D659,"err","")</f>
        <v/>
      </c>
      <c r="D660" s="29">
        <f>IF(NOTA[[#This Row],[TANGGAL]]="",D659,NOTA[[#This Row],[TANGGAL]])</f>
        <v>44950</v>
      </c>
      <c r="E660" s="29">
        <f ca="1">IF(NOTA[[#This Row],[NAMA BARANG]]="","",INDEX(NOTA[ID],MATCH(,INDIRECT(ADDRESS(ROW(NOTA[ID]),COLUMN(NOTA[ID]))&amp;":"&amp;ADDRESS(ROW(),COLUMN(NOTA[ID]))),-1)))</f>
        <v>126</v>
      </c>
      <c r="F660" s="30"/>
      <c r="G660" s="26"/>
      <c r="H660" s="26"/>
      <c r="I660" s="55"/>
      <c r="J660" s="26"/>
      <c r="K660" s="33"/>
      <c r="L660" s="32"/>
      <c r="M660" s="26" t="s">
        <v>426</v>
      </c>
      <c r="N660" s="34">
        <v>1</v>
      </c>
      <c r="O660" s="32">
        <v>72</v>
      </c>
      <c r="P660" s="26" t="s">
        <v>116</v>
      </c>
      <c r="Q660" s="28">
        <v>37200</v>
      </c>
      <c r="R660" s="46"/>
      <c r="S660" s="39" t="s">
        <v>791</v>
      </c>
      <c r="T660" s="35">
        <v>0.125</v>
      </c>
      <c r="U660" s="35">
        <v>0.05</v>
      </c>
      <c r="V660" s="36"/>
      <c r="W660" s="37"/>
      <c r="X660" s="36">
        <f>IF(NOTA[[#This Row],[HARGA/ CTN]]="",NOTA[[#This Row],[JUMLAH_H]],NOTA[[#This Row],[HARGA/ CTN]]*IF(NOTA[[#This Row],[C]]="",0,NOTA[[#This Row],[C]]))</f>
        <v>2678400</v>
      </c>
      <c r="Y660" s="36">
        <f>IF(NOTA[[#This Row],[JUMLAH]]="","",NOTA[[#This Row],[JUMLAH]]*NOTA[[#This Row],[DISC 1]])</f>
        <v>334800</v>
      </c>
      <c r="Z660" s="36">
        <f>IF(NOTA[[#This Row],[JUMLAH]]="","",(NOTA[[#This Row],[JUMLAH]]-NOTA[[#This Row],[DISC 1-]])*NOTA[[#This Row],[DISC 2]])</f>
        <v>117180</v>
      </c>
      <c r="AA660" s="36">
        <f>IF(NOTA[[#This Row],[JUMLAH]]="","",NOTA[[#This Row],[DISC 1-]]+NOTA[[#This Row],[DISC 2-]])</f>
        <v>451980</v>
      </c>
      <c r="AB660" s="36">
        <f>IF(NOTA[[#This Row],[JUMLAH]]="","",NOTA[[#This Row],[JUMLAH]]-NOTA[[#This Row],[DISC]])</f>
        <v>2226420</v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0" s="36">
        <f>IF(OR(NOTA[[#This Row],[QTY]]="",NOTA[[#This Row],[HARGA SATUAN]]="",),"",NOTA[[#This Row],[QTY]]*NOTA[[#This Row],[HARGA SATUAN]])</f>
        <v>2678400</v>
      </c>
      <c r="AG660" s="33">
        <f ca="1">IF(NOTA[ID_H]="","",INDEX(NOTA[TANGGAL],MATCH(,INDIRECT(ADDRESS(ROW(NOTA[TANGGAL]),COLUMN(NOTA[TANGGAL]))&amp;":"&amp;ADDRESS(ROW(),COLUMN(NOTA[TANGGAL]))),-1)))</f>
        <v>44950</v>
      </c>
      <c r="AH660" s="28" t="str">
        <f ca="1">IF(NOTA[[#This Row],[NAMA BARANG]]="","",INDEX(NOTA[SUPPLIER],MATCH(,INDIRECT(ADDRESS(ROW(NOTA[ID]),COLUMN(NOTA[ID]))&amp;":"&amp;ADDRESS(ROW(),COLUMN(NOTA[ID]))),-1)))</f>
        <v>ATALI MAKMUR</v>
      </c>
      <c r="AI660" s="28" t="str">
        <f ca="1">IF(NOTA[[#This Row],[ID_H]]="","",IF(NOTA[[#This Row],[FAKTUR]]="",INDIRECT(ADDRESS(ROW()-1,COLUMN())),NOTA[[#This Row],[FAKTUR]]))</f>
        <v>ARTO MORO</v>
      </c>
      <c r="AJ660" s="38" t="str">
        <f ca="1">IF(NOTA[[#This Row],[ID]]="","",COUNTIF(NOTA[ID_H],NOTA[[#This Row],[ID_H]]))</f>
        <v/>
      </c>
      <c r="AK660" s="38">
        <f ca="1">IF(NOTA[[#This Row],[TGL.NOTA]]="",IF(NOTA[[#This Row],[SUPPLIER_H]]="","",AK659),MONTH(NOTA[[#This Row],[TGL.NOTA]]))</f>
        <v>1</v>
      </c>
      <c r="AL66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60" s="38" t="str">
        <f>IF(NOTA[C]="",NOTA[[#This Row],[CONCAT1]]&amp;NOTA[[#This Row],[HARGA SATUAN]],NOTA[[#This Row],[CONCAT1]]&amp;NOTA[[#This Row],[HARGA/ CTN_H]]&amp;NOTA[[#This Row],[DISC 1]]&amp;NOTA[[#This Row],[DISC 2]])</f>
        <v>pencilleadpl1120jk26784000.1250.05</v>
      </c>
      <c r="AN660" s="184">
        <f>IF(NOTA[[#This Row],[CONCAT1]]="","",MATCH(NOTA[[#This Row],[CONCAT1]],[1]!db[NB NOTA_C],0)+1)</f>
        <v>1762</v>
      </c>
    </row>
    <row r="661" spans="1:40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Row],[CEK_EXP]]&lt;D660,"err","")</f>
        <v/>
      </c>
      <c r="D661" s="29">
        <f>IF(NOTA[[#This Row],[TANGGAL]]="",D660,NOTA[[#This Row],[TANGGAL]])</f>
        <v>44950</v>
      </c>
      <c r="E661" s="29">
        <f ca="1">IF(NOTA[[#This Row],[NAMA BARANG]]="","",INDEX(NOTA[ID],MATCH(,INDIRECT(ADDRESS(ROW(NOTA[ID]),COLUMN(NOTA[ID]))&amp;":"&amp;ADDRESS(ROW(),COLUMN(NOTA[ID]))),-1)))</f>
        <v>126</v>
      </c>
      <c r="F661" s="30"/>
      <c r="G661" s="32"/>
      <c r="H661" s="32"/>
      <c r="I661" s="55"/>
      <c r="J661" s="32"/>
      <c r="K661" s="33"/>
      <c r="L661" s="32"/>
      <c r="M661" s="182" t="s">
        <v>796</v>
      </c>
      <c r="N661" s="34">
        <v>1</v>
      </c>
      <c r="O661" s="32">
        <v>72</v>
      </c>
      <c r="P661" s="26" t="s">
        <v>116</v>
      </c>
      <c r="Q661" s="28">
        <v>39600</v>
      </c>
      <c r="R661" s="46"/>
      <c r="S661" s="39" t="s">
        <v>791</v>
      </c>
      <c r="T661" s="35">
        <v>0.125</v>
      </c>
      <c r="U661" s="35">
        <v>0.05</v>
      </c>
      <c r="V661" s="36"/>
      <c r="W661" s="37"/>
      <c r="X661" s="36">
        <f>IF(NOTA[[#This Row],[HARGA/ CTN]]="",NOTA[[#This Row],[JUMLAH_H]],NOTA[[#This Row],[HARGA/ CTN]]*IF(NOTA[[#This Row],[C]]="",0,NOTA[[#This Row],[C]]))</f>
        <v>2851200</v>
      </c>
      <c r="Y661" s="36">
        <f>IF(NOTA[[#This Row],[JUMLAH]]="","",NOTA[[#This Row],[JUMLAH]]*NOTA[[#This Row],[DISC 1]])</f>
        <v>356400</v>
      </c>
      <c r="Z661" s="36">
        <f>IF(NOTA[[#This Row],[JUMLAH]]="","",(NOTA[[#This Row],[JUMLAH]]-NOTA[[#This Row],[DISC 1-]])*NOTA[[#This Row],[DISC 2]])</f>
        <v>124740</v>
      </c>
      <c r="AA661" s="36">
        <f>IF(NOTA[[#This Row],[JUMLAH]]="","",NOTA[[#This Row],[DISC 1-]]+NOTA[[#This Row],[DISC 2-]])</f>
        <v>481140</v>
      </c>
      <c r="AB661" s="36">
        <f>IF(NOTA[[#This Row],[JUMLAH]]="","",NOTA[[#This Row],[JUMLAH]]-NOTA[[#This Row],[DISC]])</f>
        <v>2370060</v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61" s="36">
        <f>IF(OR(NOTA[[#This Row],[QTY]]="",NOTA[[#This Row],[HARGA SATUAN]]="",),"",NOTA[[#This Row],[QTY]]*NOTA[[#This Row],[HARGA SATUAN]])</f>
        <v>2851200</v>
      </c>
      <c r="AG661" s="33">
        <f ca="1">IF(NOTA[ID_H]="","",INDEX(NOTA[TANGGAL],MATCH(,INDIRECT(ADDRESS(ROW(NOTA[TANGGAL]),COLUMN(NOTA[TANGGAL]))&amp;":"&amp;ADDRESS(ROW(),COLUMN(NOTA[TANGGAL]))),-1)))</f>
        <v>44950</v>
      </c>
      <c r="AH661" s="28" t="str">
        <f ca="1">IF(NOTA[[#This Row],[NAMA BARANG]]="","",INDEX(NOTA[SUPPLIER],MATCH(,INDIRECT(ADDRESS(ROW(NOTA[ID]),COLUMN(NOTA[ID]))&amp;":"&amp;ADDRESS(ROW(),COLUMN(NOTA[ID]))),-1)))</f>
        <v>ATALI MAKMUR</v>
      </c>
      <c r="AI661" s="28" t="str">
        <f ca="1">IF(NOTA[[#This Row],[ID_H]]="","",IF(NOTA[[#This Row],[FAKTUR]]="",INDIRECT(ADDRESS(ROW()-1,COLUMN())),NOTA[[#This Row],[FAKTUR]]))</f>
        <v>ARTO MORO</v>
      </c>
      <c r="AJ661" s="38" t="str">
        <f ca="1">IF(NOTA[[#This Row],[ID]]="","",COUNTIF(NOTA[ID_H],NOTA[[#This Row],[ID_H]]))</f>
        <v/>
      </c>
      <c r="AK661" s="38">
        <f ca="1">IF(NOTA[[#This Row],[TGL.NOTA]]="",IF(NOTA[[#This Row],[SUPPLIER_H]]="","",AK660),MONTH(NOTA[[#This Row],[TGL.NOTA]]))</f>
        <v>1</v>
      </c>
      <c r="AL661" s="38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M661" s="38" t="str">
        <f>IF(NOTA[C]="",NOTA[[#This Row],[CONCAT1]]&amp;NOTA[[#This Row],[HARGA SATUAN]],NOTA[[#This Row],[CONCAT1]]&amp;NOTA[[#This Row],[HARGA/ CTN_H]]&amp;NOTA[[#This Row],[DISC 1]]&amp;NOTA[[#This Row],[DISC 2]])</f>
        <v>pencilleadpl17202bjk28512000.1250.05</v>
      </c>
      <c r="AN661" s="184">
        <f>IF(NOTA[[#This Row],[CONCAT1]]="","",MATCH(NOTA[[#This Row],[CONCAT1]],[1]!db[NB NOTA_C],0)+1)</f>
        <v>1759</v>
      </c>
    </row>
    <row r="662" spans="1:40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Row],[CEK_EXP]]&lt;D661,"err","")</f>
        <v/>
      </c>
      <c r="D662" s="29">
        <f>IF(NOTA[[#This Row],[TANGGAL]]="",D661,NOTA[[#This Row],[TANGGAL]])</f>
        <v>44950</v>
      </c>
      <c r="E662" s="29">
        <f ca="1">IF(NOTA[[#This Row],[NAMA BARANG]]="","",INDEX(NOTA[ID],MATCH(,INDIRECT(ADDRESS(ROW(NOTA[ID]),COLUMN(NOTA[ID]))&amp;":"&amp;ADDRESS(ROW(),COLUMN(NOTA[ID]))),-1)))</f>
        <v>126</v>
      </c>
      <c r="F662" s="30"/>
      <c r="G662" s="26"/>
      <c r="H662" s="26"/>
      <c r="I662" s="31"/>
      <c r="J662" s="32"/>
      <c r="K662" s="33"/>
      <c r="L662" s="32"/>
      <c r="M662" s="26" t="s">
        <v>792</v>
      </c>
      <c r="N662" s="34">
        <v>1</v>
      </c>
      <c r="O662" s="32">
        <v>12</v>
      </c>
      <c r="P662" s="26" t="s">
        <v>274</v>
      </c>
      <c r="Q662" s="28">
        <v>198000</v>
      </c>
      <c r="R662" s="46"/>
      <c r="S662" s="39" t="s">
        <v>117</v>
      </c>
      <c r="T662" s="35">
        <v>0.125</v>
      </c>
      <c r="U662" s="35">
        <v>0.05</v>
      </c>
      <c r="V662" s="36"/>
      <c r="W662" s="37"/>
      <c r="X662" s="36">
        <f>IF(NOTA[[#This Row],[HARGA/ CTN]]="",NOTA[[#This Row],[JUMLAH_H]],NOTA[[#This Row],[HARGA/ CTN]]*IF(NOTA[[#This Row],[C]]="",0,NOTA[[#This Row],[C]]))</f>
        <v>2376000</v>
      </c>
      <c r="Y662" s="36">
        <f>IF(NOTA[[#This Row],[JUMLAH]]="","",NOTA[[#This Row],[JUMLAH]]*NOTA[[#This Row],[DISC 1]])</f>
        <v>297000</v>
      </c>
      <c r="Z662" s="36">
        <f>IF(NOTA[[#This Row],[JUMLAH]]="","",(NOTA[[#This Row],[JUMLAH]]-NOTA[[#This Row],[DISC 1-]])*NOTA[[#This Row],[DISC 2]])</f>
        <v>103950</v>
      </c>
      <c r="AA662" s="36">
        <f>IF(NOTA[[#This Row],[JUMLAH]]="","",NOTA[[#This Row],[DISC 1-]]+NOTA[[#This Row],[DISC 2-]])</f>
        <v>400950</v>
      </c>
      <c r="AB662" s="36">
        <f>IF(NOTA[[#This Row],[JUMLAH]]="","",NOTA[[#This Row],[JUMLAH]]-NOTA[[#This Row],[DISC]])</f>
        <v>1975050</v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62" s="36">
        <f>IF(OR(NOTA[[#This Row],[QTY]]="",NOTA[[#This Row],[HARGA SATUAN]]="",),"",NOTA[[#This Row],[QTY]]*NOTA[[#This Row],[HARGA SATUAN]])</f>
        <v>2376000</v>
      </c>
      <c r="AG662" s="33">
        <f ca="1">IF(NOTA[ID_H]="","",INDEX(NOTA[TANGGAL],MATCH(,INDIRECT(ADDRESS(ROW(NOTA[TANGGAL]),COLUMN(NOTA[TANGGAL]))&amp;":"&amp;ADDRESS(ROW(),COLUMN(NOTA[TANGGAL]))),-1)))</f>
        <v>44950</v>
      </c>
      <c r="AH662" s="28" t="str">
        <f ca="1">IF(NOTA[[#This Row],[NAMA BARANG]]="","",INDEX(NOTA[SUPPLIER],MATCH(,INDIRECT(ADDRESS(ROW(NOTA[ID]),COLUMN(NOTA[ID]))&amp;":"&amp;ADDRESS(ROW(),COLUMN(NOTA[ID]))),-1)))</f>
        <v>ATALI MAKMUR</v>
      </c>
      <c r="AI662" s="28" t="str">
        <f ca="1">IF(NOTA[[#This Row],[ID_H]]="","",IF(NOTA[[#This Row],[FAKTUR]]="",INDIRECT(ADDRESS(ROW()-1,COLUMN())),NOTA[[#This Row],[FAKTUR]]))</f>
        <v>ARTO MORO</v>
      </c>
      <c r="AJ662" s="38" t="str">
        <f ca="1">IF(NOTA[[#This Row],[ID]]="","",COUNTIF(NOTA[ID_H],NOTA[[#This Row],[ID_H]]))</f>
        <v/>
      </c>
      <c r="AK662" s="38">
        <f ca="1">IF(NOTA[[#This Row],[TGL.NOTA]]="",IF(NOTA[[#This Row],[SUPPLIER_H]]="","",AK661),MONTH(NOTA[[#This Row],[TGL.NOTA]]))</f>
        <v>1</v>
      </c>
      <c r="AL66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M662" s="38" t="str">
        <f>IF(NOTA[C]="",NOTA[[#This Row],[CONCAT1]]&amp;NOTA[[#This Row],[HARGA SATUAN]],NOTA[[#This Row],[CONCAT1]]&amp;NOTA[[#This Row],[HARGA/ CTN_H]]&amp;NOTA[[#This Row],[DISC 1]]&amp;NOTA[[#This Row],[DISC 2]])</f>
        <v>pencilleadpl1620jk23760000.1250.05</v>
      </c>
      <c r="AN662" s="184">
        <f>IF(NOTA[[#This Row],[CONCAT1]]="","",MATCH(NOTA[[#This Row],[CONCAT1]],[1]!db[NB NOTA_C],0)+1)</f>
        <v>1763</v>
      </c>
    </row>
    <row r="663" spans="1:40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Row],[CEK_EXP]]&lt;D662,"err","")</f>
        <v/>
      </c>
      <c r="D663" s="29">
        <f>IF(NOTA[[#This Row],[TANGGAL]]="",D662,NOTA[[#This Row],[TANGGAL]])</f>
        <v>44950</v>
      </c>
      <c r="E663" s="29">
        <f ca="1">IF(NOTA[[#This Row],[NAMA BARANG]]="","",INDEX(NOTA[ID],MATCH(,INDIRECT(ADDRESS(ROW(NOTA[ID]),COLUMN(NOTA[ID]))&amp;":"&amp;ADDRESS(ROW(),COLUMN(NOTA[ID]))),-1)))</f>
        <v>126</v>
      </c>
      <c r="F663" s="30"/>
      <c r="G663" s="32"/>
      <c r="H663" s="32"/>
      <c r="I663" s="55"/>
      <c r="J663" s="26"/>
      <c r="K663" s="33"/>
      <c r="L663" s="32"/>
      <c r="M663" s="26" t="s">
        <v>793</v>
      </c>
      <c r="N663" s="34">
        <v>1</v>
      </c>
      <c r="O663" s="32">
        <v>20</v>
      </c>
      <c r="P663" s="26" t="s">
        <v>104</v>
      </c>
      <c r="Q663" s="28">
        <v>160000</v>
      </c>
      <c r="R663" s="46"/>
      <c r="S663" s="39" t="s">
        <v>487</v>
      </c>
      <c r="T663" s="35">
        <v>0.125</v>
      </c>
      <c r="U663" s="35">
        <v>0.05</v>
      </c>
      <c r="V663" s="36"/>
      <c r="W663" s="37"/>
      <c r="X663" s="36">
        <f>IF(NOTA[[#This Row],[HARGA/ CTN]]="",NOTA[[#This Row],[JUMLAH_H]],NOTA[[#This Row],[HARGA/ CTN]]*IF(NOTA[[#This Row],[C]]="",0,NOTA[[#This Row],[C]]))</f>
        <v>3200000</v>
      </c>
      <c r="Y663" s="36">
        <f>IF(NOTA[[#This Row],[JUMLAH]]="","",NOTA[[#This Row],[JUMLAH]]*NOTA[[#This Row],[DISC 1]])</f>
        <v>400000</v>
      </c>
      <c r="Z663" s="36">
        <f>IF(NOTA[[#This Row],[JUMLAH]]="","",(NOTA[[#This Row],[JUMLAH]]-NOTA[[#This Row],[DISC 1-]])*NOTA[[#This Row],[DISC 2]])</f>
        <v>140000</v>
      </c>
      <c r="AA663" s="36">
        <f>IF(NOTA[[#This Row],[JUMLAH]]="","",NOTA[[#This Row],[DISC 1-]]+NOTA[[#This Row],[DISC 2-]])</f>
        <v>540000</v>
      </c>
      <c r="AB663" s="36">
        <f>IF(NOTA[[#This Row],[JUMLAH]]="","",NOTA[[#This Row],[JUMLAH]]-NOTA[[#This Row],[DISC]])</f>
        <v>2660000</v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28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F663" s="36">
        <f>IF(OR(NOTA[[#This Row],[QTY]]="",NOTA[[#This Row],[HARGA SATUAN]]="",),"",NOTA[[#This Row],[QTY]]*NOTA[[#This Row],[HARGA SATUAN]])</f>
        <v>3200000</v>
      </c>
      <c r="AG663" s="33">
        <f ca="1">IF(NOTA[ID_H]="","",INDEX(NOTA[TANGGAL],MATCH(,INDIRECT(ADDRESS(ROW(NOTA[TANGGAL]),COLUMN(NOTA[TANGGAL]))&amp;":"&amp;ADDRESS(ROW(),COLUMN(NOTA[TANGGAL]))),-1)))</f>
        <v>44950</v>
      </c>
      <c r="AH663" s="28" t="str">
        <f ca="1">IF(NOTA[[#This Row],[NAMA BARANG]]="","",INDEX(NOTA[SUPPLIER],MATCH(,INDIRECT(ADDRESS(ROW(NOTA[ID]),COLUMN(NOTA[ID]))&amp;":"&amp;ADDRESS(ROW(),COLUMN(NOTA[ID]))),-1)))</f>
        <v>ATALI MAKMUR</v>
      </c>
      <c r="AI663" s="28" t="str">
        <f ca="1">IF(NOTA[[#This Row],[ID_H]]="","",IF(NOTA[[#This Row],[FAKTUR]]="",INDIRECT(ADDRESS(ROW()-1,COLUMN())),NOTA[[#This Row],[FAKTUR]]))</f>
        <v>ARTO MORO</v>
      </c>
      <c r="AJ663" s="38" t="str">
        <f ca="1">IF(NOTA[[#This Row],[ID]]="","",COUNTIF(NOTA[ID_H],NOTA[[#This Row],[ID_H]]))</f>
        <v/>
      </c>
      <c r="AK663" s="38">
        <f ca="1">IF(NOTA[[#This Row],[TGL.NOTA]]="",IF(NOTA[[#This Row],[SUPPLIER_H]]="","",AK662),MONTH(NOTA[[#This Row],[TGL.NOTA]]))</f>
        <v>1</v>
      </c>
      <c r="AL663" s="38" t="str">
        <f>LOWER(SUBSTITUTE(SUBSTITUTE(SUBSTITUTE(SUBSTITUTE(SUBSTITUTE(SUBSTITUTE(SUBSTITUTE(SUBSTITUTE(SUBSTITUTE(NOTA[NAMA BARANG]," ",),".",""),"-",""),"(",""),")",""),",",""),"/",""),"""",""),"+",""))</f>
        <v>cashboxcb21ajk</v>
      </c>
      <c r="AM663" s="38" t="str">
        <f>IF(NOTA[C]="",NOTA[[#This Row],[CONCAT1]]&amp;NOTA[[#This Row],[HARGA SATUAN]],NOTA[[#This Row],[CONCAT1]]&amp;NOTA[[#This Row],[HARGA/ CTN_H]]&amp;NOTA[[#This Row],[DISC 1]]&amp;NOTA[[#This Row],[DISC 2]])</f>
        <v>cashboxcb21ajk32000000.1250.05</v>
      </c>
      <c r="AN663" s="184">
        <f>IF(NOTA[[#This Row],[CONCAT1]]="","",MATCH(NOTA[[#This Row],[CONCAT1]],[1]!db[NB NOTA_C],0)+1)</f>
        <v>441</v>
      </c>
    </row>
    <row r="664" spans="1:40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Row],[CEK_EXP]]&lt;D663,"err","")</f>
        <v/>
      </c>
      <c r="D664" s="29">
        <f>IF(NOTA[[#This Row],[TANGGAL]]="",D663,NOTA[[#This Row],[TANGGAL]])</f>
        <v>44950</v>
      </c>
      <c r="E664" s="29">
        <f ca="1">IF(NOTA[[#This Row],[NAMA BARANG]]="","",INDEX(NOTA[ID],MATCH(,INDIRECT(ADDRESS(ROW(NOTA[ID]),COLUMN(NOTA[ID]))&amp;":"&amp;ADDRESS(ROW(),COLUMN(NOTA[ID]))),-1)))</f>
        <v>126</v>
      </c>
      <c r="F664" s="30"/>
      <c r="G664" s="32"/>
      <c r="H664" s="32"/>
      <c r="I664" s="55"/>
      <c r="J664" s="26"/>
      <c r="K664" s="33"/>
      <c r="L664" s="32"/>
      <c r="M664" s="26" t="s">
        <v>794</v>
      </c>
      <c r="N664" s="34">
        <v>1</v>
      </c>
      <c r="O664" s="32">
        <v>16</v>
      </c>
      <c r="P664" s="26" t="s">
        <v>104</v>
      </c>
      <c r="Q664" s="28">
        <v>187000</v>
      </c>
      <c r="R664" s="46"/>
      <c r="S664" s="39" t="s">
        <v>795</v>
      </c>
      <c r="T664" s="35">
        <v>0.125</v>
      </c>
      <c r="U664" s="35">
        <v>0.05</v>
      </c>
      <c r="V664" s="36"/>
      <c r="W664" s="37"/>
      <c r="X664" s="36">
        <f>IF(NOTA[[#This Row],[HARGA/ CTN]]="",NOTA[[#This Row],[JUMLAH_H]],NOTA[[#This Row],[HARGA/ CTN]]*IF(NOTA[[#This Row],[C]]="",0,NOTA[[#This Row],[C]]))</f>
        <v>2992000</v>
      </c>
      <c r="Y664" s="36">
        <f>IF(NOTA[[#This Row],[JUMLAH]]="","",NOTA[[#This Row],[JUMLAH]]*NOTA[[#This Row],[DISC 1]])</f>
        <v>374000</v>
      </c>
      <c r="Z664" s="36">
        <f>IF(NOTA[[#This Row],[JUMLAH]]="","",(NOTA[[#This Row],[JUMLAH]]-NOTA[[#This Row],[DISC 1-]])*NOTA[[#This Row],[DISC 2]])</f>
        <v>130900</v>
      </c>
      <c r="AA664" s="36">
        <f>IF(NOTA[[#This Row],[JUMLAH]]="","",NOTA[[#This Row],[DISC 1-]]+NOTA[[#This Row],[DISC 2-]])</f>
        <v>504900</v>
      </c>
      <c r="AB664" s="36">
        <f>IF(NOTA[[#This Row],[JUMLAH]]="","",NOTA[[#This Row],[JUMLAH]]-NOTA[[#This Row],[DISC]])</f>
        <v>2487100</v>
      </c>
      <c r="AC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5292540</v>
      </c>
      <c r="AD6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26070660</v>
      </c>
      <c r="AE664" s="28">
        <f>IF(NOTA[[#This Row],[NAMA BARANG]]="","",IF(NOTA[[#This Row],[JUMLAH_H]]="",NOTA[[#This Row],[HARGA/ CTN]],NOTA[[#This Row],[QTY]]*NOTA[[#This Row],[HARGA SATUAN]]/IF(ISNUMBER(NOTA[[#This Row],[C]]),NOTA[[#This Row],[C]],1)))</f>
        <v>2992000</v>
      </c>
      <c r="AF664" s="36">
        <f>IF(OR(NOTA[[#This Row],[QTY]]="",NOTA[[#This Row],[HARGA SATUAN]]="",),"",NOTA[[#This Row],[QTY]]*NOTA[[#This Row],[HARGA SATUAN]])</f>
        <v>2992000</v>
      </c>
      <c r="AG664" s="33">
        <f ca="1">IF(NOTA[ID_H]="","",INDEX(NOTA[TANGGAL],MATCH(,INDIRECT(ADDRESS(ROW(NOTA[TANGGAL]),COLUMN(NOTA[TANGGAL]))&amp;":"&amp;ADDRESS(ROW(),COLUMN(NOTA[TANGGAL]))),-1)))</f>
        <v>44950</v>
      </c>
      <c r="AH664" s="28" t="str">
        <f ca="1">IF(NOTA[[#This Row],[NAMA BARANG]]="","",INDEX(NOTA[SUPPLIER],MATCH(,INDIRECT(ADDRESS(ROW(NOTA[ID]),COLUMN(NOTA[ID]))&amp;":"&amp;ADDRESS(ROW(),COLUMN(NOTA[ID]))),-1)))</f>
        <v>ATALI MAKMUR</v>
      </c>
      <c r="AI664" s="28" t="str">
        <f ca="1">IF(NOTA[[#This Row],[ID_H]]="","",IF(NOTA[[#This Row],[FAKTUR]]="",INDIRECT(ADDRESS(ROW()-1,COLUMN())),NOTA[[#This Row],[FAKTUR]]))</f>
        <v>ARTO MORO</v>
      </c>
      <c r="AJ664" s="38" t="str">
        <f ca="1">IF(NOTA[[#This Row],[ID]]="","",COUNTIF(NOTA[ID_H],NOTA[[#This Row],[ID_H]]))</f>
        <v/>
      </c>
      <c r="AK664" s="38">
        <f ca="1">IF(NOTA[[#This Row],[TGL.NOTA]]="",IF(NOTA[[#This Row],[SUPPLIER_H]]="","",AK663),MONTH(NOTA[[#This Row],[TGL.NOTA]]))</f>
        <v>1</v>
      </c>
      <c r="AL664" s="38" t="str">
        <f>LOWER(SUBSTITUTE(SUBSTITUTE(SUBSTITUTE(SUBSTITUTE(SUBSTITUTE(SUBSTITUTE(SUBSTITUTE(SUBSTITUTE(SUBSTITUTE(NOTA[NAMA BARANG]," ",),".",""),"-",""),"(",""),")",""),",",""),"/",""),"""",""),"+",""))</f>
        <v>cashboxcb26ajk</v>
      </c>
      <c r="AM664" s="38" t="str">
        <f>IF(NOTA[C]="",NOTA[[#This Row],[CONCAT1]]&amp;NOTA[[#This Row],[HARGA SATUAN]],NOTA[[#This Row],[CONCAT1]]&amp;NOTA[[#This Row],[HARGA/ CTN_H]]&amp;NOTA[[#This Row],[DISC 1]]&amp;NOTA[[#This Row],[DISC 2]])</f>
        <v>cashboxcb26ajk29920000.1250.05</v>
      </c>
      <c r="AN664" s="184">
        <f>IF(NOTA[[#This Row],[CONCAT1]]="","",MATCH(NOTA[[#This Row],[CONCAT1]],[1]!db[NB NOTA_C],0)+1)</f>
        <v>442</v>
      </c>
    </row>
    <row r="665" spans="1:40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Row],[CEK_EXP]]&lt;D664,"err","")</f>
        <v/>
      </c>
      <c r="D665" s="29">
        <f>IF(NOTA[[#This Row],[TANGGAL]]="",D664,NOTA[[#This Row],[TANGGAL]])</f>
        <v>44950</v>
      </c>
      <c r="E665" s="29" t="str">
        <f ca="1">IF(NOTA[[#This Row],[NAMA BARANG]]="","",INDEX(NOTA[ID],MATCH(,INDIRECT(ADDRESS(ROW(NOTA[ID]),COLUMN(NOTA[ID]))&amp;":"&amp;ADDRESS(ROW(),COLUMN(NOTA[ID]))),-1)))</f>
        <v/>
      </c>
      <c r="F665" s="30"/>
      <c r="G665" s="26"/>
      <c r="H665" s="26"/>
      <c r="I665" s="31"/>
      <c r="J665" s="32"/>
      <c r="K665" s="51"/>
      <c r="L665" s="32"/>
      <c r="M665" s="26"/>
      <c r="N665" s="34"/>
      <c r="O665" s="32"/>
      <c r="P665" s="26"/>
      <c r="Q665" s="28"/>
      <c r="R665" s="46"/>
      <c r="S665" s="39"/>
      <c r="T665" s="35"/>
      <c r="U665" s="35"/>
      <c r="V665" s="36"/>
      <c r="W665" s="37"/>
      <c r="X665" s="36" t="str">
        <f>IF(NOTA[[#This Row],[HARGA/ CTN]]="",NOTA[[#This Row],[JUMLAH_H]],NOTA[[#This Row],[HARGA/ CTN]]*IF(NOTA[[#This Row],[C]]="",0,NOTA[[#This Row],[C]]))</f>
        <v/>
      </c>
      <c r="Y665" s="36" t="str">
        <f>IF(NOTA[[#This Row],[JUMLAH]]="","",NOTA[[#This Row],[JUMLAH]]*NOTA[[#This Row],[DISC 1]])</f>
        <v/>
      </c>
      <c r="Z665" s="36" t="str">
        <f>IF(NOTA[[#This Row],[JUMLAH]]="","",(NOTA[[#This Row],[JUMLAH]]-NOTA[[#This Row],[DISC 1-]])*NOTA[[#This Row],[DISC 2]])</f>
        <v/>
      </c>
      <c r="AA665" s="36" t="str">
        <f>IF(NOTA[[#This Row],[JUMLAH]]="","",NOTA[[#This Row],[DISC 1-]]+NOTA[[#This Row],[DISC 2-]])</f>
        <v/>
      </c>
      <c r="AB665" s="36" t="str">
        <f>IF(NOTA[[#This Row],[JUMLAH]]="","",NOTA[[#This Row],[JUMLAH]]-NOTA[[#This Row],[DISC]])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36" t="str">
        <f>IF(OR(NOTA[[#This Row],[QTY]]="",NOTA[[#This Row],[HARGA SATUAN]]="",),"",NOTA[[#This Row],[QTY]]*NOTA[[#This Row],[HARGA SATUAN]])</f>
        <v/>
      </c>
      <c r="AG665" s="33" t="str">
        <f ca="1">IF(NOTA[ID_H]="","",INDEX(NOTA[TANGGAL],MATCH(,INDIRECT(ADDRESS(ROW(NOTA[TANGGAL]),COLUMN(NOTA[TANGGAL]))&amp;":"&amp;ADDRESS(ROW(),COLUMN(NOTA[TANGGAL]))),-1)))</f>
        <v/>
      </c>
      <c r="AH665" s="28" t="str">
        <f ca="1">IF(NOTA[[#This Row],[NAMA BARANG]]="","",INDEX(NOTA[SUPPLIER],MATCH(,INDIRECT(ADDRESS(ROW(NOTA[ID]),COLUMN(NOTA[ID]))&amp;":"&amp;ADDRESS(ROW(),COLUMN(NOTA[ID]))),-1)))</f>
        <v/>
      </c>
      <c r="AI665" s="28" t="str">
        <f ca="1">IF(NOTA[[#This Row],[ID_H]]="","",IF(NOTA[[#This Row],[FAKTUR]]="",INDIRECT(ADDRESS(ROW()-1,COLUMN())),NOTA[[#This Row],[FAKTUR]]))</f>
        <v/>
      </c>
      <c r="AJ665" s="38" t="str">
        <f ca="1">IF(NOTA[[#This Row],[ID]]="","",COUNTIF(NOTA[ID_H],NOTA[[#This Row],[ID_H]]))</f>
        <v/>
      </c>
      <c r="AK665" s="38" t="str">
        <f ca="1">IF(NOTA[[#This Row],[TGL.NOTA]]="",IF(NOTA[[#This Row],[SUPPLIER_H]]="","",AK664),MONTH(NOTA[[#This Row],[TGL.NOTA]]))</f>
        <v/>
      </c>
      <c r="AL665" s="38" t="str">
        <f>LOWER(SUBSTITUTE(SUBSTITUTE(SUBSTITUTE(SUBSTITUTE(SUBSTITUTE(SUBSTITUTE(SUBSTITUTE(SUBSTITUTE(SUBSTITUTE(NOTA[NAMA BARANG]," ",),".",""),"-",""),"(",""),")",""),",",""),"/",""),"""",""),"+",""))</f>
        <v/>
      </c>
      <c r="AM665" s="38" t="str">
        <f>IF(NOTA[C]="",NOTA[[#This Row],[CONCAT1]]&amp;NOTA[[#This Row],[HARGA SATUAN]],NOTA[[#This Row],[CONCAT1]]&amp;NOTA[[#This Row],[HARGA/ CTN_H]]&amp;NOTA[[#This Row],[DISC 1]]&amp;NOTA[[#This Row],[DISC 2]])</f>
        <v/>
      </c>
      <c r="AN665" s="184" t="str">
        <f>IF(NOTA[[#This Row],[CONCAT1]]="","",MATCH(NOTA[[#This Row],[CONCAT1]],[1]!db[NB NOTA_C],0)+1)</f>
        <v/>
      </c>
    </row>
    <row r="666" spans="1:40" ht="20.100000000000001" customHeight="1" x14ac:dyDescent="0.25">
      <c r="A666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WIN_2401_LGS-10</v>
      </c>
      <c r="C666" s="29" t="str">
        <f>IF(NOTA[[#This Row],[CEK_EXP]]&lt;D665,"err","")</f>
        <v/>
      </c>
      <c r="D666" s="29">
        <f>IF(NOTA[[#This Row],[TANGGAL]]="",D665,NOTA[[#This Row],[TANGGAL]])</f>
        <v>44950</v>
      </c>
      <c r="E666" s="29">
        <f ca="1">IF(NOTA[[#This Row],[NAMA BARANG]]="","",INDEX(NOTA[ID],MATCH(,INDIRECT(ADDRESS(ROW(NOTA[ID]),COLUMN(NOTA[ID]))&amp;":"&amp;ADDRESS(ROW(),COLUMN(NOTA[ID]))),-1)))</f>
        <v>127</v>
      </c>
      <c r="F666" s="30">
        <v>44950</v>
      </c>
      <c r="G666" s="26" t="s">
        <v>761</v>
      </c>
      <c r="H666" s="26" t="s">
        <v>87</v>
      </c>
      <c r="I666" s="31" t="s">
        <v>798</v>
      </c>
      <c r="J666" s="32"/>
      <c r="K666" s="33">
        <v>44940</v>
      </c>
      <c r="L666" s="32"/>
      <c r="M666" s="26" t="s">
        <v>799</v>
      </c>
      <c r="N666" s="34">
        <v>50</v>
      </c>
      <c r="O666" s="32"/>
      <c r="P666" s="26"/>
      <c r="Q666" s="28"/>
      <c r="R666" s="46">
        <v>1250000</v>
      </c>
      <c r="S666" s="39">
        <v>25</v>
      </c>
      <c r="T666" s="35"/>
      <c r="U666" s="35"/>
      <c r="V666" s="36"/>
      <c r="W666" s="37"/>
      <c r="X666" s="36">
        <f>IF(NOTA[[#This Row],[HARGA/ CTN]]="",NOTA[[#This Row],[JUMLAH_H]],NOTA[[#This Row],[HARGA/ CTN]]*IF(NOTA[[#This Row],[C]]="",0,NOTA[[#This Row],[C]]))</f>
        <v>62500000</v>
      </c>
      <c r="Y666" s="36">
        <f>IF(NOTA[[#This Row],[JUMLAH]]="","",NOTA[[#This Row],[JUMLAH]]*NOTA[[#This Row],[DISC 1]])</f>
        <v>0</v>
      </c>
      <c r="Z666" s="36">
        <f>IF(NOTA[[#This Row],[JUMLAH]]="","",(NOTA[[#This Row],[JUMLAH]]-NOTA[[#This Row],[DISC 1-]])*NOTA[[#This Row],[DISC 2]])</f>
        <v>0</v>
      </c>
      <c r="AA666" s="36">
        <f>IF(NOTA[[#This Row],[JUMLAH]]="","",NOTA[[#This Row],[DISC 1-]]+NOTA[[#This Row],[DISC 2-]])</f>
        <v>0</v>
      </c>
      <c r="AB666" s="36">
        <f>IF(NOTA[[#This Row],[JUMLAH]]="","",NOTA[[#This Row],[JUMLAH]]-NOTA[[#This Row],[DISC]])</f>
        <v>62500000</v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28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F666" s="36" t="str">
        <f>IF(OR(NOTA[[#This Row],[QTY]]="",NOTA[[#This Row],[HARGA SATUAN]]="",),"",NOTA[[#This Row],[QTY]]*NOTA[[#This Row],[HARGA SATUAN]])</f>
        <v/>
      </c>
      <c r="AG666" s="33">
        <f ca="1">IF(NOTA[ID_H]="","",INDEX(NOTA[TANGGAL],MATCH(,INDIRECT(ADDRESS(ROW(NOTA[TANGGAL]),COLUMN(NOTA[TANGGAL]))&amp;":"&amp;ADDRESS(ROW(),COLUMN(NOTA[TANGGAL]))),-1)))</f>
        <v>44950</v>
      </c>
      <c r="AH666" s="28" t="str">
        <f ca="1">IF(NOTA[[#This Row],[NAMA BARANG]]="","",INDEX(NOTA[SUPPLIER],MATCH(,INDIRECT(ADDRESS(ROW(NOTA[ID]),COLUMN(NOTA[ID]))&amp;":"&amp;ADDRESS(ROW(),COLUMN(NOTA[ID]))),-1)))</f>
        <v>WINS SENTOSA</v>
      </c>
      <c r="AI666" s="28" t="str">
        <f ca="1">IF(NOTA[[#This Row],[ID_H]]="","",IF(NOTA[[#This Row],[FAKTUR]]="",INDIRECT(ADDRESS(ROW()-1,COLUMN())),NOTA[[#This Row],[FAKTUR]]))</f>
        <v>UNTANA</v>
      </c>
      <c r="AJ666" s="38">
        <f ca="1">IF(NOTA[[#This Row],[ID]]="","",COUNTIF(NOTA[ID_H],NOTA[[#This Row],[ID_H]]))</f>
        <v>10</v>
      </c>
      <c r="AK666" s="38">
        <f>IF(NOTA[[#This Row],[TGL.NOTA]]="",IF(NOTA[[#This Row],[SUPPLIER_H]]="","",AK665),MONTH(NOTA[[#This Row],[TGL.NOTA]]))</f>
        <v>1</v>
      </c>
      <c r="AL666" s="38" t="str">
        <f>LOWER(SUBSTITUTE(SUBSTITUTE(SUBSTITUTE(SUBSTITUTE(SUBSTITUTE(SUBSTITUTE(SUBSTITUTE(SUBSTITUTE(SUBSTITUTE(NOTA[NAMA BARANG]," ",),".",""),"-",""),"(",""),")",""),",",""),"/",""),"""",""),"+",""))</f>
        <v>gluestick7x30</v>
      </c>
      <c r="AM666" s="38" t="str">
        <f>IF(NOTA[C]="",NOTA[[#This Row],[CONCAT1]]&amp;NOTA[[#This Row],[HARGA SATUAN]],NOTA[[#This Row],[CONCAT1]]&amp;NOTA[[#This Row],[HARGA/ CTN_H]]&amp;NOTA[[#This Row],[DISC 1]]&amp;NOTA[[#This Row],[DISC 2]])</f>
        <v>gluestick7x301250000</v>
      </c>
      <c r="AN666" s="184">
        <f>IF(NOTA[[#This Row],[CONCAT1]]="","",MATCH(NOTA[[#This Row],[CONCAT1]],[1]!db[NB NOTA_C],0)+1)</f>
        <v>925</v>
      </c>
    </row>
    <row r="667" spans="1:40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Row],[CEK_EXP]]&lt;D666,"err","")</f>
        <v/>
      </c>
      <c r="D667" s="29">
        <f>IF(NOTA[[#This Row],[TANGGAL]]="",D666,NOTA[[#This Row],[TANGGAL]])</f>
        <v>44950</v>
      </c>
      <c r="E667" s="29">
        <f ca="1">IF(NOTA[[#This Row],[NAMA BARANG]]="","",INDEX(NOTA[ID],MATCH(,INDIRECT(ADDRESS(ROW(NOTA[ID]),COLUMN(NOTA[ID]))&amp;":"&amp;ADDRESS(ROW(),COLUMN(NOTA[ID]))),-1)))</f>
        <v>127</v>
      </c>
      <c r="F667" s="30"/>
      <c r="G667" s="32"/>
      <c r="H667" s="32"/>
      <c r="I667" s="55"/>
      <c r="J667" s="32"/>
      <c r="K667" s="33"/>
      <c r="L667" s="32"/>
      <c r="M667" s="26" t="s">
        <v>800</v>
      </c>
      <c r="N667" s="34">
        <v>10</v>
      </c>
      <c r="O667" s="32"/>
      <c r="P667" s="26"/>
      <c r="Q667" s="28"/>
      <c r="R667" s="46">
        <v>1250000</v>
      </c>
      <c r="S667" s="39">
        <v>25</v>
      </c>
      <c r="T667" s="35"/>
      <c r="U667" s="35"/>
      <c r="V667" s="36"/>
      <c r="W667" s="37"/>
      <c r="X667" s="36">
        <f>IF(NOTA[[#This Row],[HARGA/ CTN]]="",NOTA[[#This Row],[JUMLAH_H]],NOTA[[#This Row],[HARGA/ CTN]]*IF(NOTA[[#This Row],[C]]="",0,NOTA[[#This Row],[C]]))</f>
        <v>12500000</v>
      </c>
      <c r="Y667" s="36">
        <f>IF(NOTA[[#This Row],[JUMLAH]]="","",NOTA[[#This Row],[JUMLAH]]*NOTA[[#This Row],[DISC 1]])</f>
        <v>0</v>
      </c>
      <c r="Z667" s="36">
        <f>IF(NOTA[[#This Row],[JUMLAH]]="","",(NOTA[[#This Row],[JUMLAH]]-NOTA[[#This Row],[DISC 1-]])*NOTA[[#This Row],[DISC 2]])</f>
        <v>0</v>
      </c>
      <c r="AA667" s="36">
        <f>IF(NOTA[[#This Row],[JUMLAH]]="","",NOTA[[#This Row],[DISC 1-]]+NOTA[[#This Row],[DISC 2-]])</f>
        <v>0</v>
      </c>
      <c r="AB667" s="36">
        <f>IF(NOTA[[#This Row],[JUMLAH]]="","",NOTA[[#This Row],[JUMLAH]]-NOTA[[#This Row],[DISC]])</f>
        <v>12500000</v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28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F667" s="36" t="str">
        <f>IF(OR(NOTA[[#This Row],[QTY]]="",NOTA[[#This Row],[HARGA SATUAN]]="",),"",NOTA[[#This Row],[QTY]]*NOTA[[#This Row],[HARGA SATUAN]])</f>
        <v/>
      </c>
      <c r="AG667" s="33">
        <f ca="1">IF(NOTA[ID_H]="","",INDEX(NOTA[TANGGAL],MATCH(,INDIRECT(ADDRESS(ROW(NOTA[TANGGAL]),COLUMN(NOTA[TANGGAL]))&amp;":"&amp;ADDRESS(ROW(),COLUMN(NOTA[TANGGAL]))),-1)))</f>
        <v>44950</v>
      </c>
      <c r="AH667" s="28" t="str">
        <f ca="1">IF(NOTA[[#This Row],[NAMA BARANG]]="","",INDEX(NOTA[SUPPLIER],MATCH(,INDIRECT(ADDRESS(ROW(NOTA[ID]),COLUMN(NOTA[ID]))&amp;":"&amp;ADDRESS(ROW(),COLUMN(NOTA[ID]))),-1)))</f>
        <v>WINS SENTOSA</v>
      </c>
      <c r="AI667" s="28" t="str">
        <f ca="1">IF(NOTA[[#This Row],[ID_H]]="","",IF(NOTA[[#This Row],[FAKTUR]]="",INDIRECT(ADDRESS(ROW()-1,COLUMN())),NOTA[[#This Row],[FAKTUR]]))</f>
        <v>UNTANA</v>
      </c>
      <c r="AJ667" s="38" t="str">
        <f ca="1">IF(NOTA[[#This Row],[ID]]="","",COUNTIF(NOTA[ID_H],NOTA[[#This Row],[ID_H]]))</f>
        <v/>
      </c>
      <c r="AK667" s="38">
        <f ca="1">IF(NOTA[[#This Row],[TGL.NOTA]]="",IF(NOTA[[#This Row],[SUPPLIER_H]]="","",AK666),MONTH(NOTA[[#This Row],[TGL.NOTA]]))</f>
        <v>1</v>
      </c>
      <c r="AL667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M667" s="38" t="str">
        <f>IF(NOTA[C]="",NOTA[[#This Row],[CONCAT1]]&amp;NOTA[[#This Row],[HARGA SATUAN]],NOTA[[#This Row],[CONCAT1]]&amp;NOTA[[#This Row],[HARGA/ CTN_H]]&amp;NOTA[[#This Row],[DISC 1]]&amp;NOTA[[#This Row],[DISC 2]])</f>
        <v>gluestick11x291250000</v>
      </c>
      <c r="AN667" s="184">
        <f>IF(NOTA[[#This Row],[CONCAT1]]="","",MATCH(NOTA[[#This Row],[CONCAT1]],[1]!db[NB NOTA_C],0)+1)</f>
        <v>924</v>
      </c>
    </row>
    <row r="668" spans="1:40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Row],[CEK_EXP]]&lt;D667,"err","")</f>
        <v/>
      </c>
      <c r="D668" s="29">
        <f>IF(NOTA[[#This Row],[TANGGAL]]="",D667,NOTA[[#This Row],[TANGGAL]])</f>
        <v>44950</v>
      </c>
      <c r="E668" s="29">
        <f ca="1">IF(NOTA[[#This Row],[NAMA BARANG]]="","",INDEX(NOTA[ID],MATCH(,INDIRECT(ADDRESS(ROW(NOTA[ID]),COLUMN(NOTA[ID]))&amp;":"&amp;ADDRESS(ROW(),COLUMN(NOTA[ID]))),-1)))</f>
        <v>127</v>
      </c>
      <c r="F668" s="30"/>
      <c r="G668" s="32"/>
      <c r="H668" s="32"/>
      <c r="I668" s="55"/>
      <c r="J668" s="32"/>
      <c r="K668" s="33"/>
      <c r="L668" s="32"/>
      <c r="M668" s="26" t="s">
        <v>838</v>
      </c>
      <c r="N668" s="34">
        <v>9</v>
      </c>
      <c r="O668" s="32"/>
      <c r="P668" s="26"/>
      <c r="Q668" s="28"/>
      <c r="R668" s="46">
        <v>2448000</v>
      </c>
      <c r="S668" s="39">
        <v>192</v>
      </c>
      <c r="T668" s="53"/>
      <c r="U668" s="35"/>
      <c r="V668" s="36"/>
      <c r="W668" s="37"/>
      <c r="X668" s="36">
        <f>IF(NOTA[[#This Row],[HARGA/ CTN]]="",NOTA[[#This Row],[JUMLAH_H]],NOTA[[#This Row],[HARGA/ CTN]]*IF(NOTA[[#This Row],[C]]="",0,NOTA[[#This Row],[C]]))</f>
        <v>22032000</v>
      </c>
      <c r="Y668" s="36">
        <f>IF(NOTA[[#This Row],[JUMLAH]]="","",NOTA[[#This Row],[JUMLAH]]*NOTA[[#This Row],[DISC 1]])</f>
        <v>0</v>
      </c>
      <c r="Z668" s="36">
        <f>IF(NOTA[[#This Row],[JUMLAH]]="","",(NOTA[[#This Row],[JUMLAH]]-NOTA[[#This Row],[DISC 1-]])*NOTA[[#This Row],[DISC 2]])</f>
        <v>0</v>
      </c>
      <c r="AA668" s="36">
        <f>IF(NOTA[[#This Row],[JUMLAH]]="","",NOTA[[#This Row],[DISC 1-]]+NOTA[[#This Row],[DISC 2-]])</f>
        <v>0</v>
      </c>
      <c r="AB668" s="36">
        <f>IF(NOTA[[#This Row],[JUMLAH]]="","",NOTA[[#This Row],[JUMLAH]]-NOTA[[#This Row],[DISC]])</f>
        <v>22032000</v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668" s="36" t="str">
        <f>IF(OR(NOTA[[#This Row],[QTY]]="",NOTA[[#This Row],[HARGA SATUAN]]="",),"",NOTA[[#This Row],[QTY]]*NOTA[[#This Row],[HARGA SATUAN]])</f>
        <v/>
      </c>
      <c r="AG668" s="33">
        <f ca="1">IF(NOTA[ID_H]="","",INDEX(NOTA[TANGGAL],MATCH(,INDIRECT(ADDRESS(ROW(NOTA[TANGGAL]),COLUMN(NOTA[TANGGAL]))&amp;":"&amp;ADDRESS(ROW(),COLUMN(NOTA[TANGGAL]))),-1)))</f>
        <v>44950</v>
      </c>
      <c r="AH668" s="28" t="str">
        <f ca="1">IF(NOTA[[#This Row],[NAMA BARANG]]="","",INDEX(NOTA[SUPPLIER],MATCH(,INDIRECT(ADDRESS(ROW(NOTA[ID]),COLUMN(NOTA[ID]))&amp;":"&amp;ADDRESS(ROW(),COLUMN(NOTA[ID]))),-1)))</f>
        <v>WINS SENTOSA</v>
      </c>
      <c r="AI668" s="28" t="str">
        <f ca="1">IF(NOTA[[#This Row],[ID_H]]="","",IF(NOTA[[#This Row],[FAKTUR]]="",INDIRECT(ADDRESS(ROW()-1,COLUMN())),NOTA[[#This Row],[FAKTUR]]))</f>
        <v>UNTANA</v>
      </c>
      <c r="AJ668" s="38" t="str">
        <f ca="1">IF(NOTA[[#This Row],[ID]]="","",COUNTIF(NOTA[ID_H],NOTA[[#This Row],[ID_H]]))</f>
        <v/>
      </c>
      <c r="AK668" s="38">
        <f ca="1">IF(NOTA[[#This Row],[TGL.NOTA]]="",IF(NOTA[[#This Row],[SUPPLIER_H]]="","",AK667),MONTH(NOTA[[#This Row],[TGL.NOTA]]))</f>
        <v>1</v>
      </c>
      <c r="AL668" s="38" t="str">
        <f>LOWER(SUBSTITUTE(SUBSTITUTE(SUBSTITUTE(SUBSTITUTE(SUBSTITUTE(SUBSTITUTE(SUBSTITUTE(SUBSTITUTE(SUBSTITUTE(NOTA[NAMA BARANG]," ",),".",""),"-",""),"(",""),")",""),",",""),"/",""),"""",""),"+",""))</f>
        <v>crayon101212wrnmixwomy</v>
      </c>
      <c r="AM668" s="38" t="str">
        <f>IF(NOTA[C]="",NOTA[[#This Row],[CONCAT1]]&amp;NOTA[[#This Row],[HARGA SATUAN]],NOTA[[#This Row],[CONCAT1]]&amp;NOTA[[#This Row],[HARGA/ CTN_H]]&amp;NOTA[[#This Row],[DISC 1]]&amp;NOTA[[#This Row],[DISC 2]])</f>
        <v>crayon101212wrnmixwomy2448000</v>
      </c>
      <c r="AN668" s="184">
        <f>IF(NOTA[[#This Row],[CONCAT1]]="","",MATCH(NOTA[[#This Row],[CONCAT1]],[1]!db[NB NOTA_C],0)+1)</f>
        <v>546</v>
      </c>
    </row>
    <row r="669" spans="1:40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Row],[CEK_EXP]]&lt;D668,"err","")</f>
        <v/>
      </c>
      <c r="D669" s="29">
        <f>IF(NOTA[[#This Row],[TANGGAL]]="",D668,NOTA[[#This Row],[TANGGAL]])</f>
        <v>44950</v>
      </c>
      <c r="E669" s="29">
        <f ca="1">IF(NOTA[[#This Row],[NAMA BARANG]]="","",INDEX(NOTA[ID],MATCH(,INDIRECT(ADDRESS(ROW(NOTA[ID]),COLUMN(NOTA[ID]))&amp;":"&amp;ADDRESS(ROW(),COLUMN(NOTA[ID]))),-1)))</f>
        <v>127</v>
      </c>
      <c r="F669" s="30"/>
      <c r="G669" s="26"/>
      <c r="H669" s="26"/>
      <c r="I669" s="31"/>
      <c r="J669" s="32"/>
      <c r="K669" s="51"/>
      <c r="L669" s="32"/>
      <c r="M669" s="26" t="s">
        <v>806</v>
      </c>
      <c r="N669" s="34">
        <v>5</v>
      </c>
      <c r="O669" s="32"/>
      <c r="P669" s="26"/>
      <c r="Q669" s="28"/>
      <c r="R669" s="46">
        <v>2100000</v>
      </c>
      <c r="S669" s="39">
        <v>700</v>
      </c>
      <c r="T669" s="35"/>
      <c r="U669" s="35"/>
      <c r="V669" s="36"/>
      <c r="W669" s="37"/>
      <c r="X669" s="36">
        <f>IF(NOTA[[#This Row],[HARGA/ CTN]]="",NOTA[[#This Row],[JUMLAH_H]],NOTA[[#This Row],[HARGA/ CTN]]*IF(NOTA[[#This Row],[C]]="",0,NOTA[[#This Row],[C]]))</f>
        <v>10500000</v>
      </c>
      <c r="Y669" s="36">
        <f>IF(NOTA[[#This Row],[JUMLAH]]="","",NOTA[[#This Row],[JUMLAH]]*NOTA[[#This Row],[DISC 1]])</f>
        <v>0</v>
      </c>
      <c r="Z669" s="36">
        <f>IF(NOTA[[#This Row],[JUMLAH]]="","",(NOTA[[#This Row],[JUMLAH]]-NOTA[[#This Row],[DISC 1-]])*NOTA[[#This Row],[DISC 2]])</f>
        <v>0</v>
      </c>
      <c r="AA669" s="36">
        <f>IF(NOTA[[#This Row],[JUMLAH]]="","",NOTA[[#This Row],[DISC 1-]]+NOTA[[#This Row],[DISC 2-]])</f>
        <v>0</v>
      </c>
      <c r="AB669" s="36">
        <f>IF(NOTA[[#This Row],[JUMLAH]]="","",NOTA[[#This Row],[JUMLAH]]-NOTA[[#This Row],[DISC]])</f>
        <v>10500000</v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69" s="36" t="str">
        <f>IF(OR(NOTA[[#This Row],[QTY]]="",NOTA[[#This Row],[HARGA SATUAN]]="",),"",NOTA[[#This Row],[QTY]]*NOTA[[#This Row],[HARGA SATUAN]])</f>
        <v/>
      </c>
      <c r="AG669" s="33">
        <f ca="1">IF(NOTA[ID_H]="","",INDEX(NOTA[TANGGAL],MATCH(,INDIRECT(ADDRESS(ROW(NOTA[TANGGAL]),COLUMN(NOTA[TANGGAL]))&amp;":"&amp;ADDRESS(ROW(),COLUMN(NOTA[TANGGAL]))),-1)))</f>
        <v>44950</v>
      </c>
      <c r="AH669" s="28" t="str">
        <f ca="1">IF(NOTA[[#This Row],[NAMA BARANG]]="","",INDEX(NOTA[SUPPLIER],MATCH(,INDIRECT(ADDRESS(ROW(NOTA[ID]),COLUMN(NOTA[ID]))&amp;":"&amp;ADDRESS(ROW(),COLUMN(NOTA[ID]))),-1)))</f>
        <v>WINS SENTOSA</v>
      </c>
      <c r="AI669" s="28" t="str">
        <f ca="1">IF(NOTA[[#This Row],[ID_H]]="","",IF(NOTA[[#This Row],[FAKTUR]]="",INDIRECT(ADDRESS(ROW()-1,COLUMN())),NOTA[[#This Row],[FAKTUR]]))</f>
        <v>UNTANA</v>
      </c>
      <c r="AJ669" s="38" t="str">
        <f ca="1">IF(NOTA[[#This Row],[ID]]="","",COUNTIF(NOTA[ID_H],NOTA[[#This Row],[ID_H]]))</f>
        <v/>
      </c>
      <c r="AK669" s="38">
        <f ca="1">IF(NOTA[[#This Row],[TGL.NOTA]]="",IF(NOTA[[#This Row],[SUPPLIER_H]]="","",AK668),MONTH(NOTA[[#This Row],[TGL.NOTA]]))</f>
        <v>1</v>
      </c>
      <c r="AL669" s="38" t="str">
        <f>LOWER(SUBSTITUTE(SUBSTITUTE(SUBSTITUTE(SUBSTITUTE(SUBSTITUTE(SUBSTITUTE(SUBSTITUTE(SUBSTITUTE(SUBSTITUTE(NOTA[NAMA BARANG]," ",),".",""),"-",""),"(",""),")",""),",",""),"/",""),"""",""),"+",""))</f>
        <v>opp18x36</v>
      </c>
      <c r="AM669" s="38" t="str">
        <f>IF(NOTA[C]="",NOTA[[#This Row],[CONCAT1]]&amp;NOTA[[#This Row],[HARGA SATUAN]],NOTA[[#This Row],[CONCAT1]]&amp;NOTA[[#This Row],[HARGA/ CTN_H]]&amp;NOTA[[#This Row],[DISC 1]]&amp;NOTA[[#This Row],[DISC 2]])</f>
        <v>opp18x362100000</v>
      </c>
      <c r="AN669" s="184">
        <f>IF(NOTA[[#This Row],[CONCAT1]]="","",MATCH(NOTA[[#This Row],[CONCAT1]],[1]!db[NB NOTA_C],0)+1)</f>
        <v>1570</v>
      </c>
    </row>
    <row r="670" spans="1:40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Row],[CEK_EXP]]&lt;D669,"err","")</f>
        <v/>
      </c>
      <c r="D670" s="29">
        <f>IF(NOTA[[#This Row],[TANGGAL]]="",D669,NOTA[[#This Row],[TANGGAL]])</f>
        <v>44950</v>
      </c>
      <c r="E670" s="29">
        <f ca="1">IF(NOTA[[#This Row],[NAMA BARANG]]="","",INDEX(NOTA[ID],MATCH(,INDIRECT(ADDRESS(ROW(NOTA[ID]),COLUMN(NOTA[ID]))&amp;":"&amp;ADDRESS(ROW(),COLUMN(NOTA[ID]))),-1)))</f>
        <v>127</v>
      </c>
      <c r="F670" s="30"/>
      <c r="G670" s="26"/>
      <c r="H670" s="26"/>
      <c r="I670" s="31"/>
      <c r="J670" s="32"/>
      <c r="K670" s="33"/>
      <c r="L670" s="32"/>
      <c r="M670" s="26" t="s">
        <v>801</v>
      </c>
      <c r="N670" s="34">
        <v>5</v>
      </c>
      <c r="O670" s="32"/>
      <c r="P670" s="26"/>
      <c r="Q670" s="28"/>
      <c r="R670" s="46">
        <v>2250000</v>
      </c>
      <c r="S670" s="39">
        <v>20</v>
      </c>
      <c r="T670" s="35"/>
      <c r="U670" s="35"/>
      <c r="V670" s="36"/>
      <c r="W670" s="37"/>
      <c r="X670" s="36">
        <f>IF(NOTA[[#This Row],[HARGA/ CTN]]="",NOTA[[#This Row],[JUMLAH_H]],NOTA[[#This Row],[HARGA/ CTN]]*IF(NOTA[[#This Row],[C]]="",0,NOTA[[#This Row],[C]]))</f>
        <v>11250000</v>
      </c>
      <c r="Y670" s="36">
        <f>IF(NOTA[[#This Row],[JUMLAH]]="","",NOTA[[#This Row],[JUMLAH]]*NOTA[[#This Row],[DISC 1]])</f>
        <v>0</v>
      </c>
      <c r="Z670" s="36">
        <f>IF(NOTA[[#This Row],[JUMLAH]]="","",(NOTA[[#This Row],[JUMLAH]]-NOTA[[#This Row],[DISC 1-]])*NOTA[[#This Row],[DISC 2]])</f>
        <v>0</v>
      </c>
      <c r="AA670" s="36">
        <f>IF(NOTA[[#This Row],[JUMLAH]]="","",NOTA[[#This Row],[DISC 1-]]+NOTA[[#This Row],[DISC 2-]])</f>
        <v>0</v>
      </c>
      <c r="AB670" s="36">
        <f>IF(NOTA[[#This Row],[JUMLAH]]="","",NOTA[[#This Row],[JUMLAH]]-NOTA[[#This Row],[DISC]])</f>
        <v>11250000</v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670" s="36" t="str">
        <f>IF(OR(NOTA[[#This Row],[QTY]]="",NOTA[[#This Row],[HARGA SATUAN]]="",),"",NOTA[[#This Row],[QTY]]*NOTA[[#This Row],[HARGA SATUAN]])</f>
        <v/>
      </c>
      <c r="AG670" s="33">
        <f ca="1">IF(NOTA[ID_H]="","",INDEX(NOTA[TANGGAL],MATCH(,INDIRECT(ADDRESS(ROW(NOTA[TANGGAL]),COLUMN(NOTA[TANGGAL]))&amp;":"&amp;ADDRESS(ROW(),COLUMN(NOTA[TANGGAL]))),-1)))</f>
        <v>44950</v>
      </c>
      <c r="AH670" s="28" t="str">
        <f ca="1">IF(NOTA[[#This Row],[NAMA BARANG]]="","",INDEX(NOTA[SUPPLIER],MATCH(,INDIRECT(ADDRESS(ROW(NOTA[ID]),COLUMN(NOTA[ID]))&amp;":"&amp;ADDRESS(ROW(),COLUMN(NOTA[ID]))),-1)))</f>
        <v>WINS SENTOSA</v>
      </c>
      <c r="AI670" s="28" t="str">
        <f ca="1">IF(NOTA[[#This Row],[ID_H]]="","",IF(NOTA[[#This Row],[FAKTUR]]="",INDIRECT(ADDRESS(ROW()-1,COLUMN())),NOTA[[#This Row],[FAKTUR]]))</f>
        <v>UNTANA</v>
      </c>
      <c r="AJ670" s="38" t="str">
        <f ca="1">IF(NOTA[[#This Row],[ID]]="","",COUNTIF(NOTA[ID_H],NOTA[[#This Row],[ID_H]]))</f>
        <v/>
      </c>
      <c r="AK670" s="38">
        <f ca="1">IF(NOTA[[#This Row],[TGL.NOTA]]="",IF(NOTA[[#This Row],[SUPPLIER_H]]="","",AK669),MONTH(NOTA[[#This Row],[TGL.NOTA]]))</f>
        <v>1</v>
      </c>
      <c r="AL670" s="38" t="str">
        <f>LOWER(SUBSTITUTE(SUBSTITUTE(SUBSTITUTE(SUBSTITUTE(SUBSTITUTE(SUBSTITUTE(SUBSTITUTE(SUBSTITUTE(SUBSTITUTE(NOTA[NAMA BARANG]," ",),".",""),"-",""),"(",""),")",""),",",""),"/",""),"""",""),"+",""))</f>
        <v>taskarung70x70</v>
      </c>
      <c r="AM670" s="38" t="str">
        <f>IF(NOTA[C]="",NOTA[[#This Row],[CONCAT1]]&amp;NOTA[[#This Row],[HARGA SATUAN]],NOTA[[#This Row],[CONCAT1]]&amp;NOTA[[#This Row],[HARGA/ CTN_H]]&amp;NOTA[[#This Row],[DISC 1]]&amp;NOTA[[#This Row],[DISC 2]])</f>
        <v>taskarung70x702250000</v>
      </c>
      <c r="AN670" s="184">
        <f>IF(NOTA[[#This Row],[CONCAT1]]="","",MATCH(NOTA[[#This Row],[CONCAT1]],[1]!db[NB NOTA_C],0)+1)</f>
        <v>2048</v>
      </c>
    </row>
    <row r="671" spans="1:40" s="48" customFormat="1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Row],[CEK_EXP]]&lt;D670,"err","")</f>
        <v/>
      </c>
      <c r="D671" s="29">
        <f>IF(NOTA[[#This Row],[TANGGAL]]="",D670,NOTA[[#This Row],[TANGGAL]])</f>
        <v>44950</v>
      </c>
      <c r="E671" s="29">
        <f ca="1">IF(NOTA[[#This Row],[NAMA BARANG]]="","",INDEX(NOTA[ID],MATCH(,INDIRECT(ADDRESS(ROW(NOTA[ID]),COLUMN(NOTA[ID]))&amp;":"&amp;ADDRESS(ROW(),COLUMN(NOTA[ID]))),-1)))</f>
        <v>127</v>
      </c>
      <c r="F671" s="30"/>
      <c r="G671" s="32"/>
      <c r="H671" s="32"/>
      <c r="I671" s="55"/>
      <c r="J671" s="32"/>
      <c r="K671" s="33"/>
      <c r="L671" s="32"/>
      <c r="M671" s="26" t="s">
        <v>802</v>
      </c>
      <c r="N671" s="34">
        <v>6</v>
      </c>
      <c r="O671" s="32"/>
      <c r="P671" s="26"/>
      <c r="Q671" s="28"/>
      <c r="R671" s="46">
        <v>2050000</v>
      </c>
      <c r="S671" s="39">
        <v>120</v>
      </c>
      <c r="T671" s="35"/>
      <c r="U671" s="35"/>
      <c r="V671" s="36"/>
      <c r="W671" s="37"/>
      <c r="X671" s="36">
        <f>IF(NOTA[[#This Row],[HARGA/ CTN]]="",NOTA[[#This Row],[JUMLAH_H]],NOTA[[#This Row],[HARGA/ CTN]]*IF(NOTA[[#This Row],[C]]="",0,NOTA[[#This Row],[C]]))</f>
        <v>12300000</v>
      </c>
      <c r="Y671" s="36">
        <f>IF(NOTA[[#This Row],[JUMLAH]]="","",NOTA[[#This Row],[JUMLAH]]*NOTA[[#This Row],[DISC 1]])</f>
        <v>0</v>
      </c>
      <c r="Z671" s="36">
        <f>IF(NOTA[[#This Row],[JUMLAH]]="","",(NOTA[[#This Row],[JUMLAH]]-NOTA[[#This Row],[DISC 1-]])*NOTA[[#This Row],[DISC 2]])</f>
        <v>0</v>
      </c>
      <c r="AA671" s="36">
        <f>IF(NOTA[[#This Row],[JUMLAH]]="","",NOTA[[#This Row],[DISC 1-]]+NOTA[[#This Row],[DISC 2-]])</f>
        <v>0</v>
      </c>
      <c r="AB671" s="36">
        <f>IF(NOTA[[#This Row],[JUMLAH]]="","",NOTA[[#This Row],[JUMLAH]]-NOTA[[#This Row],[DISC]])</f>
        <v>12300000</v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1" s="36" t="str">
        <f>IF(OR(NOTA[[#This Row],[QTY]]="",NOTA[[#This Row],[HARGA SATUAN]]="",),"",NOTA[[#This Row],[QTY]]*NOTA[[#This Row],[HARGA SATUAN]])</f>
        <v/>
      </c>
      <c r="AG671" s="33">
        <f ca="1">IF(NOTA[ID_H]="","",INDEX(NOTA[TANGGAL],MATCH(,INDIRECT(ADDRESS(ROW(NOTA[TANGGAL]),COLUMN(NOTA[TANGGAL]))&amp;":"&amp;ADDRESS(ROW(),COLUMN(NOTA[TANGGAL]))),-1)))</f>
        <v>44950</v>
      </c>
      <c r="AH671" s="28" t="str">
        <f ca="1">IF(NOTA[[#This Row],[NAMA BARANG]]="","",INDEX(NOTA[SUPPLIER],MATCH(,INDIRECT(ADDRESS(ROW(NOTA[ID]),COLUMN(NOTA[ID]))&amp;":"&amp;ADDRESS(ROW(),COLUMN(NOTA[ID]))),-1)))</f>
        <v>WINS SENTOSA</v>
      </c>
      <c r="AI671" s="28" t="str">
        <f ca="1">IF(NOTA[[#This Row],[ID_H]]="","",IF(NOTA[[#This Row],[FAKTUR]]="",INDIRECT(ADDRESS(ROW()-1,COLUMN())),NOTA[[#This Row],[FAKTUR]]))</f>
        <v>UNTANA</v>
      </c>
      <c r="AJ671" s="38" t="str">
        <f ca="1">IF(NOTA[[#This Row],[ID]]="","",COUNTIF(NOTA[ID_H],NOTA[[#This Row],[ID_H]]))</f>
        <v/>
      </c>
      <c r="AK671" s="38">
        <f ca="1">IF(NOTA[[#This Row],[TGL.NOTA]]="",IF(NOTA[[#This Row],[SUPPLIER_H]]="","",AK670),MONTH(NOTA[[#This Row],[TGL.NOTA]]))</f>
        <v>1</v>
      </c>
      <c r="AL671" s="38" t="str">
        <f>LOWER(SUBSTITUTE(SUBSTITUTE(SUBSTITUTE(SUBSTITUTE(SUBSTITUTE(SUBSTITUTE(SUBSTITUTE(SUBSTITUTE(SUBSTITUTE(NOTA[NAMA BARANG]," ",),".",""),"-",""),"(",""),")",""),",",""),"/",""),"""",""),"+",""))</f>
        <v>taskarung55x65x25</v>
      </c>
      <c r="AM671" s="38" t="str">
        <f>IF(NOTA[C]="",NOTA[[#This Row],[CONCAT1]]&amp;NOTA[[#This Row],[HARGA SATUAN]],NOTA[[#This Row],[CONCAT1]]&amp;NOTA[[#This Row],[HARGA/ CTN_H]]&amp;NOTA[[#This Row],[DISC 1]]&amp;NOTA[[#This Row],[DISC 2]])</f>
        <v>taskarung55x65x252050000</v>
      </c>
      <c r="AN671" s="184">
        <f>IF(NOTA[[#This Row],[CONCAT1]]="","",MATCH(NOTA[[#This Row],[CONCAT1]],[1]!db[NB NOTA_C],0)+1)</f>
        <v>2047</v>
      </c>
    </row>
    <row r="672" spans="1:40" ht="20.100000000000001" customHeight="1" x14ac:dyDescent="0.25">
      <c r="A6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0" t="str">
        <f>IF(NOTA[[#This Row],[CEK_EXP]]&lt;D671,"err","")</f>
        <v/>
      </c>
      <c r="D672" s="50">
        <f>IF(NOTA[[#This Row],[TANGGAL]]="",D671,NOTA[[#This Row],[TANGGAL]])</f>
        <v>44950</v>
      </c>
      <c r="E672" s="50">
        <f ca="1">IF(NOTA[[#This Row],[NAMA BARANG]]="","",INDEX(NOTA[ID],MATCH(,INDIRECT(ADDRESS(ROW(NOTA[ID]),COLUMN(NOTA[ID]))&amp;":"&amp;ADDRESS(ROW(),COLUMN(NOTA[ID]))),-1)))</f>
        <v>127</v>
      </c>
      <c r="F672" s="23"/>
      <c r="G672" s="26"/>
      <c r="H672" s="26"/>
      <c r="I672" s="31"/>
      <c r="J672" s="26"/>
      <c r="K672" s="51"/>
      <c r="L672" s="26"/>
      <c r="M672" s="26" t="s">
        <v>802</v>
      </c>
      <c r="N672" s="39">
        <v>5</v>
      </c>
      <c r="O672" s="26"/>
      <c r="P672" s="26"/>
      <c r="Q672" s="28"/>
      <c r="R672" s="52">
        <v>2050000</v>
      </c>
      <c r="S672" s="39">
        <v>120</v>
      </c>
      <c r="T672" s="35"/>
      <c r="U672" s="35"/>
      <c r="V672" s="54"/>
      <c r="W672" s="37"/>
      <c r="X672" s="54">
        <f>IF(NOTA[[#This Row],[HARGA/ CTN]]="",NOTA[[#This Row],[JUMLAH_H]],NOTA[[#This Row],[HARGA/ CTN]]*IF(NOTA[[#This Row],[C]]="",0,NOTA[[#This Row],[C]]))</f>
        <v>10250000</v>
      </c>
      <c r="Y672" s="54">
        <f>IF(NOTA[[#This Row],[JUMLAH]]="","",NOTA[[#This Row],[JUMLAH]]*NOTA[[#This Row],[DISC 1]])</f>
        <v>0</v>
      </c>
      <c r="Z672" s="54">
        <f>IF(NOTA[[#This Row],[JUMLAH]]="","",(NOTA[[#This Row],[JUMLAH]]-NOTA[[#This Row],[DISC 1-]])*NOTA[[#This Row],[DISC 2]])</f>
        <v>0</v>
      </c>
      <c r="AA672" s="54">
        <f>IF(NOTA[[#This Row],[JUMLAH]]="","",NOTA[[#This Row],[DISC 1-]]+NOTA[[#This Row],[DISC 2-]])</f>
        <v>0</v>
      </c>
      <c r="AB672" s="54">
        <f>IF(NOTA[[#This Row],[JUMLAH]]="","",NOTA[[#This Row],[JUMLAH]]-NOTA[[#This Row],[DISC]])</f>
        <v>10250000</v>
      </c>
      <c r="AC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54" t="str">
        <f>IF(OR(NOTA[[#This Row],[QTY]]="",NOTA[[#This Row],[HARGA SATUAN]]="",),"",NOTA[[#This Row],[QTY]]*NOTA[[#This Row],[HARGA SATUAN]])</f>
        <v/>
      </c>
      <c r="AG672" s="51">
        <f ca="1">IF(NOTA[ID_H]="","",INDEX(NOTA[TANGGAL],MATCH(,INDIRECT(ADDRESS(ROW(NOTA[TANGGAL]),COLUMN(NOTA[TANGGAL]))&amp;":"&amp;ADDRESS(ROW(),COLUMN(NOTA[TANGGAL]))),-1)))</f>
        <v>44950</v>
      </c>
      <c r="AH672" s="49" t="str">
        <f ca="1">IF(NOTA[[#This Row],[NAMA BARANG]]="","",INDEX(NOTA[SUPPLIER],MATCH(,INDIRECT(ADDRESS(ROW(NOTA[ID]),COLUMN(NOTA[ID]))&amp;":"&amp;ADDRESS(ROW(),COLUMN(NOTA[ID]))),-1)))</f>
        <v>WINS SENTOSA</v>
      </c>
      <c r="AI672" s="49" t="str">
        <f ca="1">IF(NOTA[[#This Row],[ID_H]]="","",IF(NOTA[[#This Row],[FAKTUR]]="",INDIRECT(ADDRESS(ROW()-1,COLUMN())),NOTA[[#This Row],[FAKTUR]]))</f>
        <v>UNTANA</v>
      </c>
      <c r="AJ672" s="38" t="str">
        <f ca="1">IF(NOTA[[#This Row],[ID]]="","",COUNTIF(NOTA[ID_H],NOTA[[#This Row],[ID_H]]))</f>
        <v/>
      </c>
      <c r="AK672" s="38">
        <f ca="1">IF(NOTA[[#This Row],[TGL.NOTA]]="",IF(NOTA[[#This Row],[SUPPLIER_H]]="","",AK671),MONTH(NOTA[[#This Row],[TGL.NOTA]]))</f>
        <v>1</v>
      </c>
      <c r="AL672" s="38" t="str">
        <f>LOWER(SUBSTITUTE(SUBSTITUTE(SUBSTITUTE(SUBSTITUTE(SUBSTITUTE(SUBSTITUTE(SUBSTITUTE(SUBSTITUTE(SUBSTITUTE(NOTA[NAMA BARANG]," ",),".",""),"-",""),"(",""),")",""),",",""),"/",""),"""",""),"+",""))</f>
        <v>taskarung55x65x25</v>
      </c>
      <c r="AM672" s="38" t="str">
        <f>IF(NOTA[C]="",NOTA[[#This Row],[CONCAT1]]&amp;NOTA[[#This Row],[HARGA SATUAN]],NOTA[[#This Row],[CONCAT1]]&amp;NOTA[[#This Row],[HARGA/ CTN_H]]&amp;NOTA[[#This Row],[DISC 1]]&amp;NOTA[[#This Row],[DISC 2]])</f>
        <v>taskarung55x65x252050000</v>
      </c>
      <c r="AN672" s="184">
        <f>IF(NOTA[[#This Row],[CONCAT1]]="","",MATCH(NOTA[[#This Row],[CONCAT1]],[1]!db[NB NOTA_C],0)+1)</f>
        <v>2047</v>
      </c>
    </row>
    <row r="673" spans="1:40" ht="20.100000000000001" customHeight="1" x14ac:dyDescent="0.25">
      <c r="A6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0" t="str">
        <f>IF(NOTA[[#This Row],[CEK_EXP]]&lt;D672,"err","")</f>
        <v/>
      </c>
      <c r="D673" s="50">
        <f>IF(NOTA[[#This Row],[TANGGAL]]="",D672,NOTA[[#This Row],[TANGGAL]])</f>
        <v>44950</v>
      </c>
      <c r="E673" s="50">
        <f ca="1">IF(NOTA[[#This Row],[NAMA BARANG]]="","",INDEX(NOTA[ID],MATCH(,INDIRECT(ADDRESS(ROW(NOTA[ID]),COLUMN(NOTA[ID]))&amp;":"&amp;ADDRESS(ROW(),COLUMN(NOTA[ID]))),-1)))</f>
        <v>127</v>
      </c>
      <c r="F673" s="23"/>
      <c r="G673" s="26"/>
      <c r="H673" s="26"/>
      <c r="I673" s="31"/>
      <c r="J673" s="26"/>
      <c r="K673" s="51"/>
      <c r="L673" s="26"/>
      <c r="M673" s="26" t="s">
        <v>803</v>
      </c>
      <c r="N673" s="39">
        <v>10</v>
      </c>
      <c r="O673" s="26"/>
      <c r="P673" s="26"/>
      <c r="Q673" s="28"/>
      <c r="R673" s="52">
        <v>1700000</v>
      </c>
      <c r="S673" s="39">
        <v>120</v>
      </c>
      <c r="T673" s="35"/>
      <c r="U673" s="35"/>
      <c r="V673" s="54"/>
      <c r="W673" s="37"/>
      <c r="X673" s="54">
        <f>IF(NOTA[[#This Row],[HARGA/ CTN]]="",NOTA[[#This Row],[JUMLAH_H]],NOTA[[#This Row],[HARGA/ CTN]]*IF(NOTA[[#This Row],[C]]="",0,NOTA[[#This Row],[C]]))</f>
        <v>17000000</v>
      </c>
      <c r="Y673" s="54">
        <f>IF(NOTA[[#This Row],[JUMLAH]]="","",NOTA[[#This Row],[JUMLAH]]*NOTA[[#This Row],[DISC 1]])</f>
        <v>0</v>
      </c>
      <c r="Z673" s="54">
        <f>IF(NOTA[[#This Row],[JUMLAH]]="","",(NOTA[[#This Row],[JUMLAH]]-NOTA[[#This Row],[DISC 1-]])*NOTA[[#This Row],[DISC 2]])</f>
        <v>0</v>
      </c>
      <c r="AA673" s="54">
        <f>IF(NOTA[[#This Row],[JUMLAH]]="","",NOTA[[#This Row],[DISC 1-]]+NOTA[[#This Row],[DISC 2-]])</f>
        <v>0</v>
      </c>
      <c r="AB673" s="54">
        <f>IF(NOTA[[#This Row],[JUMLAH]]="","",NOTA[[#This Row],[JUMLAH]]-NOTA[[#This Row],[DISC]])</f>
        <v>17000000</v>
      </c>
      <c r="AC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49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F673" s="54" t="str">
        <f>IF(OR(NOTA[[#This Row],[QTY]]="",NOTA[[#This Row],[HARGA SATUAN]]="",),"",NOTA[[#This Row],[QTY]]*NOTA[[#This Row],[HARGA SATUAN]])</f>
        <v/>
      </c>
      <c r="AG673" s="51">
        <f ca="1">IF(NOTA[ID_H]="","",INDEX(NOTA[TANGGAL],MATCH(,INDIRECT(ADDRESS(ROW(NOTA[TANGGAL]),COLUMN(NOTA[TANGGAL]))&amp;":"&amp;ADDRESS(ROW(),COLUMN(NOTA[TANGGAL]))),-1)))</f>
        <v>44950</v>
      </c>
      <c r="AH673" s="49" t="str">
        <f ca="1">IF(NOTA[[#This Row],[NAMA BARANG]]="","",INDEX(NOTA[SUPPLIER],MATCH(,INDIRECT(ADDRESS(ROW(NOTA[ID]),COLUMN(NOTA[ID]))&amp;":"&amp;ADDRESS(ROW(),COLUMN(NOTA[ID]))),-1)))</f>
        <v>WINS SENTOSA</v>
      </c>
      <c r="AI673" s="49" t="str">
        <f ca="1">IF(NOTA[[#This Row],[ID_H]]="","",IF(NOTA[[#This Row],[FAKTUR]]="",INDIRECT(ADDRESS(ROW()-1,COLUMN())),NOTA[[#This Row],[FAKTUR]]))</f>
        <v>UNTANA</v>
      </c>
      <c r="AJ673" s="38" t="str">
        <f ca="1">IF(NOTA[[#This Row],[ID]]="","",COUNTIF(NOTA[ID_H],NOTA[[#This Row],[ID_H]]))</f>
        <v/>
      </c>
      <c r="AK673" s="38">
        <f ca="1">IF(NOTA[[#This Row],[TGL.NOTA]]="",IF(NOTA[[#This Row],[SUPPLIER_H]]="","",AK672),MONTH(NOTA[[#This Row],[TGL.NOTA]]))</f>
        <v>1</v>
      </c>
      <c r="AL673" s="38" t="str">
        <f>LOWER(SUBSTITUTE(SUBSTITUTE(SUBSTITUTE(SUBSTITUTE(SUBSTITUTE(SUBSTITUTE(SUBSTITUTE(SUBSTITUTE(SUBSTITUTE(NOTA[NAMA BARANG]," ",),".",""),"-",""),"(",""),")",""),",",""),"/",""),"""",""),"+",""))</f>
        <v>taskarung50x55</v>
      </c>
      <c r="AM673" s="38" t="str">
        <f>IF(NOTA[C]="",NOTA[[#This Row],[CONCAT1]]&amp;NOTA[[#This Row],[HARGA SATUAN]],NOTA[[#This Row],[CONCAT1]]&amp;NOTA[[#This Row],[HARGA/ CTN_H]]&amp;NOTA[[#This Row],[DISC 1]]&amp;NOTA[[#This Row],[DISC 2]])</f>
        <v>taskarung50x551700000</v>
      </c>
      <c r="AN673" s="184">
        <f>IF(NOTA[[#This Row],[CONCAT1]]="","",MATCH(NOTA[[#This Row],[CONCAT1]],[1]!db[NB NOTA_C],0)+1)</f>
        <v>2046</v>
      </c>
    </row>
    <row r="674" spans="1:40" s="48" customFormat="1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Row],[CEK_EXP]]&lt;D673,"err","")</f>
        <v/>
      </c>
      <c r="D674" s="58">
        <f>IF(NOTA[[#This Row],[TANGGAL]]="",D673,NOTA[[#This Row],[TANGGAL]])</f>
        <v>44950</v>
      </c>
      <c r="E674" s="58">
        <f ca="1">IF(NOTA[[#This Row],[NAMA BARANG]]="","",INDEX(NOTA[ID],MATCH(,INDIRECT(ADDRESS(ROW(NOTA[ID]),COLUMN(NOTA[ID]))&amp;":"&amp;ADDRESS(ROW(),COLUMN(NOTA[ID]))),-1)))</f>
        <v>127</v>
      </c>
      <c r="F674" s="61"/>
      <c r="G674" s="62"/>
      <c r="H674" s="62"/>
      <c r="I674" s="107"/>
      <c r="J674" s="62"/>
      <c r="K674" s="60"/>
      <c r="L674" s="62"/>
      <c r="M674" s="26" t="s">
        <v>804</v>
      </c>
      <c r="N674" s="63">
        <v>9</v>
      </c>
      <c r="O674" s="62"/>
      <c r="P674" s="26"/>
      <c r="Q674" s="28"/>
      <c r="R674" s="64">
        <v>1450000</v>
      </c>
      <c r="S674" s="39">
        <v>120</v>
      </c>
      <c r="T674" s="35"/>
      <c r="U674" s="35"/>
      <c r="V674" s="59"/>
      <c r="W674" s="37"/>
      <c r="X674" s="59">
        <f>IF(NOTA[[#This Row],[HARGA/ CTN]]="",NOTA[[#This Row],[JUMLAH_H]],NOTA[[#This Row],[HARGA/ CTN]]*IF(NOTA[[#This Row],[C]]="",0,NOTA[[#This Row],[C]]))</f>
        <v>13050000</v>
      </c>
      <c r="Y674" s="59">
        <f>IF(NOTA[[#This Row],[JUMLAH]]="","",NOTA[[#This Row],[JUMLAH]]*NOTA[[#This Row],[DISC 1]])</f>
        <v>0</v>
      </c>
      <c r="Z674" s="59">
        <f>IF(NOTA[[#This Row],[JUMLAH]]="","",(NOTA[[#This Row],[JUMLAH]]-NOTA[[#This Row],[DISC 1-]])*NOTA[[#This Row],[DISC 2]])</f>
        <v>0</v>
      </c>
      <c r="AA674" s="59">
        <f>IF(NOTA[[#This Row],[JUMLAH]]="","",NOTA[[#This Row],[DISC 1-]]+NOTA[[#This Row],[DISC 2-]])</f>
        <v>0</v>
      </c>
      <c r="AB674" s="59">
        <f>IF(NOTA[[#This Row],[JUMLAH]]="","",NOTA[[#This Row],[JUMLAH]]-NOTA[[#This Row],[DISC]])</f>
        <v>13050000</v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57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F674" s="59" t="str">
        <f>IF(OR(NOTA[[#This Row],[QTY]]="",NOTA[[#This Row],[HARGA SATUAN]]="",),"",NOTA[[#This Row],[QTY]]*NOTA[[#This Row],[HARGA SATUAN]])</f>
        <v/>
      </c>
      <c r="AG674" s="60">
        <f ca="1">IF(NOTA[ID_H]="","",INDEX(NOTA[TANGGAL],MATCH(,INDIRECT(ADDRESS(ROW(NOTA[TANGGAL]),COLUMN(NOTA[TANGGAL]))&amp;":"&amp;ADDRESS(ROW(),COLUMN(NOTA[TANGGAL]))),-1)))</f>
        <v>44950</v>
      </c>
      <c r="AH674" s="57" t="str">
        <f ca="1">IF(NOTA[[#This Row],[NAMA BARANG]]="","",INDEX(NOTA[SUPPLIER],MATCH(,INDIRECT(ADDRESS(ROW(NOTA[ID]),COLUMN(NOTA[ID]))&amp;":"&amp;ADDRESS(ROW(),COLUMN(NOTA[ID]))),-1)))</f>
        <v>WINS SENTOSA</v>
      </c>
      <c r="AI674" s="57" t="str">
        <f ca="1">IF(NOTA[[#This Row],[ID_H]]="","",IF(NOTA[[#This Row],[FAKTUR]]="",INDIRECT(ADDRESS(ROW()-1,COLUMN())),NOTA[[#This Row],[FAKTUR]]))</f>
        <v>UNTANA</v>
      </c>
      <c r="AJ674" s="38" t="str">
        <f ca="1">IF(NOTA[[#This Row],[ID]]="","",COUNTIF(NOTA[ID_H],NOTA[[#This Row],[ID_H]]))</f>
        <v/>
      </c>
      <c r="AK674" s="38">
        <f ca="1">IF(NOTA[[#This Row],[TGL.NOTA]]="",IF(NOTA[[#This Row],[SUPPLIER_H]]="","",AK673),MONTH(NOTA[[#This Row],[TGL.NOTA]]))</f>
        <v>1</v>
      </c>
      <c r="AL674" s="38" t="str">
        <f>LOWER(SUBSTITUTE(SUBSTITUTE(SUBSTITUTE(SUBSTITUTE(SUBSTITUTE(SUBSTITUTE(SUBSTITUTE(SUBSTITUTE(SUBSTITUTE(NOTA[NAMA BARANG]," ",),".",""),"-",""),"(",""),")",""),",",""),"/",""),"""",""),"+",""))</f>
        <v>taskarung45x50</v>
      </c>
      <c r="AM674" s="38" t="str">
        <f>IF(NOTA[C]="",NOTA[[#This Row],[CONCAT1]]&amp;NOTA[[#This Row],[HARGA SATUAN]],NOTA[[#This Row],[CONCAT1]]&amp;NOTA[[#This Row],[HARGA/ CTN_H]]&amp;NOTA[[#This Row],[DISC 1]]&amp;NOTA[[#This Row],[DISC 2]])</f>
        <v>taskarung45x501450000</v>
      </c>
      <c r="AN674" s="184">
        <f>IF(NOTA[[#This Row],[CONCAT1]]="","",MATCH(NOTA[[#This Row],[CONCAT1]],[1]!db[NB NOTA_C],0)+1)</f>
        <v>2045</v>
      </c>
    </row>
    <row r="675" spans="1:40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Row],[CEK_EXP]]&lt;D674,"err","")</f>
        <v/>
      </c>
      <c r="D675" s="58">
        <f>IF(NOTA[[#This Row],[TANGGAL]]="",D674,NOTA[[#This Row],[TANGGAL]])</f>
        <v>44950</v>
      </c>
      <c r="E675" s="58">
        <f ca="1">IF(NOTA[[#This Row],[NAMA BARANG]]="","",INDEX(NOTA[ID],MATCH(,INDIRECT(ADDRESS(ROW(NOTA[ID]),COLUMN(NOTA[ID]))&amp;":"&amp;ADDRESS(ROW(),COLUMN(NOTA[ID]))),-1)))</f>
        <v>127</v>
      </c>
      <c r="F675" s="23"/>
      <c r="G675" s="26"/>
      <c r="H675" s="26"/>
      <c r="I675" s="31"/>
      <c r="J675" s="26"/>
      <c r="K675" s="51"/>
      <c r="L675" s="26"/>
      <c r="M675" s="26" t="s">
        <v>805</v>
      </c>
      <c r="N675" s="39">
        <v>18</v>
      </c>
      <c r="O675" s="26"/>
      <c r="P675" s="26"/>
      <c r="Q675" s="49"/>
      <c r="R675" s="52">
        <v>1275000</v>
      </c>
      <c r="S675" s="39">
        <v>120</v>
      </c>
      <c r="T675" s="53"/>
      <c r="U675" s="53"/>
      <c r="V675" s="54"/>
      <c r="W675" s="37"/>
      <c r="X675" s="59">
        <f>IF(NOTA[[#This Row],[HARGA/ CTN]]="",NOTA[[#This Row],[JUMLAH_H]],NOTA[[#This Row],[HARGA/ CTN]]*IF(NOTA[[#This Row],[C]]="",0,NOTA[[#This Row],[C]]))</f>
        <v>22950000</v>
      </c>
      <c r="Y675" s="59">
        <f>IF(NOTA[[#This Row],[JUMLAH]]="","",NOTA[[#This Row],[JUMLAH]]*NOTA[[#This Row],[DISC 1]])</f>
        <v>0</v>
      </c>
      <c r="Z675" s="59">
        <f>IF(NOTA[[#This Row],[JUMLAH]]="","",(NOTA[[#This Row],[JUMLAH]]-NOTA[[#This Row],[DISC 1-]])*NOTA[[#This Row],[DISC 2]])</f>
        <v>0</v>
      </c>
      <c r="AA675" s="59">
        <f>IF(NOTA[[#This Row],[JUMLAH]]="","",NOTA[[#This Row],[DISC 1-]]+NOTA[[#This Row],[DISC 2-]])</f>
        <v>0</v>
      </c>
      <c r="AB675" s="59">
        <f>IF(NOTA[[#This Row],[JUMLAH]]="","",NOTA[[#This Row],[JUMLAH]]-NOTA[[#This Row],[DISC]])</f>
        <v>22950000</v>
      </c>
      <c r="AC67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194332000</v>
      </c>
      <c r="AE675" s="57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F675" s="59" t="str">
        <f>IF(OR(NOTA[[#This Row],[QTY]]="",NOTA[[#This Row],[HARGA SATUAN]]="",),"",NOTA[[#This Row],[QTY]]*NOTA[[#This Row],[HARGA SATUAN]])</f>
        <v/>
      </c>
      <c r="AG675" s="60">
        <f ca="1">IF(NOTA[ID_H]="","",INDEX(NOTA[TANGGAL],MATCH(,INDIRECT(ADDRESS(ROW(NOTA[TANGGAL]),COLUMN(NOTA[TANGGAL]))&amp;":"&amp;ADDRESS(ROW(),COLUMN(NOTA[TANGGAL]))),-1)))</f>
        <v>44950</v>
      </c>
      <c r="AH675" s="57" t="str">
        <f ca="1">IF(NOTA[[#This Row],[NAMA BARANG]]="","",INDEX(NOTA[SUPPLIER],MATCH(,INDIRECT(ADDRESS(ROW(NOTA[ID]),COLUMN(NOTA[ID]))&amp;":"&amp;ADDRESS(ROW(),COLUMN(NOTA[ID]))),-1)))</f>
        <v>WINS SENTOSA</v>
      </c>
      <c r="AI675" s="57" t="str">
        <f ca="1">IF(NOTA[[#This Row],[ID_H]]="","",IF(NOTA[[#This Row],[FAKTUR]]="",INDIRECT(ADDRESS(ROW()-1,COLUMN())),NOTA[[#This Row],[FAKTUR]]))</f>
        <v>UNTANA</v>
      </c>
      <c r="AJ675" s="38" t="str">
        <f ca="1">IF(NOTA[[#This Row],[ID]]="","",COUNTIF(NOTA[ID_H],NOTA[[#This Row],[ID_H]]))</f>
        <v/>
      </c>
      <c r="AK675" s="38">
        <f ca="1">IF(NOTA[[#This Row],[TGL.NOTA]]="",IF(NOTA[[#This Row],[SUPPLIER_H]]="","",AK674),MONTH(NOTA[[#This Row],[TGL.NOTA]]))</f>
        <v>1</v>
      </c>
      <c r="AL675" s="38" t="str">
        <f>LOWER(SUBSTITUTE(SUBSTITUTE(SUBSTITUTE(SUBSTITUTE(SUBSTITUTE(SUBSTITUTE(SUBSTITUTE(SUBSTITUTE(SUBSTITUTE(NOTA[NAMA BARANG]," ",),".",""),"-",""),"(",""),")",""),",",""),"/",""),"""",""),"+",""))</f>
        <v>taskarung40x45</v>
      </c>
      <c r="AM675" s="38" t="str">
        <f>IF(NOTA[C]="",NOTA[[#This Row],[CONCAT1]]&amp;NOTA[[#This Row],[HARGA SATUAN]],NOTA[[#This Row],[CONCAT1]]&amp;NOTA[[#This Row],[HARGA/ CTN_H]]&amp;NOTA[[#This Row],[DISC 1]]&amp;NOTA[[#This Row],[DISC 2]])</f>
        <v>taskarung40x451275000</v>
      </c>
      <c r="AN675" s="184">
        <f>IF(NOTA[[#This Row],[CONCAT1]]="","",MATCH(NOTA[[#This Row],[CONCAT1]],[1]!db[NB NOTA_C],0)+1)</f>
        <v>2044</v>
      </c>
    </row>
    <row r="676" spans="1:40" s="48" customFormat="1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Row],[CEK_EXP]]&lt;D675,"err","")</f>
        <v/>
      </c>
      <c r="D676" s="58">
        <f>IF(NOTA[[#This Row],[TANGGAL]]="",D675,NOTA[[#This Row],[TANGGAL]])</f>
        <v>44950</v>
      </c>
      <c r="E676" s="58" t="str">
        <f ca="1">IF(NOTA[[#This Row],[NAMA BARANG]]="","",INDEX(NOTA[ID],MATCH(,INDIRECT(ADDRESS(ROW(NOTA[ID]),COLUMN(NOTA[ID]))&amp;":"&amp;ADDRESS(ROW(),COLUMN(NOTA[ID]))),-1)))</f>
        <v/>
      </c>
      <c r="F676" s="23"/>
      <c r="G676" s="26"/>
      <c r="H676" s="26"/>
      <c r="I676" s="31"/>
      <c r="J676" s="26"/>
      <c r="K676" s="51"/>
      <c r="L676" s="26"/>
      <c r="M676" s="26"/>
      <c r="N676" s="39"/>
      <c r="O676" s="26"/>
      <c r="P676" s="26"/>
      <c r="Q676" s="49"/>
      <c r="R676" s="52"/>
      <c r="S676" s="39"/>
      <c r="T676" s="53"/>
      <c r="U676" s="53"/>
      <c r="V676" s="54"/>
      <c r="W676" s="37"/>
      <c r="X676" s="59" t="str">
        <f>IF(NOTA[[#This Row],[HARGA/ CTN]]="",NOTA[[#This Row],[JUMLAH_H]],NOTA[[#This Row],[HARGA/ CTN]]*IF(NOTA[[#This Row],[C]]="",0,NOTA[[#This Row],[C]]))</f>
        <v/>
      </c>
      <c r="Y676" s="59" t="str">
        <f>IF(NOTA[[#This Row],[JUMLAH]]="","",NOTA[[#This Row],[JUMLAH]]*NOTA[[#This Row],[DISC 1]])</f>
        <v/>
      </c>
      <c r="Z676" s="59" t="str">
        <f>IF(NOTA[[#This Row],[JUMLAH]]="","",(NOTA[[#This Row],[JUMLAH]]-NOTA[[#This Row],[DISC 1-]])*NOTA[[#This Row],[DISC 2]])</f>
        <v/>
      </c>
      <c r="AA676" s="59" t="str">
        <f>IF(NOTA[[#This Row],[JUMLAH]]="","",NOTA[[#This Row],[DISC 1-]]+NOTA[[#This Row],[DISC 2-]])</f>
        <v/>
      </c>
      <c r="AB676" s="59" t="str">
        <f>IF(NOTA[[#This Row],[JUMLAH]]="","",NOTA[[#This Row],[JUMLAH]]-NOTA[[#This Row],[DISC]])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59" t="str">
        <f>IF(OR(NOTA[[#This Row],[QTY]]="",NOTA[[#This Row],[HARGA SATUAN]]="",),"",NOTA[[#This Row],[QTY]]*NOTA[[#This Row],[HARGA SATUAN]])</f>
        <v/>
      </c>
      <c r="AG676" s="60" t="str">
        <f ca="1">IF(NOTA[ID_H]="","",INDEX(NOTA[TANGGAL],MATCH(,INDIRECT(ADDRESS(ROW(NOTA[TANGGAL]),COLUMN(NOTA[TANGGAL]))&amp;":"&amp;ADDRESS(ROW(),COLUMN(NOTA[TANGGAL]))),-1)))</f>
        <v/>
      </c>
      <c r="AH676" s="57" t="str">
        <f ca="1">IF(NOTA[[#This Row],[NAMA BARANG]]="","",INDEX(NOTA[SUPPLIER],MATCH(,INDIRECT(ADDRESS(ROW(NOTA[ID]),COLUMN(NOTA[ID]))&amp;":"&amp;ADDRESS(ROW(),COLUMN(NOTA[ID]))),-1)))</f>
        <v/>
      </c>
      <c r="AI676" s="57" t="str">
        <f ca="1">IF(NOTA[[#This Row],[ID_H]]="","",IF(NOTA[[#This Row],[FAKTUR]]="",INDIRECT(ADDRESS(ROW()-1,COLUMN())),NOTA[[#This Row],[FAKTUR]]))</f>
        <v/>
      </c>
      <c r="AJ676" s="38" t="str">
        <f ca="1">IF(NOTA[[#This Row],[ID]]="","",COUNTIF(NOTA[ID_H],NOTA[[#This Row],[ID_H]]))</f>
        <v/>
      </c>
      <c r="AK676" s="38" t="str">
        <f ca="1">IF(NOTA[[#This Row],[TGL.NOTA]]="",IF(NOTA[[#This Row],[SUPPLIER_H]]="","",AK675),MONTH(NOTA[[#This Row],[TGL.NOTA]]))</f>
        <v/>
      </c>
      <c r="AL676" s="38" t="str">
        <f>LOWER(SUBSTITUTE(SUBSTITUTE(SUBSTITUTE(SUBSTITUTE(SUBSTITUTE(SUBSTITUTE(SUBSTITUTE(SUBSTITUTE(SUBSTITUTE(NOTA[NAMA BARANG]," ",),".",""),"-",""),"(",""),")",""),",",""),"/",""),"""",""),"+",""))</f>
        <v/>
      </c>
      <c r="AM676" s="38" t="str">
        <f>IF(NOTA[C]="",NOTA[[#This Row],[CONCAT1]]&amp;NOTA[[#This Row],[HARGA SATUAN]],NOTA[[#This Row],[CONCAT1]]&amp;NOTA[[#This Row],[HARGA/ CTN_H]]&amp;NOTA[[#This Row],[DISC 1]]&amp;NOTA[[#This Row],[DISC 2]])</f>
        <v/>
      </c>
      <c r="AN676" s="184" t="str">
        <f>IF(NOTA[[#This Row],[CONCAT1]]="","",MATCH(NOTA[[#This Row],[CONCAT1]],[1]!db[NB NOTA_C],0)+1)</f>
        <v/>
      </c>
    </row>
    <row r="677" spans="1:40" ht="20.100000000000001" customHeight="1" x14ac:dyDescent="0.25">
      <c r="A677" s="57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SBS_2401_0B1-5</v>
      </c>
      <c r="C677" s="58" t="str">
        <f>IF(NOTA[[#This Row],[CEK_EXP]]&lt;D676,"err","")</f>
        <v/>
      </c>
      <c r="D677" s="58">
        <f>IF(NOTA[[#This Row],[TANGGAL]]="",D676,NOTA[[#This Row],[TANGGAL]])</f>
        <v>44950</v>
      </c>
      <c r="E677" s="58">
        <f ca="1">IF(NOTA[[#This Row],[NAMA BARANG]]="","",INDEX(NOTA[ID],MATCH(,INDIRECT(ADDRESS(ROW(NOTA[ID]),COLUMN(NOTA[ID]))&amp;":"&amp;ADDRESS(ROW(),COLUMN(NOTA[ID]))),-1)))</f>
        <v>128</v>
      </c>
      <c r="F677" s="23"/>
      <c r="G677" s="26" t="s">
        <v>101</v>
      </c>
      <c r="H677" s="26" t="s">
        <v>87</v>
      </c>
      <c r="I677" s="31" t="s">
        <v>807</v>
      </c>
      <c r="J677" s="26"/>
      <c r="K677" s="51">
        <v>44944</v>
      </c>
      <c r="L677" s="26"/>
      <c r="M677" s="26" t="s">
        <v>808</v>
      </c>
      <c r="N677" s="39">
        <v>5</v>
      </c>
      <c r="O677" s="26">
        <v>720</v>
      </c>
      <c r="P677" s="26" t="s">
        <v>104</v>
      </c>
      <c r="Q677" s="49">
        <v>11575</v>
      </c>
      <c r="R677" s="52"/>
      <c r="S677" s="39"/>
      <c r="T677" s="53"/>
      <c r="U677" s="53"/>
      <c r="V677" s="54"/>
      <c r="W677" s="37"/>
      <c r="X677" s="59">
        <f>IF(NOTA[[#This Row],[HARGA/ CTN]]="",NOTA[[#This Row],[JUMLAH_H]],NOTA[[#This Row],[HARGA/ CTN]]*IF(NOTA[[#This Row],[C]]="",0,NOTA[[#This Row],[C]]))</f>
        <v>8334000</v>
      </c>
      <c r="Y677" s="59">
        <f>IF(NOTA[[#This Row],[JUMLAH]]="","",NOTA[[#This Row],[JUMLAH]]*NOTA[[#This Row],[DISC 1]])</f>
        <v>0</v>
      </c>
      <c r="Z677" s="59">
        <f>IF(NOTA[[#This Row],[JUMLAH]]="","",(NOTA[[#This Row],[JUMLAH]]-NOTA[[#This Row],[DISC 1-]])*NOTA[[#This Row],[DISC 2]])</f>
        <v>0</v>
      </c>
      <c r="AA677" s="59">
        <f>IF(NOTA[[#This Row],[JUMLAH]]="","",NOTA[[#This Row],[DISC 1-]]+NOTA[[#This Row],[DISC 2-]])</f>
        <v>0</v>
      </c>
      <c r="AB677" s="59">
        <f>IF(NOTA[[#This Row],[JUMLAH]]="","",NOTA[[#This Row],[JUMLAH]]-NOTA[[#This Row],[DISC]])</f>
        <v>8334000</v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57">
        <f>IF(NOTA[[#This Row],[NAMA BARANG]]="","",IF(NOTA[[#This Row],[JUMLAH_H]]="",NOTA[[#This Row],[HARGA/ CTN]],NOTA[[#This Row],[QTY]]*NOTA[[#This Row],[HARGA SATUAN]]/IF(ISNUMBER(NOTA[[#This Row],[C]]),NOTA[[#This Row],[C]],1)))</f>
        <v>1666800</v>
      </c>
      <c r="AF677" s="59">
        <f>IF(OR(NOTA[[#This Row],[QTY]]="",NOTA[[#This Row],[HARGA SATUAN]]="",),"",NOTA[[#This Row],[QTY]]*NOTA[[#This Row],[HARGA SATUAN]])</f>
        <v>8334000</v>
      </c>
      <c r="AG677" s="60">
        <f ca="1">IF(NOTA[ID_H]="","",INDEX(NOTA[TANGGAL],MATCH(,INDIRECT(ADDRESS(ROW(NOTA[TANGGAL]),COLUMN(NOTA[TANGGAL]))&amp;":"&amp;ADDRESS(ROW(),COLUMN(NOTA[TANGGAL]))),-1)))</f>
        <v>44950</v>
      </c>
      <c r="AH677" s="57" t="str">
        <f ca="1">IF(NOTA[[#This Row],[NAMA BARANG]]="","",INDEX(NOTA[SUPPLIER],MATCH(,INDIRECT(ADDRESS(ROW(NOTA[ID]),COLUMN(NOTA[ID]))&amp;":"&amp;ADDRESS(ROW(),COLUMN(NOTA[ID]))),-1)))</f>
        <v>SBS</v>
      </c>
      <c r="AI677" s="57" t="str">
        <f ca="1">IF(NOTA[[#This Row],[ID_H]]="","",IF(NOTA[[#This Row],[FAKTUR]]="",INDIRECT(ADDRESS(ROW()-1,COLUMN())),NOTA[[#This Row],[FAKTUR]]))</f>
        <v>UNTANA</v>
      </c>
      <c r="AJ677" s="38">
        <f ca="1">IF(NOTA[[#This Row],[ID]]="","",COUNTIF(NOTA[ID_H],NOTA[[#This Row],[ID_H]]))</f>
        <v>5</v>
      </c>
      <c r="AK677" s="38">
        <f>IF(NOTA[[#This Row],[TGL.NOTA]]="",IF(NOTA[[#This Row],[SUPPLIER_H]]="","",AK676),MONTH(NOTA[[#This Row],[TGL.NOTA]]))</f>
        <v>1</v>
      </c>
      <c r="AL677" s="38" t="str">
        <f>LOWER(SUBSTITUTE(SUBSTITUTE(SUBSTITUTE(SUBSTITUTE(SUBSTITUTE(SUBSTITUTE(SUBSTITUTE(SUBSTITUTE(SUBSTITUTE(NOTA[NAMA BARANG]," ",),".",""),"-",""),"(",""),")",""),",",""),"/",""),"""",""),"+",""))</f>
        <v>pcmgp650718x225puaugltd</v>
      </c>
      <c r="AM677" s="38" t="str">
        <f>IF(NOTA[C]="",NOTA[[#This Row],[CONCAT1]]&amp;NOTA[[#This Row],[HARGA SATUAN]],NOTA[[#This Row],[CONCAT1]]&amp;NOTA[[#This Row],[HARGA/ CTN_H]]&amp;NOTA[[#This Row],[DISC 1]]&amp;NOTA[[#This Row],[DISC 2]])</f>
        <v>pcmgp650718x225puaugltd1666800</v>
      </c>
      <c r="AN677" s="184">
        <f>IF(NOTA[[#This Row],[CONCAT1]]="","",MATCH(NOTA[[#This Row],[CONCAT1]],[1]!db[NB NOTA_C],0)+1)</f>
        <v>1700</v>
      </c>
    </row>
    <row r="678" spans="1:40" s="48" customFormat="1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Row],[CEK_EXP]]&lt;D677,"err","")</f>
        <v/>
      </c>
      <c r="D678" s="58">
        <f>IF(NOTA[[#This Row],[TANGGAL]]="",D677,NOTA[[#This Row],[TANGGAL]])</f>
        <v>44950</v>
      </c>
      <c r="E678" s="58">
        <f ca="1">IF(NOTA[[#This Row],[NAMA BARANG]]="","",INDEX(NOTA[ID],MATCH(,INDIRECT(ADDRESS(ROW(NOTA[ID]),COLUMN(NOTA[ID]))&amp;":"&amp;ADDRESS(ROW(),COLUMN(NOTA[ID]))),-1)))</f>
        <v>128</v>
      </c>
      <c r="F678" s="23"/>
      <c r="G678" s="26"/>
      <c r="H678" s="26"/>
      <c r="I678" s="31"/>
      <c r="J678" s="26"/>
      <c r="K678" s="51"/>
      <c r="L678" s="26"/>
      <c r="M678" s="26" t="s">
        <v>809</v>
      </c>
      <c r="N678" s="39">
        <v>5</v>
      </c>
      <c r="O678" s="26">
        <v>960</v>
      </c>
      <c r="P678" s="26" t="s">
        <v>104</v>
      </c>
      <c r="Q678" s="49">
        <v>10000</v>
      </c>
      <c r="R678" s="52"/>
      <c r="S678" s="39"/>
      <c r="T678" s="53"/>
      <c r="U678" s="53"/>
      <c r="V678" s="54"/>
      <c r="W678" s="37"/>
      <c r="X678" s="59">
        <f>IF(NOTA[[#This Row],[HARGA/ CTN]]="",NOTA[[#This Row],[JUMLAH_H]],NOTA[[#This Row],[HARGA/ CTN]]*IF(NOTA[[#This Row],[C]]="",0,NOTA[[#This Row],[C]]))</f>
        <v>9600000</v>
      </c>
      <c r="Y678" s="59">
        <f>IF(NOTA[[#This Row],[JUMLAH]]="","",NOTA[[#This Row],[JUMLAH]]*NOTA[[#This Row],[DISC 1]])</f>
        <v>0</v>
      </c>
      <c r="Z678" s="59">
        <f>IF(NOTA[[#This Row],[JUMLAH]]="","",(NOTA[[#This Row],[JUMLAH]]-NOTA[[#This Row],[DISC 1-]])*NOTA[[#This Row],[DISC 2]])</f>
        <v>0</v>
      </c>
      <c r="AA678" s="59">
        <f>IF(NOTA[[#This Row],[JUMLAH]]="","",NOTA[[#This Row],[DISC 1-]]+NOTA[[#This Row],[DISC 2-]])</f>
        <v>0</v>
      </c>
      <c r="AB678" s="59">
        <f>IF(NOTA[[#This Row],[JUMLAH]]="","",NOTA[[#This Row],[JUMLAH]]-NOTA[[#This Row],[DISC]])</f>
        <v>9600000</v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5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678" s="59">
        <f>IF(OR(NOTA[[#This Row],[QTY]]="",NOTA[[#This Row],[HARGA SATUAN]]="",),"",NOTA[[#This Row],[QTY]]*NOTA[[#This Row],[HARGA SATUAN]])</f>
        <v>9600000</v>
      </c>
      <c r="AG678" s="60">
        <f ca="1">IF(NOTA[ID_H]="","",INDEX(NOTA[TANGGAL],MATCH(,INDIRECT(ADDRESS(ROW(NOTA[TANGGAL]),COLUMN(NOTA[TANGGAL]))&amp;":"&amp;ADDRESS(ROW(),COLUMN(NOTA[TANGGAL]))),-1)))</f>
        <v>44950</v>
      </c>
      <c r="AH678" s="57" t="str">
        <f ca="1">IF(NOTA[[#This Row],[NAMA BARANG]]="","",INDEX(NOTA[SUPPLIER],MATCH(,INDIRECT(ADDRESS(ROW(NOTA[ID]),COLUMN(NOTA[ID]))&amp;":"&amp;ADDRESS(ROW(),COLUMN(NOTA[ID]))),-1)))</f>
        <v>SBS</v>
      </c>
      <c r="AI678" s="57" t="str">
        <f ca="1">IF(NOTA[[#This Row],[ID_H]]="","",IF(NOTA[[#This Row],[FAKTUR]]="",INDIRECT(ADDRESS(ROW()-1,COLUMN())),NOTA[[#This Row],[FAKTUR]]))</f>
        <v>UNTANA</v>
      </c>
      <c r="AJ678" s="38" t="str">
        <f ca="1">IF(NOTA[[#This Row],[ID]]="","",COUNTIF(NOTA[ID_H],NOTA[[#This Row],[ID_H]]))</f>
        <v/>
      </c>
      <c r="AK678" s="38">
        <f ca="1">IF(NOTA[[#This Row],[TGL.NOTA]]="",IF(NOTA[[#This Row],[SUPPLIER_H]]="","",AK677),MONTH(NOTA[[#This Row],[TGL.NOTA]]))</f>
        <v>1</v>
      </c>
      <c r="AL678" s="38" t="str">
        <f>LOWER(SUBSTITUTE(SUBSTITUTE(SUBSTITUTE(SUBSTITUTE(SUBSTITUTE(SUBSTITUTE(SUBSTITUTE(SUBSTITUTE(SUBSTITUTE(NOTA[NAMA BARANG]," ",),".",""),"-",""),"(",""),")",""),",",""),"/",""),"""",""),"+",""))</f>
        <v>pcmgp93638x22puabentukd</v>
      </c>
      <c r="AM678" s="38" t="str">
        <f>IF(NOTA[C]="",NOTA[[#This Row],[CONCAT1]]&amp;NOTA[[#This Row],[HARGA SATUAN]],NOTA[[#This Row],[CONCAT1]]&amp;NOTA[[#This Row],[HARGA/ CTN_H]]&amp;NOTA[[#This Row],[DISC 1]]&amp;NOTA[[#This Row],[DISC 2]])</f>
        <v>pcmgp93638x22puabentukd1920000</v>
      </c>
      <c r="AN678" s="184">
        <f>IF(NOTA[[#This Row],[CONCAT1]]="","",MATCH(NOTA[[#This Row],[CONCAT1]],[1]!db[NB NOTA_C],0)+1)</f>
        <v>1705</v>
      </c>
    </row>
    <row r="679" spans="1:40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Row],[CEK_EXP]]&lt;D678,"err","")</f>
        <v/>
      </c>
      <c r="D679" s="58">
        <f>IF(NOTA[[#This Row],[TANGGAL]]="",D678,NOTA[[#This Row],[TANGGAL]])</f>
        <v>44950</v>
      </c>
      <c r="E679" s="58">
        <f ca="1">IF(NOTA[[#This Row],[NAMA BARANG]]="","",INDEX(NOTA[ID],MATCH(,INDIRECT(ADDRESS(ROW(NOTA[ID]),COLUMN(NOTA[ID]))&amp;":"&amp;ADDRESS(ROW(),COLUMN(NOTA[ID]))),-1)))</f>
        <v>128</v>
      </c>
      <c r="F679" s="23"/>
      <c r="G679" s="26"/>
      <c r="H679" s="26"/>
      <c r="I679" s="31"/>
      <c r="J679" s="26"/>
      <c r="K679" s="51"/>
      <c r="L679" s="26"/>
      <c r="M679" s="26" t="s">
        <v>810</v>
      </c>
      <c r="N679" s="39">
        <v>5</v>
      </c>
      <c r="O679" s="26">
        <v>720</v>
      </c>
      <c r="P679" s="26" t="s">
        <v>104</v>
      </c>
      <c r="Q679" s="49">
        <v>11575</v>
      </c>
      <c r="R679" s="52"/>
      <c r="S679" s="39"/>
      <c r="T679" s="53"/>
      <c r="U679" s="53"/>
      <c r="V679" s="54"/>
      <c r="W679" s="37"/>
      <c r="X679" s="59">
        <f>IF(NOTA[[#This Row],[HARGA/ CTN]]="",NOTA[[#This Row],[JUMLAH_H]],NOTA[[#This Row],[HARGA/ CTN]]*IF(NOTA[[#This Row],[C]]="",0,NOTA[[#This Row],[C]]))</f>
        <v>8334000</v>
      </c>
      <c r="Y679" s="59">
        <f>IF(NOTA[[#This Row],[JUMLAH]]="","",NOTA[[#This Row],[JUMLAH]]*NOTA[[#This Row],[DISC 1]])</f>
        <v>0</v>
      </c>
      <c r="Z679" s="59">
        <f>IF(NOTA[[#This Row],[JUMLAH]]="","",(NOTA[[#This Row],[JUMLAH]]-NOTA[[#This Row],[DISC 1-]])*NOTA[[#This Row],[DISC 2]])</f>
        <v>0</v>
      </c>
      <c r="AA679" s="59">
        <f>IF(NOTA[[#This Row],[JUMLAH]]="","",NOTA[[#This Row],[DISC 1-]]+NOTA[[#This Row],[DISC 2-]])</f>
        <v>0</v>
      </c>
      <c r="AB679" s="59">
        <f>IF(NOTA[[#This Row],[JUMLAH]]="","",NOTA[[#This Row],[JUMLAH]]-NOTA[[#This Row],[DISC]])</f>
        <v>8334000</v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57">
        <f>IF(NOTA[[#This Row],[NAMA BARANG]]="","",IF(NOTA[[#This Row],[JUMLAH_H]]="",NOTA[[#This Row],[HARGA/ CTN]],NOTA[[#This Row],[QTY]]*NOTA[[#This Row],[HARGA SATUAN]]/IF(ISNUMBER(NOTA[[#This Row],[C]]),NOTA[[#This Row],[C]],1)))</f>
        <v>1666800</v>
      </c>
      <c r="AF679" s="59">
        <f>IF(OR(NOTA[[#This Row],[QTY]]="",NOTA[[#This Row],[HARGA SATUAN]]="",),"",NOTA[[#This Row],[QTY]]*NOTA[[#This Row],[HARGA SATUAN]])</f>
        <v>8334000</v>
      </c>
      <c r="AG679" s="60">
        <f ca="1">IF(NOTA[ID_H]="","",INDEX(NOTA[TANGGAL],MATCH(,INDIRECT(ADDRESS(ROW(NOTA[TANGGAL]),COLUMN(NOTA[TANGGAL]))&amp;":"&amp;ADDRESS(ROW(),COLUMN(NOTA[TANGGAL]))),-1)))</f>
        <v>44950</v>
      </c>
      <c r="AH679" s="57" t="str">
        <f ca="1">IF(NOTA[[#This Row],[NAMA BARANG]]="","",INDEX(NOTA[SUPPLIER],MATCH(,INDIRECT(ADDRESS(ROW(NOTA[ID]),COLUMN(NOTA[ID]))&amp;":"&amp;ADDRESS(ROW(),COLUMN(NOTA[ID]))),-1)))</f>
        <v>SBS</v>
      </c>
      <c r="AI679" s="57" t="str">
        <f ca="1">IF(NOTA[[#This Row],[ID_H]]="","",IF(NOTA[[#This Row],[FAKTUR]]="",INDIRECT(ADDRESS(ROW()-1,COLUMN())),NOTA[[#This Row],[FAKTUR]]))</f>
        <v>UNTANA</v>
      </c>
      <c r="AJ679" s="38" t="str">
        <f ca="1">IF(NOTA[[#This Row],[ID]]="","",COUNTIF(NOTA[ID_H],NOTA[[#This Row],[ID_H]]))</f>
        <v/>
      </c>
      <c r="AK679" s="38">
        <f ca="1">IF(NOTA[[#This Row],[TGL.NOTA]]="",IF(NOTA[[#This Row],[SUPPLIER_H]]="","",AK678),MONTH(NOTA[[#This Row],[TGL.NOTA]]))</f>
        <v>1</v>
      </c>
      <c r="AL679" s="38" t="str">
        <f>LOWER(SUBSTITUTE(SUBSTITUTE(SUBSTITUTE(SUBSTITUTE(SUBSTITUTE(SUBSTITUTE(SUBSTITUTE(SUBSTITUTE(SUBSTITUTE(NOTA[NAMA BARANG]," ",),".",""),"-",""),"(",""),")",""),",",""),"/",""),"""",""),"+",""))</f>
        <v>pcmkt1118x235puagltbt21</v>
      </c>
      <c r="AM679" s="38" t="str">
        <f>IF(NOTA[C]="",NOTA[[#This Row],[CONCAT1]]&amp;NOTA[[#This Row],[HARGA SATUAN]],NOTA[[#This Row],[CONCAT1]]&amp;NOTA[[#This Row],[HARGA/ CTN_H]]&amp;NOTA[[#This Row],[DISC 1]]&amp;NOTA[[#This Row],[DISC 2]])</f>
        <v>pcmkt1118x235puagltbt211666800</v>
      </c>
      <c r="AN679" s="184">
        <f>IF(NOTA[[#This Row],[CONCAT1]]="","",MATCH(NOTA[[#This Row],[CONCAT1]],[1]!db[NB NOTA_C],0)+1)</f>
        <v>1708</v>
      </c>
    </row>
    <row r="680" spans="1:40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Row],[CEK_EXP]]&lt;D679,"err","")</f>
        <v/>
      </c>
      <c r="D680" s="29">
        <f>IF(NOTA[[#This Row],[TANGGAL]]="",D679,NOTA[[#This Row],[TANGGAL]])</f>
        <v>44950</v>
      </c>
      <c r="E680" s="29">
        <f ca="1">IF(NOTA[[#This Row],[NAMA BARANG]]="","",INDEX(NOTA[ID],MATCH(,INDIRECT(ADDRESS(ROW(NOTA[ID]),COLUMN(NOTA[ID]))&amp;":"&amp;ADDRESS(ROW(),COLUMN(NOTA[ID]))),-1)))</f>
        <v>128</v>
      </c>
      <c r="F680" s="23"/>
      <c r="G680" s="26"/>
      <c r="H680" s="26"/>
      <c r="I680" s="31"/>
      <c r="J680" s="26"/>
      <c r="K680" s="51"/>
      <c r="L680" s="26"/>
      <c r="M680" s="26" t="s">
        <v>957</v>
      </c>
      <c r="N680" s="39">
        <v>5</v>
      </c>
      <c r="O680" s="26">
        <v>720</v>
      </c>
      <c r="P680" s="26" t="s">
        <v>104</v>
      </c>
      <c r="Q680" s="49">
        <v>11575</v>
      </c>
      <c r="R680" s="52"/>
      <c r="S680" s="39"/>
      <c r="T680" s="53"/>
      <c r="U680" s="53"/>
      <c r="V680" s="54"/>
      <c r="W680" s="37"/>
      <c r="X680" s="36">
        <f>IF(NOTA[[#This Row],[HARGA/ CTN]]="",NOTA[[#This Row],[JUMLAH_H]],NOTA[[#This Row],[HARGA/ CTN]]*IF(NOTA[[#This Row],[C]]="",0,NOTA[[#This Row],[C]]))</f>
        <v>8334000</v>
      </c>
      <c r="Y680" s="36">
        <f>IF(NOTA[[#This Row],[JUMLAH]]="","",NOTA[[#This Row],[JUMLAH]]*NOTA[[#This Row],[DISC 1]])</f>
        <v>0</v>
      </c>
      <c r="Z680" s="36">
        <f>IF(NOTA[[#This Row],[JUMLAH]]="","",(NOTA[[#This Row],[JUMLAH]]-NOTA[[#This Row],[DISC 1-]])*NOTA[[#This Row],[DISC 2]])</f>
        <v>0</v>
      </c>
      <c r="AA680" s="36">
        <f>IF(NOTA[[#This Row],[JUMLAH]]="","",NOTA[[#This Row],[DISC 1-]]+NOTA[[#This Row],[DISC 2-]])</f>
        <v>0</v>
      </c>
      <c r="AB680" s="36">
        <f>IF(NOTA[[#This Row],[JUMLAH]]="","",NOTA[[#This Row],[JUMLAH]]-NOTA[[#This Row],[DISC]])</f>
        <v>8334000</v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28">
        <f>IF(NOTA[[#This Row],[NAMA BARANG]]="","",IF(NOTA[[#This Row],[JUMLAH_H]]="",NOTA[[#This Row],[HARGA/ CTN]],NOTA[[#This Row],[QTY]]*NOTA[[#This Row],[HARGA SATUAN]]/IF(ISNUMBER(NOTA[[#This Row],[C]]),NOTA[[#This Row],[C]],1)))</f>
        <v>1666800</v>
      </c>
      <c r="AF680" s="36">
        <f>IF(OR(NOTA[[#This Row],[QTY]]="",NOTA[[#This Row],[HARGA SATUAN]]="",),"",NOTA[[#This Row],[QTY]]*NOTA[[#This Row],[HARGA SATUAN]])</f>
        <v>8334000</v>
      </c>
      <c r="AG680" s="33">
        <f ca="1">IF(NOTA[ID_H]="","",INDEX(NOTA[TANGGAL],MATCH(,INDIRECT(ADDRESS(ROW(NOTA[TANGGAL]),COLUMN(NOTA[TANGGAL]))&amp;":"&amp;ADDRESS(ROW(),COLUMN(NOTA[TANGGAL]))),-1)))</f>
        <v>44950</v>
      </c>
      <c r="AH680" s="28" t="str">
        <f ca="1">IF(NOTA[[#This Row],[NAMA BARANG]]="","",INDEX(NOTA[SUPPLIER],MATCH(,INDIRECT(ADDRESS(ROW(NOTA[ID]),COLUMN(NOTA[ID]))&amp;":"&amp;ADDRESS(ROW(),COLUMN(NOTA[ID]))),-1)))</f>
        <v>SBS</v>
      </c>
      <c r="AI680" s="28" t="str">
        <f ca="1">IF(NOTA[[#This Row],[ID_H]]="","",IF(NOTA[[#This Row],[FAKTUR]]="",INDIRECT(ADDRESS(ROW()-1,COLUMN())),NOTA[[#This Row],[FAKTUR]]))</f>
        <v>UNTANA</v>
      </c>
      <c r="AJ680" s="38" t="str">
        <f ca="1">IF(NOTA[[#This Row],[ID]]="","",COUNTIF(NOTA[ID_H],NOTA[[#This Row],[ID_H]]))</f>
        <v/>
      </c>
      <c r="AK680" s="38">
        <f ca="1">IF(NOTA[[#This Row],[TGL.NOTA]]="",IF(NOTA[[#This Row],[SUPPLIER_H]]="","",AK679),MONTH(NOTA[[#This Row],[TGL.NOTA]]))</f>
        <v>1</v>
      </c>
      <c r="AL680" s="38" t="str">
        <f>LOWER(SUBSTITUTE(SUBSTITUTE(SUBSTITUTE(SUBSTITUTE(SUBSTITUTE(SUBSTITUTE(SUBSTITUTE(SUBSTITUTE(SUBSTITUTE(NOTA[NAMA BARANG]," ",),".",""),"-",""),"(",""),")",""),",",""),"/",""),"""",""),"+",""))</f>
        <v>pcmkt3878x225puagltgirl</v>
      </c>
      <c r="AM680" s="38" t="str">
        <f>IF(NOTA[C]="",NOTA[[#This Row],[CONCAT1]]&amp;NOTA[[#This Row],[HARGA SATUAN]],NOTA[[#This Row],[CONCAT1]]&amp;NOTA[[#This Row],[HARGA/ CTN_H]]&amp;NOTA[[#This Row],[DISC 1]]&amp;NOTA[[#This Row],[DISC 2]])</f>
        <v>pcmkt3878x225puagltgirl1666800</v>
      </c>
      <c r="AN680" s="184">
        <f>IF(NOTA[[#This Row],[CONCAT1]]="","",MATCH(NOTA[[#This Row],[CONCAT1]],[1]!db[NB NOTA_C],0)+1)</f>
        <v>1710</v>
      </c>
    </row>
    <row r="681" spans="1:40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Row],[CEK_EXP]]&lt;D680,"err","")</f>
        <v/>
      </c>
      <c r="D681" s="29">
        <f>IF(NOTA[[#This Row],[TANGGAL]]="",D680,NOTA[[#This Row],[TANGGAL]])</f>
        <v>44950</v>
      </c>
      <c r="E681" s="29">
        <f ca="1">IF(NOTA[[#This Row],[NAMA BARANG]]="","",INDEX(NOTA[ID],MATCH(,INDIRECT(ADDRESS(ROW(NOTA[ID]),COLUMN(NOTA[ID]))&amp;":"&amp;ADDRESS(ROW(),COLUMN(NOTA[ID]))),-1)))</f>
        <v>128</v>
      </c>
      <c r="F681" s="23"/>
      <c r="G681" s="26"/>
      <c r="H681" s="26"/>
      <c r="I681" s="31"/>
      <c r="J681" s="26"/>
      <c r="K681" s="51"/>
      <c r="L681" s="26"/>
      <c r="M681" s="26" t="s">
        <v>811</v>
      </c>
      <c r="N681" s="39">
        <v>5</v>
      </c>
      <c r="O681" s="26">
        <v>600</v>
      </c>
      <c r="P681" s="26" t="s">
        <v>104</v>
      </c>
      <c r="Q681" s="49">
        <v>14475</v>
      </c>
      <c r="R681" s="52"/>
      <c r="S681" s="39"/>
      <c r="T681" s="53"/>
      <c r="U681" s="53"/>
      <c r="V681" s="54"/>
      <c r="W681" s="37"/>
      <c r="X681" s="36">
        <f>IF(NOTA[[#This Row],[HARGA/ CTN]]="",NOTA[[#This Row],[JUMLAH_H]],NOTA[[#This Row],[HARGA/ CTN]]*IF(NOTA[[#This Row],[C]]="",0,NOTA[[#This Row],[C]]))</f>
        <v>8685000</v>
      </c>
      <c r="Y681" s="36">
        <f>IF(NOTA[[#This Row],[JUMLAH]]="","",NOTA[[#This Row],[JUMLAH]]*NOTA[[#This Row],[DISC 1]])</f>
        <v>0</v>
      </c>
      <c r="Z681" s="36">
        <f>IF(NOTA[[#This Row],[JUMLAH]]="","",(NOTA[[#This Row],[JUMLAH]]-NOTA[[#This Row],[DISC 1-]])*NOTA[[#This Row],[DISC 2]])</f>
        <v>0</v>
      </c>
      <c r="AA681" s="36">
        <f>IF(NOTA[[#This Row],[JUMLAH]]="","",NOTA[[#This Row],[DISC 1-]]+NOTA[[#This Row],[DISC 2-]])</f>
        <v>0</v>
      </c>
      <c r="AB681" s="36">
        <f>IF(NOTA[[#This Row],[JUMLAH]]="","",NOTA[[#This Row],[JUMLAH]]-NOTA[[#This Row],[DISC]])</f>
        <v>8685000</v>
      </c>
      <c r="AC6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43287000</v>
      </c>
      <c r="AE681" s="28">
        <f>IF(NOTA[[#This Row],[NAMA BARANG]]="","",IF(NOTA[[#This Row],[JUMLAH_H]]="",NOTA[[#This Row],[HARGA/ CTN]],NOTA[[#This Row],[QTY]]*NOTA[[#This Row],[HARGA SATUAN]]/IF(ISNUMBER(NOTA[[#This Row],[C]]),NOTA[[#This Row],[C]],1)))</f>
        <v>1737000</v>
      </c>
      <c r="AF681" s="36">
        <f>IF(OR(NOTA[[#This Row],[QTY]]="",NOTA[[#This Row],[HARGA SATUAN]]="",),"",NOTA[[#This Row],[QTY]]*NOTA[[#This Row],[HARGA SATUAN]])</f>
        <v>8685000</v>
      </c>
      <c r="AG681" s="33">
        <f ca="1">IF(NOTA[ID_H]="","",INDEX(NOTA[TANGGAL],MATCH(,INDIRECT(ADDRESS(ROW(NOTA[TANGGAL]),COLUMN(NOTA[TANGGAL]))&amp;":"&amp;ADDRESS(ROW(),COLUMN(NOTA[TANGGAL]))),-1)))</f>
        <v>44950</v>
      </c>
      <c r="AH681" s="28" t="str">
        <f ca="1">IF(NOTA[[#This Row],[NAMA BARANG]]="","",INDEX(NOTA[SUPPLIER],MATCH(,INDIRECT(ADDRESS(ROW(NOTA[ID]),COLUMN(NOTA[ID]))&amp;":"&amp;ADDRESS(ROW(),COLUMN(NOTA[ID]))),-1)))</f>
        <v>SBS</v>
      </c>
      <c r="AI681" s="28" t="str">
        <f ca="1">IF(NOTA[[#This Row],[ID_H]]="","",IF(NOTA[[#This Row],[FAKTUR]]="",INDIRECT(ADDRESS(ROW()-1,COLUMN())),NOTA[[#This Row],[FAKTUR]]))</f>
        <v>UNTANA</v>
      </c>
      <c r="AJ681" s="38" t="str">
        <f ca="1">IF(NOTA[[#This Row],[ID]]="","",COUNTIF(NOTA[ID_H],NOTA[[#This Row],[ID_H]]))</f>
        <v/>
      </c>
      <c r="AK681" s="38">
        <f ca="1">IF(NOTA[[#This Row],[TGL.NOTA]]="",IF(NOTA[[#This Row],[SUPPLIER_H]]="","",AK680),MONTH(NOTA[[#This Row],[TGL.NOTA]]))</f>
        <v>1</v>
      </c>
      <c r="AL681" s="38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681" s="38" t="str">
        <f>IF(NOTA[C]="",NOTA[[#This Row],[CONCAT1]]&amp;NOTA[[#This Row],[HARGA SATUAN]],NOTA[[#This Row],[CONCAT1]]&amp;NOTA[[#This Row],[HARGA/ CTN_H]]&amp;NOTA[[#This Row],[DISC 1]]&amp;NOTA[[#This Row],[DISC 2]])</f>
        <v>pcmxu008012x22pudny1737000</v>
      </c>
      <c r="AN681" s="184">
        <f>IF(NOTA[[#This Row],[CONCAT1]]="","",MATCH(NOTA[[#This Row],[CONCAT1]],[1]!db[NB NOTA_C],0)+1)</f>
        <v>1717</v>
      </c>
    </row>
    <row r="682" spans="1:40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Row],[CEK_EXP]]&lt;D681,"err","")</f>
        <v/>
      </c>
      <c r="D682" s="29">
        <f>IF(NOTA[[#This Row],[TANGGAL]]="",D681,NOTA[[#This Row],[TANGGAL]])</f>
        <v>44950</v>
      </c>
      <c r="E682" s="29" t="str">
        <f ca="1">IF(NOTA[[#This Row],[NAMA BARANG]]="","",INDEX(NOTA[ID],MATCH(,INDIRECT(ADDRESS(ROW(NOTA[ID]),COLUMN(NOTA[ID]))&amp;":"&amp;ADDRESS(ROW(),COLUMN(NOTA[ID]))),-1)))</f>
        <v/>
      </c>
      <c r="F682" s="23"/>
      <c r="G682" s="26"/>
      <c r="H682" s="26"/>
      <c r="I682" s="31"/>
      <c r="J682" s="26"/>
      <c r="K682" s="51"/>
      <c r="L682" s="26"/>
      <c r="M682" s="26"/>
      <c r="N682" s="39"/>
      <c r="O682" s="26"/>
      <c r="P682" s="26"/>
      <c r="Q682" s="49"/>
      <c r="R682" s="52"/>
      <c r="S682" s="39"/>
      <c r="T682" s="53"/>
      <c r="U682" s="53"/>
      <c r="V682" s="54"/>
      <c r="W682" s="37"/>
      <c r="X682" s="36" t="str">
        <f>IF(NOTA[[#This Row],[HARGA/ CTN]]="",NOTA[[#This Row],[JUMLAH_H]],NOTA[[#This Row],[HARGA/ CTN]]*IF(NOTA[[#This Row],[C]]="",0,NOTA[[#This Row],[C]]))</f>
        <v/>
      </c>
      <c r="Y682" s="36" t="str">
        <f>IF(NOTA[[#This Row],[JUMLAH]]="","",NOTA[[#This Row],[JUMLAH]]*NOTA[[#This Row],[DISC 1]])</f>
        <v/>
      </c>
      <c r="Z682" s="36" t="str">
        <f>IF(NOTA[[#This Row],[JUMLAH]]="","",(NOTA[[#This Row],[JUMLAH]]-NOTA[[#This Row],[DISC 1-]])*NOTA[[#This Row],[DISC 2]])</f>
        <v/>
      </c>
      <c r="AA682" s="36" t="str">
        <f>IF(NOTA[[#This Row],[JUMLAH]]="","",NOTA[[#This Row],[DISC 1-]]+NOTA[[#This Row],[DISC 2-]])</f>
        <v/>
      </c>
      <c r="AB682" s="36" t="str">
        <f>IF(NOTA[[#This Row],[JUMLAH]]="","",NOTA[[#This Row],[JUMLAH]]-NOTA[[#This Row],[DISC]])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36" t="str">
        <f>IF(OR(NOTA[[#This Row],[QTY]]="",NOTA[[#This Row],[HARGA SATUAN]]="",),"",NOTA[[#This Row],[QTY]]*NOTA[[#This Row],[HARGA SATUAN]])</f>
        <v/>
      </c>
      <c r="AG682" s="33" t="str">
        <f ca="1">IF(NOTA[ID_H]="","",INDEX(NOTA[TANGGAL],MATCH(,INDIRECT(ADDRESS(ROW(NOTA[TANGGAL]),COLUMN(NOTA[TANGGAL]))&amp;":"&amp;ADDRESS(ROW(),COLUMN(NOTA[TANGGAL]))),-1)))</f>
        <v/>
      </c>
      <c r="AH682" s="28" t="str">
        <f ca="1">IF(NOTA[[#This Row],[NAMA BARANG]]="","",INDEX(NOTA[SUPPLIER],MATCH(,INDIRECT(ADDRESS(ROW(NOTA[ID]),COLUMN(NOTA[ID]))&amp;":"&amp;ADDRESS(ROW(),COLUMN(NOTA[ID]))),-1)))</f>
        <v/>
      </c>
      <c r="AI682" s="28" t="str">
        <f ca="1">IF(NOTA[[#This Row],[ID_H]]="","",IF(NOTA[[#This Row],[FAKTUR]]="",INDIRECT(ADDRESS(ROW()-1,COLUMN())),NOTA[[#This Row],[FAKTUR]]))</f>
        <v/>
      </c>
      <c r="AJ682" s="38" t="str">
        <f ca="1">IF(NOTA[[#This Row],[ID]]="","",COUNTIF(NOTA[ID_H],NOTA[[#This Row],[ID_H]]))</f>
        <v/>
      </c>
      <c r="AK682" s="38" t="str">
        <f ca="1">IF(NOTA[[#This Row],[TGL.NOTA]]="",IF(NOTA[[#This Row],[SUPPLIER_H]]="","",AK681),MONTH(NOTA[[#This Row],[TGL.NOTA]]))</f>
        <v/>
      </c>
      <c r="AL682" s="38" t="str">
        <f>LOWER(SUBSTITUTE(SUBSTITUTE(SUBSTITUTE(SUBSTITUTE(SUBSTITUTE(SUBSTITUTE(SUBSTITUTE(SUBSTITUTE(SUBSTITUTE(NOTA[NAMA BARANG]," ",),".",""),"-",""),"(",""),")",""),",",""),"/",""),"""",""),"+",""))</f>
        <v/>
      </c>
      <c r="AM682" s="38" t="str">
        <f>IF(NOTA[C]="",NOTA[[#This Row],[CONCAT1]]&amp;NOTA[[#This Row],[HARGA SATUAN]],NOTA[[#This Row],[CONCAT1]]&amp;NOTA[[#This Row],[HARGA/ CTN_H]]&amp;NOTA[[#This Row],[DISC 1]]&amp;NOTA[[#This Row],[DISC 2]])</f>
        <v/>
      </c>
      <c r="AN682" s="184" t="str">
        <f>IF(NOTA[[#This Row],[CONCAT1]]="","",MATCH(NOTA[[#This Row],[CONCAT1]],[1]!db[NB NOTA_C],0)+1)</f>
        <v/>
      </c>
    </row>
    <row r="683" spans="1:40" ht="20.100000000000001" customHeight="1" x14ac:dyDescent="0.25">
      <c r="A683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SBS_2401_023-7</v>
      </c>
      <c r="C683" s="29" t="str">
        <f>IF(NOTA[[#This Row],[CEK_EXP]]&lt;D682,"err","")</f>
        <v/>
      </c>
      <c r="D683" s="29">
        <f>IF(NOTA[[#This Row],[TANGGAL]]="",D682,NOTA[[#This Row],[TANGGAL]])</f>
        <v>44950</v>
      </c>
      <c r="E683" s="29">
        <f ca="1">IF(NOTA[[#This Row],[NAMA BARANG]]="","",INDEX(NOTA[ID],MATCH(,INDIRECT(ADDRESS(ROW(NOTA[ID]),COLUMN(NOTA[ID]))&amp;":"&amp;ADDRESS(ROW(),COLUMN(NOTA[ID]))),-1)))</f>
        <v>129</v>
      </c>
      <c r="F683" s="23"/>
      <c r="G683" s="26" t="s">
        <v>101</v>
      </c>
      <c r="H683" s="26" t="s">
        <v>87</v>
      </c>
      <c r="I683" s="31" t="s">
        <v>812</v>
      </c>
      <c r="J683" s="26"/>
      <c r="K683" s="51">
        <v>44945</v>
      </c>
      <c r="L683" s="26"/>
      <c r="M683" s="26" t="s">
        <v>813</v>
      </c>
      <c r="N683" s="39">
        <v>3</v>
      </c>
      <c r="O683" s="26"/>
      <c r="P683" s="26"/>
      <c r="Q683" s="49"/>
      <c r="R683" s="52"/>
      <c r="S683" s="39"/>
      <c r="T683" s="53"/>
      <c r="U683" s="53"/>
      <c r="V683" s="54"/>
      <c r="W683" s="37" t="s">
        <v>88</v>
      </c>
      <c r="X683" s="36" t="str">
        <f>IF(NOTA[[#This Row],[HARGA/ CTN]]="",NOTA[[#This Row],[JUMLAH_H]],NOTA[[#This Row],[HARGA/ CTN]]*IF(NOTA[[#This Row],[C]]="",0,NOTA[[#This Row],[C]]))</f>
        <v/>
      </c>
      <c r="Y683" s="36" t="str">
        <f>IF(NOTA[[#This Row],[JUMLAH]]="","",NOTA[[#This Row],[JUMLAH]]*NOTA[[#This Row],[DISC 1]])</f>
        <v/>
      </c>
      <c r="Z683" s="36" t="str">
        <f>IF(NOTA[[#This Row],[JUMLAH]]="","",(NOTA[[#This Row],[JUMLAH]]-NOTA[[#This Row],[DISC 1-]])*NOTA[[#This Row],[DISC 2]])</f>
        <v/>
      </c>
      <c r="AA683" s="36" t="str">
        <f>IF(NOTA[[#This Row],[JUMLAH]]="","",NOTA[[#This Row],[DISC 1-]]+NOTA[[#This Row],[DISC 2-]])</f>
        <v/>
      </c>
      <c r="AB683" s="36" t="str">
        <f>IF(NOTA[[#This Row],[JUMLAH]]="","",NOTA[[#This Row],[JUMLAH]]-NOTA[[#This Row],[DISC]])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3" s="36" t="str">
        <f>IF(OR(NOTA[[#This Row],[QTY]]="",NOTA[[#This Row],[HARGA SATUAN]]="",),"",NOTA[[#This Row],[QTY]]*NOTA[[#This Row],[HARGA SATUAN]])</f>
        <v/>
      </c>
      <c r="AG683" s="33">
        <f ca="1">IF(NOTA[ID_H]="","",INDEX(NOTA[TANGGAL],MATCH(,INDIRECT(ADDRESS(ROW(NOTA[TANGGAL]),COLUMN(NOTA[TANGGAL]))&amp;":"&amp;ADDRESS(ROW(),COLUMN(NOTA[TANGGAL]))),-1)))</f>
        <v>44950</v>
      </c>
      <c r="AH683" s="28" t="str">
        <f ca="1">IF(NOTA[[#This Row],[NAMA BARANG]]="","",INDEX(NOTA[SUPPLIER],MATCH(,INDIRECT(ADDRESS(ROW(NOTA[ID]),COLUMN(NOTA[ID]))&amp;":"&amp;ADDRESS(ROW(),COLUMN(NOTA[ID]))),-1)))</f>
        <v>SBS</v>
      </c>
      <c r="AI683" s="28" t="str">
        <f ca="1">IF(NOTA[[#This Row],[ID_H]]="","",IF(NOTA[[#This Row],[FAKTUR]]="",INDIRECT(ADDRESS(ROW()-1,COLUMN())),NOTA[[#This Row],[FAKTUR]]))</f>
        <v>UNTANA</v>
      </c>
      <c r="AJ683" s="38">
        <f ca="1">IF(NOTA[[#This Row],[ID]]="","",COUNTIF(NOTA[ID_H],NOTA[[#This Row],[ID_H]]))</f>
        <v>7</v>
      </c>
      <c r="AK683" s="38">
        <f>IF(NOTA[[#This Row],[TGL.NOTA]]="",IF(NOTA[[#This Row],[SUPPLIER_H]]="","",AK682),MONTH(NOTA[[#This Row],[TGL.NOTA]]))</f>
        <v>1</v>
      </c>
      <c r="AL683" s="38" t="str">
        <f>LOWER(SUBSTITUTE(SUBSTITUTE(SUBSTITUTE(SUBSTITUTE(SUBSTITUTE(SUBSTITUTE(SUBSTITUTE(SUBSTITUTE(SUBSTITUTE(NOTA[NAMA BARANG]," ",),".",""),"-",""),"(",""),")",""),",",""),"/",""),"""",""),"+",""))</f>
        <v>hbagluxmy02a</v>
      </c>
      <c r="AM683" s="38" t="str">
        <f>IF(NOTA[C]="",NOTA[[#This Row],[CONCAT1]]&amp;NOTA[[#This Row],[HARGA SATUAN]],NOTA[[#This Row],[CONCAT1]]&amp;NOTA[[#This Row],[HARGA/ CTN_H]]&amp;NOTA[[#This Row],[DISC 1]]&amp;NOTA[[#This Row],[DISC 2]])</f>
        <v>hbagluxmy02a0</v>
      </c>
      <c r="AN683" s="184">
        <f>IF(NOTA[[#This Row],[CONCAT1]]="","",MATCH(NOTA[[#This Row],[CONCAT1]],[1]!db[NB NOTA_C],0)+1)</f>
        <v>968</v>
      </c>
    </row>
    <row r="684" spans="1:40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Row],[CEK_EXP]]&lt;D683,"err","")</f>
        <v/>
      </c>
      <c r="D684" s="29">
        <f>IF(NOTA[[#This Row],[TANGGAL]]="",D683,NOTA[[#This Row],[TANGGAL]])</f>
        <v>44950</v>
      </c>
      <c r="E684" s="29">
        <f ca="1">IF(NOTA[[#This Row],[NAMA BARANG]]="","",INDEX(NOTA[ID],MATCH(,INDIRECT(ADDRESS(ROW(NOTA[ID]),COLUMN(NOTA[ID]))&amp;":"&amp;ADDRESS(ROW(),COLUMN(NOTA[ID]))),-1)))</f>
        <v>129</v>
      </c>
      <c r="F684" s="30"/>
      <c r="G684" s="26"/>
      <c r="H684" s="26"/>
      <c r="I684" s="31"/>
      <c r="J684" s="32"/>
      <c r="K684" s="33"/>
      <c r="L684" s="32"/>
      <c r="M684" s="26" t="s">
        <v>814</v>
      </c>
      <c r="N684" s="34">
        <v>1</v>
      </c>
      <c r="O684" s="32"/>
      <c r="P684" s="26"/>
      <c r="Q684" s="28"/>
      <c r="R684" s="46"/>
      <c r="S684" s="39"/>
      <c r="T684" s="35"/>
      <c r="U684" s="35"/>
      <c r="V684" s="36"/>
      <c r="W684" s="37" t="s">
        <v>88</v>
      </c>
      <c r="X684" s="36" t="str">
        <f>IF(NOTA[[#This Row],[HARGA/ CTN]]="",NOTA[[#This Row],[JUMLAH_H]],NOTA[[#This Row],[HARGA/ CTN]]*IF(NOTA[[#This Row],[C]]="",0,NOTA[[#This Row],[C]]))</f>
        <v/>
      </c>
      <c r="Y684" s="36" t="str">
        <f>IF(NOTA[[#This Row],[JUMLAH]]="","",NOTA[[#This Row],[JUMLAH]]*NOTA[[#This Row],[DISC 1]])</f>
        <v/>
      </c>
      <c r="Z684" s="36" t="str">
        <f>IF(NOTA[[#This Row],[JUMLAH]]="","",(NOTA[[#This Row],[JUMLAH]]-NOTA[[#This Row],[DISC 1-]])*NOTA[[#This Row],[DISC 2]])</f>
        <v/>
      </c>
      <c r="AA684" s="36" t="str">
        <f>IF(NOTA[[#This Row],[JUMLAH]]="","",NOTA[[#This Row],[DISC 1-]]+NOTA[[#This Row],[DISC 2-]])</f>
        <v/>
      </c>
      <c r="AB684" s="36" t="str">
        <f>IF(NOTA[[#This Row],[JUMLAH]]="","",NOTA[[#This Row],[JUMLAH]]-NOTA[[#This Row],[DISC]])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4" s="36" t="str">
        <f>IF(OR(NOTA[[#This Row],[QTY]]="",NOTA[[#This Row],[HARGA SATUAN]]="",),"",NOTA[[#This Row],[QTY]]*NOTA[[#This Row],[HARGA SATUAN]])</f>
        <v/>
      </c>
      <c r="AG684" s="33">
        <f ca="1">IF(NOTA[ID_H]="","",INDEX(NOTA[TANGGAL],MATCH(,INDIRECT(ADDRESS(ROW(NOTA[TANGGAL]),COLUMN(NOTA[TANGGAL]))&amp;":"&amp;ADDRESS(ROW(),COLUMN(NOTA[TANGGAL]))),-1)))</f>
        <v>44950</v>
      </c>
      <c r="AH684" s="28" t="str">
        <f ca="1">IF(NOTA[[#This Row],[NAMA BARANG]]="","",INDEX(NOTA[SUPPLIER],MATCH(,INDIRECT(ADDRESS(ROW(NOTA[ID]),COLUMN(NOTA[ID]))&amp;":"&amp;ADDRESS(ROW(),COLUMN(NOTA[ID]))),-1)))</f>
        <v>SBS</v>
      </c>
      <c r="AI684" s="28" t="str">
        <f ca="1">IF(NOTA[[#This Row],[ID_H]]="","",IF(NOTA[[#This Row],[FAKTUR]]="",INDIRECT(ADDRESS(ROW()-1,COLUMN())),NOTA[[#This Row],[FAKTUR]]))</f>
        <v>UNTANA</v>
      </c>
      <c r="AJ684" s="38" t="str">
        <f ca="1">IF(NOTA[[#This Row],[ID]]="","",COUNTIF(NOTA[ID_H],NOTA[[#This Row],[ID_H]]))</f>
        <v/>
      </c>
      <c r="AK684" s="38">
        <f ca="1">IF(NOTA[[#This Row],[TGL.NOTA]]="",IF(NOTA[[#This Row],[SUPPLIER_H]]="","",AK683),MONTH(NOTA[[#This Row],[TGL.NOTA]]))</f>
        <v>1</v>
      </c>
      <c r="AL684" s="38" t="str">
        <f>LOWER(SUBSTITUTE(SUBSTITUTE(SUBSTITUTE(SUBSTITUTE(SUBSTITUTE(SUBSTITUTE(SUBSTITUTE(SUBSTITUTE(SUBSTITUTE(NOTA[NAMA BARANG]," ",),".",""),"-",""),"(",""),")",""),",",""),"/",""),"""",""),"+",""))</f>
        <v>mapschoolbagkotakhijaumuda</v>
      </c>
      <c r="AM684" s="38" t="str">
        <f>IF(NOTA[C]="",NOTA[[#This Row],[CONCAT1]]&amp;NOTA[[#This Row],[HARGA SATUAN]],NOTA[[#This Row],[CONCAT1]]&amp;NOTA[[#This Row],[HARGA/ CTN_H]]&amp;NOTA[[#This Row],[DISC 1]]&amp;NOTA[[#This Row],[DISC 2]])</f>
        <v>mapschoolbagkotakhijaumuda0</v>
      </c>
      <c r="AN684" s="184">
        <f>IF(NOTA[[#This Row],[CONCAT1]]="","",MATCH(NOTA[[#This Row],[CONCAT1]],[1]!db[NB NOTA_C],0)+1)</f>
        <v>1462</v>
      </c>
    </row>
    <row r="685" spans="1:40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Row],[CEK_EXP]]&lt;D684,"err","")</f>
        <v/>
      </c>
      <c r="D685" s="29">
        <f>IF(NOTA[[#This Row],[TANGGAL]]="",D684,NOTA[[#This Row],[TANGGAL]])</f>
        <v>44950</v>
      </c>
      <c r="E685" s="29">
        <f ca="1">IF(NOTA[[#This Row],[NAMA BARANG]]="","",INDEX(NOTA[ID],MATCH(,INDIRECT(ADDRESS(ROW(NOTA[ID]),COLUMN(NOTA[ID]))&amp;":"&amp;ADDRESS(ROW(),COLUMN(NOTA[ID]))),-1)))</f>
        <v>129</v>
      </c>
      <c r="F685" s="23"/>
      <c r="G685" s="26"/>
      <c r="H685" s="26"/>
      <c r="I685" s="31"/>
      <c r="J685" s="26"/>
      <c r="K685" s="33"/>
      <c r="L685" s="32"/>
      <c r="M685" s="26" t="s">
        <v>815</v>
      </c>
      <c r="N685" s="34">
        <v>2</v>
      </c>
      <c r="O685" s="32"/>
      <c r="P685" s="26"/>
      <c r="Q685" s="28"/>
      <c r="R685" s="46"/>
      <c r="S685" s="39"/>
      <c r="T685" s="35"/>
      <c r="U685" s="35"/>
      <c r="V685" s="36"/>
      <c r="W685" s="37" t="s">
        <v>88</v>
      </c>
      <c r="X685" s="36" t="str">
        <f>IF(NOTA[[#This Row],[HARGA/ CTN]]="",NOTA[[#This Row],[JUMLAH_H]],NOTA[[#This Row],[HARGA/ CTN]]*IF(NOTA[[#This Row],[C]]="",0,NOTA[[#This Row],[C]]))</f>
        <v/>
      </c>
      <c r="Y685" s="36" t="str">
        <f>IF(NOTA[[#This Row],[JUMLAH]]="","",NOTA[[#This Row],[JUMLAH]]*NOTA[[#This Row],[DISC 1]])</f>
        <v/>
      </c>
      <c r="Z685" s="36" t="str">
        <f>IF(NOTA[[#This Row],[JUMLAH]]="","",(NOTA[[#This Row],[JUMLAH]]-NOTA[[#This Row],[DISC 1-]])*NOTA[[#This Row],[DISC 2]])</f>
        <v/>
      </c>
      <c r="AA685" s="36" t="str">
        <f>IF(NOTA[[#This Row],[JUMLAH]]="","",NOTA[[#This Row],[DISC 1-]]+NOTA[[#This Row],[DISC 2-]])</f>
        <v/>
      </c>
      <c r="AB685" s="36" t="str">
        <f>IF(NOTA[[#This Row],[JUMLAH]]="","",NOTA[[#This Row],[JUMLAH]]-NOTA[[#This Row],[DISC]])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36" t="str">
        <f>IF(OR(NOTA[[#This Row],[QTY]]="",NOTA[[#This Row],[HARGA SATUAN]]="",),"",NOTA[[#This Row],[QTY]]*NOTA[[#This Row],[HARGA SATUAN]])</f>
        <v/>
      </c>
      <c r="AG685" s="33">
        <f ca="1">IF(NOTA[ID_H]="","",INDEX(NOTA[TANGGAL],MATCH(,INDIRECT(ADDRESS(ROW(NOTA[TANGGAL]),COLUMN(NOTA[TANGGAL]))&amp;":"&amp;ADDRESS(ROW(),COLUMN(NOTA[TANGGAL]))),-1)))</f>
        <v>44950</v>
      </c>
      <c r="AH685" s="28" t="str">
        <f ca="1">IF(NOTA[[#This Row],[NAMA BARANG]]="","",INDEX(NOTA[SUPPLIER],MATCH(,INDIRECT(ADDRESS(ROW(NOTA[ID]),COLUMN(NOTA[ID]))&amp;":"&amp;ADDRESS(ROW(),COLUMN(NOTA[ID]))),-1)))</f>
        <v>SBS</v>
      </c>
      <c r="AI685" s="28" t="str">
        <f ca="1">IF(NOTA[[#This Row],[ID_H]]="","",IF(NOTA[[#This Row],[FAKTUR]]="",INDIRECT(ADDRESS(ROW()-1,COLUMN())),NOTA[[#This Row],[FAKTUR]]))</f>
        <v>UNTANA</v>
      </c>
      <c r="AJ685" s="38" t="str">
        <f ca="1">IF(NOTA[[#This Row],[ID]]="","",COUNTIF(NOTA[ID_H],NOTA[[#This Row],[ID_H]]))</f>
        <v/>
      </c>
      <c r="AK685" s="38">
        <f ca="1">IF(NOTA[[#This Row],[TGL.NOTA]]="",IF(NOTA[[#This Row],[SUPPLIER_H]]="","",AK684),MONTH(NOTA[[#This Row],[TGL.NOTA]]))</f>
        <v>1</v>
      </c>
      <c r="AL685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M685" s="38" t="str">
        <f>IF(NOTA[C]="",NOTA[[#This Row],[CONCAT1]]&amp;NOTA[[#This Row],[HARGA SATUAN]],NOTA[[#This Row],[CONCAT1]]&amp;NOTA[[#This Row],[HARGA/ CTN_H]]&amp;NOTA[[#This Row],[DISC 1]]&amp;NOTA[[#This Row],[DISC 2]])</f>
        <v>pcimitasi3850</v>
      </c>
      <c r="AN685" s="184">
        <f>IF(NOTA[[#This Row],[CONCAT1]]="","",MATCH(NOTA[[#This Row],[CONCAT1]],[1]!db[NB NOTA_C],0)+1)</f>
        <v>1645</v>
      </c>
    </row>
    <row r="686" spans="1:40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Row],[CEK_EXP]]&lt;D685,"err","")</f>
        <v/>
      </c>
      <c r="D686" s="29">
        <f>IF(NOTA[[#This Row],[TANGGAL]]="",D685,NOTA[[#This Row],[TANGGAL]])</f>
        <v>44950</v>
      </c>
      <c r="E686" s="29">
        <f ca="1">IF(NOTA[[#This Row],[NAMA BARANG]]="","",INDEX(NOTA[ID],MATCH(,INDIRECT(ADDRESS(ROW(NOTA[ID]),COLUMN(NOTA[ID]))&amp;":"&amp;ADDRESS(ROW(),COLUMN(NOTA[ID]))),-1)))</f>
        <v>129</v>
      </c>
      <c r="F686" s="30"/>
      <c r="G686" s="32"/>
      <c r="H686" s="32"/>
      <c r="I686" s="55"/>
      <c r="J686" s="32"/>
      <c r="K686" s="33"/>
      <c r="L686" s="32"/>
      <c r="M686" s="26" t="s">
        <v>816</v>
      </c>
      <c r="N686" s="34">
        <v>3</v>
      </c>
      <c r="O686" s="32"/>
      <c r="P686" s="26"/>
      <c r="Q686" s="28"/>
      <c r="R686" s="46"/>
      <c r="S686" s="39"/>
      <c r="T686" s="35"/>
      <c r="U686" s="35"/>
      <c r="V686" s="36"/>
      <c r="W686" s="37" t="s">
        <v>88</v>
      </c>
      <c r="X686" s="36" t="str">
        <f>IF(NOTA[[#This Row],[HARGA/ CTN]]="",NOTA[[#This Row],[JUMLAH_H]],NOTA[[#This Row],[HARGA/ CTN]]*IF(NOTA[[#This Row],[C]]="",0,NOTA[[#This Row],[C]]))</f>
        <v/>
      </c>
      <c r="Y686" s="36" t="str">
        <f>IF(NOTA[[#This Row],[JUMLAH]]="","",NOTA[[#This Row],[JUMLAH]]*NOTA[[#This Row],[DISC 1]])</f>
        <v/>
      </c>
      <c r="Z686" s="36" t="str">
        <f>IF(NOTA[[#This Row],[JUMLAH]]="","",(NOTA[[#This Row],[JUMLAH]]-NOTA[[#This Row],[DISC 1-]])*NOTA[[#This Row],[DISC 2]])</f>
        <v/>
      </c>
      <c r="AA686" s="36" t="str">
        <f>IF(NOTA[[#This Row],[JUMLAH]]="","",NOTA[[#This Row],[DISC 1-]]+NOTA[[#This Row],[DISC 2-]])</f>
        <v/>
      </c>
      <c r="AB686" s="36" t="str">
        <f>IF(NOTA[[#This Row],[JUMLAH]]="","",NOTA[[#This Row],[JUMLAH]]-NOTA[[#This Row],[DISC]])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6" s="36" t="str">
        <f>IF(OR(NOTA[[#This Row],[QTY]]="",NOTA[[#This Row],[HARGA SATUAN]]="",),"",NOTA[[#This Row],[QTY]]*NOTA[[#This Row],[HARGA SATUAN]])</f>
        <v/>
      </c>
      <c r="AG686" s="33">
        <f ca="1">IF(NOTA[ID_H]="","",INDEX(NOTA[TANGGAL],MATCH(,INDIRECT(ADDRESS(ROW(NOTA[TANGGAL]),COLUMN(NOTA[TANGGAL]))&amp;":"&amp;ADDRESS(ROW(),COLUMN(NOTA[TANGGAL]))),-1)))</f>
        <v>44950</v>
      </c>
      <c r="AH686" s="28" t="str">
        <f ca="1">IF(NOTA[[#This Row],[NAMA BARANG]]="","",INDEX(NOTA[SUPPLIER],MATCH(,INDIRECT(ADDRESS(ROW(NOTA[ID]),COLUMN(NOTA[ID]))&amp;":"&amp;ADDRESS(ROW(),COLUMN(NOTA[ID]))),-1)))</f>
        <v>SBS</v>
      </c>
      <c r="AI686" s="28" t="str">
        <f ca="1">IF(NOTA[[#This Row],[ID_H]]="","",IF(NOTA[[#This Row],[FAKTUR]]="",INDIRECT(ADDRESS(ROW()-1,COLUMN())),NOTA[[#This Row],[FAKTUR]]))</f>
        <v>UNTANA</v>
      </c>
      <c r="AJ686" s="38" t="str">
        <f ca="1">IF(NOTA[[#This Row],[ID]]="","",COUNTIF(NOTA[ID_H],NOTA[[#This Row],[ID_H]]))</f>
        <v/>
      </c>
      <c r="AK686" s="38">
        <f ca="1">IF(NOTA[[#This Row],[TGL.NOTA]]="",IF(NOTA[[#This Row],[SUPPLIER_H]]="","",AK685),MONTH(NOTA[[#This Row],[TGL.NOTA]]))</f>
        <v>1</v>
      </c>
      <c r="AL686" s="38" t="str">
        <f>LOWER(SUBSTITUTE(SUBSTITUTE(SUBSTITUTE(SUBSTITUTE(SUBSTITUTE(SUBSTITUTE(SUBSTITUTE(SUBSTITUTE(SUBSTITUTE(NOTA[NAMA BARANG]," ",),".",""),"-",""),"(",""),")",""),",",""),"/",""),"""",""),"+",""))</f>
        <v>penggarisgasta0733</v>
      </c>
      <c r="AM686" s="38" t="str">
        <f>IF(NOTA[C]="",NOTA[[#This Row],[CONCAT1]]&amp;NOTA[[#This Row],[HARGA SATUAN]],NOTA[[#This Row],[CONCAT1]]&amp;NOTA[[#This Row],[HARGA/ CTN_H]]&amp;NOTA[[#This Row],[DISC 1]]&amp;NOTA[[#This Row],[DISC 2]])</f>
        <v>penggarisgasta07330</v>
      </c>
      <c r="AN686" s="184">
        <f>IF(NOTA[[#This Row],[CONCAT1]]="","",MATCH(NOTA[[#This Row],[CONCAT1]],[1]!db[NB NOTA_C],0)+1)</f>
        <v>1788</v>
      </c>
    </row>
    <row r="687" spans="1:40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Row],[CEK_EXP]]&lt;D686,"err","")</f>
        <v/>
      </c>
      <c r="D687" s="29">
        <f>IF(NOTA[[#This Row],[TANGGAL]]="",D686,NOTA[[#This Row],[TANGGAL]])</f>
        <v>44950</v>
      </c>
      <c r="E687" s="29">
        <f ca="1">IF(NOTA[[#This Row],[NAMA BARANG]]="","",INDEX(NOTA[ID],MATCH(,INDIRECT(ADDRESS(ROW(NOTA[ID]),COLUMN(NOTA[ID]))&amp;":"&amp;ADDRESS(ROW(),COLUMN(NOTA[ID]))),-1)))</f>
        <v>129</v>
      </c>
      <c r="F687" s="30"/>
      <c r="G687" s="32"/>
      <c r="H687" s="32"/>
      <c r="I687" s="55"/>
      <c r="J687" s="32"/>
      <c r="K687" s="33"/>
      <c r="L687" s="32"/>
      <c r="M687" s="26" t="s">
        <v>819</v>
      </c>
      <c r="N687" s="34">
        <v>3</v>
      </c>
      <c r="O687" s="32"/>
      <c r="P687" s="26"/>
      <c r="Q687" s="28"/>
      <c r="R687" s="46"/>
      <c r="S687" s="39"/>
      <c r="T687" s="35"/>
      <c r="U687" s="35"/>
      <c r="V687" s="36"/>
      <c r="W687" s="37" t="s">
        <v>88</v>
      </c>
      <c r="X687" s="36" t="str">
        <f>IF(NOTA[[#This Row],[HARGA/ CTN]]="",NOTA[[#This Row],[JUMLAH_H]],NOTA[[#This Row],[HARGA/ CTN]]*IF(NOTA[[#This Row],[C]]="",0,NOTA[[#This Row],[C]]))</f>
        <v/>
      </c>
      <c r="Y687" s="36" t="str">
        <f>IF(NOTA[[#This Row],[JUMLAH]]="","",NOTA[[#This Row],[JUMLAH]]*NOTA[[#This Row],[DISC 1]])</f>
        <v/>
      </c>
      <c r="Z687" s="36" t="str">
        <f>IF(NOTA[[#This Row],[JUMLAH]]="","",(NOTA[[#This Row],[JUMLAH]]-NOTA[[#This Row],[DISC 1-]])*NOTA[[#This Row],[DISC 2]])</f>
        <v/>
      </c>
      <c r="AA687" s="36" t="str">
        <f>IF(NOTA[[#This Row],[JUMLAH]]="","",NOTA[[#This Row],[DISC 1-]]+NOTA[[#This Row],[DISC 2-]])</f>
        <v/>
      </c>
      <c r="AB687" s="36" t="str">
        <f>IF(NOTA[[#This Row],[JUMLAH]]="","",NOTA[[#This Row],[JUMLAH]]-NOTA[[#This Row],[DISC]])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7" s="36" t="str">
        <f>IF(OR(NOTA[[#This Row],[QTY]]="",NOTA[[#This Row],[HARGA SATUAN]]="",),"",NOTA[[#This Row],[QTY]]*NOTA[[#This Row],[HARGA SATUAN]])</f>
        <v/>
      </c>
      <c r="AG687" s="33">
        <f ca="1">IF(NOTA[ID_H]="","",INDEX(NOTA[TANGGAL],MATCH(,INDIRECT(ADDRESS(ROW(NOTA[TANGGAL]),COLUMN(NOTA[TANGGAL]))&amp;":"&amp;ADDRESS(ROW(),COLUMN(NOTA[TANGGAL]))),-1)))</f>
        <v>44950</v>
      </c>
      <c r="AH687" s="28" t="str">
        <f ca="1">IF(NOTA[[#This Row],[NAMA BARANG]]="","",INDEX(NOTA[SUPPLIER],MATCH(,INDIRECT(ADDRESS(ROW(NOTA[ID]),COLUMN(NOTA[ID]))&amp;":"&amp;ADDRESS(ROW(),COLUMN(NOTA[ID]))),-1)))</f>
        <v>SBS</v>
      </c>
      <c r="AI687" s="28" t="str">
        <f ca="1">IF(NOTA[[#This Row],[ID_H]]="","",IF(NOTA[[#This Row],[FAKTUR]]="",INDIRECT(ADDRESS(ROW()-1,COLUMN())),NOTA[[#This Row],[FAKTUR]]))</f>
        <v>UNTANA</v>
      </c>
      <c r="AJ687" s="38" t="str">
        <f ca="1">IF(NOTA[[#This Row],[ID]]="","",COUNTIF(NOTA[ID_H],NOTA[[#This Row],[ID_H]]))</f>
        <v/>
      </c>
      <c r="AK687" s="38">
        <f ca="1">IF(NOTA[[#This Row],[TGL.NOTA]]="",IF(NOTA[[#This Row],[SUPPLIER_H]]="","",AK686),MONTH(NOTA[[#This Row],[TGL.NOTA]]))</f>
        <v>1</v>
      </c>
      <c r="AL687" s="38" t="str">
        <f>LOWER(SUBSTITUTE(SUBSTITUTE(SUBSTITUTE(SUBSTITUTE(SUBSTITUTE(SUBSTITUTE(SUBSTITUTE(SUBSTITUTE(SUBSTITUTE(NOTA[NAMA BARANG]," ",),".",""),"-",""),"(",""),")",""),",",""),"/",""),"""",""),"+",""))</f>
        <v>penghapuser1318</v>
      </c>
      <c r="AM687" s="38" t="str">
        <f>IF(NOTA[C]="",NOTA[[#This Row],[CONCAT1]]&amp;NOTA[[#This Row],[HARGA SATUAN]],NOTA[[#This Row],[CONCAT1]]&amp;NOTA[[#This Row],[HARGA/ CTN_H]]&amp;NOTA[[#This Row],[DISC 1]]&amp;NOTA[[#This Row],[DISC 2]])</f>
        <v>penghapuser13180</v>
      </c>
      <c r="AN687" s="184">
        <f>IF(NOTA[[#This Row],[CONCAT1]]="","",MATCH(NOTA[[#This Row],[CONCAT1]],[1]!db[NB NOTA_C],0)+1)</f>
        <v>1792</v>
      </c>
    </row>
    <row r="688" spans="1:40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Row],[CEK_EXP]]&lt;D687,"err","")</f>
        <v/>
      </c>
      <c r="D688" s="29">
        <f>IF(NOTA[[#This Row],[TANGGAL]]="",D687,NOTA[[#This Row],[TANGGAL]])</f>
        <v>44950</v>
      </c>
      <c r="E688" s="29">
        <f ca="1">IF(NOTA[[#This Row],[NAMA BARANG]]="","",INDEX(NOTA[ID],MATCH(,INDIRECT(ADDRESS(ROW(NOTA[ID]),COLUMN(NOTA[ID]))&amp;":"&amp;ADDRESS(ROW(),COLUMN(NOTA[ID]))),-1)))</f>
        <v>129</v>
      </c>
      <c r="F688" s="30"/>
      <c r="G688" s="32"/>
      <c r="H688" s="32"/>
      <c r="I688" s="31"/>
      <c r="J688" s="32"/>
      <c r="K688" s="33"/>
      <c r="L688" s="32"/>
      <c r="M688" s="26" t="s">
        <v>817</v>
      </c>
      <c r="N688" s="34">
        <v>5</v>
      </c>
      <c r="O688" s="32"/>
      <c r="P688" s="32"/>
      <c r="Q688" s="28"/>
      <c r="R688" s="46"/>
      <c r="S688" s="39"/>
      <c r="T688" s="35"/>
      <c r="U688" s="35"/>
      <c r="V688" s="36"/>
      <c r="W688" s="37" t="s">
        <v>88</v>
      </c>
      <c r="X688" s="36" t="str">
        <f>IF(NOTA[[#This Row],[HARGA/ CTN]]="",NOTA[[#This Row],[JUMLAH_H]],NOTA[[#This Row],[HARGA/ CTN]]*IF(NOTA[[#This Row],[C]]="",0,NOTA[[#This Row],[C]]))</f>
        <v/>
      </c>
      <c r="Y688" s="36" t="str">
        <f>IF(NOTA[[#This Row],[JUMLAH]]="","",NOTA[[#This Row],[JUMLAH]]*NOTA[[#This Row],[DISC 1]])</f>
        <v/>
      </c>
      <c r="Z688" s="36" t="str">
        <f>IF(NOTA[[#This Row],[JUMLAH]]="","",(NOTA[[#This Row],[JUMLAH]]-NOTA[[#This Row],[DISC 1-]])*NOTA[[#This Row],[DISC 2]])</f>
        <v/>
      </c>
      <c r="AA688" s="36" t="str">
        <f>IF(NOTA[[#This Row],[JUMLAH]]="","",NOTA[[#This Row],[DISC 1-]]+NOTA[[#This Row],[DISC 2-]])</f>
        <v/>
      </c>
      <c r="AB688" s="36" t="str">
        <f>IF(NOTA[[#This Row],[JUMLAH]]="","",NOTA[[#This Row],[JUMLAH]]-NOTA[[#This Row],[DISC]])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8" s="36" t="str">
        <f>IF(OR(NOTA[[#This Row],[QTY]]="",NOTA[[#This Row],[HARGA SATUAN]]="",),"",NOTA[[#This Row],[QTY]]*NOTA[[#This Row],[HARGA SATUAN]])</f>
        <v/>
      </c>
      <c r="AG688" s="33">
        <f ca="1">IF(NOTA[ID_H]="","",INDEX(NOTA[TANGGAL],MATCH(,INDIRECT(ADDRESS(ROW(NOTA[TANGGAL]),COLUMN(NOTA[TANGGAL]))&amp;":"&amp;ADDRESS(ROW(),COLUMN(NOTA[TANGGAL]))),-1)))</f>
        <v>44950</v>
      </c>
      <c r="AH688" s="28" t="str">
        <f ca="1">IF(NOTA[[#This Row],[NAMA BARANG]]="","",INDEX(NOTA[SUPPLIER],MATCH(,INDIRECT(ADDRESS(ROW(NOTA[ID]),COLUMN(NOTA[ID]))&amp;":"&amp;ADDRESS(ROW(),COLUMN(NOTA[ID]))),-1)))</f>
        <v>SBS</v>
      </c>
      <c r="AI688" s="28" t="str">
        <f ca="1">IF(NOTA[[#This Row],[ID_H]]="","",IF(NOTA[[#This Row],[FAKTUR]]="",INDIRECT(ADDRESS(ROW()-1,COLUMN())),NOTA[[#This Row],[FAKTUR]]))</f>
        <v>UNTANA</v>
      </c>
      <c r="AJ688" s="38" t="str">
        <f ca="1">IF(NOTA[[#This Row],[ID]]="","",COUNTIF(NOTA[ID_H],NOTA[[#This Row],[ID_H]]))</f>
        <v/>
      </c>
      <c r="AK688" s="38">
        <f ca="1">IF(NOTA[[#This Row],[TGL.NOTA]]="",IF(NOTA[[#This Row],[SUPPLIER_H]]="","",AK687),MONTH(NOTA[[#This Row],[TGL.NOTA]]))</f>
        <v>1</v>
      </c>
      <c r="AL688" s="38" t="str">
        <f>LOWER(SUBSTITUTE(SUBSTITUTE(SUBSTITUTE(SUBSTITUTE(SUBSTITUTE(SUBSTITUTE(SUBSTITUTE(SUBSTITUTE(SUBSTITUTE(NOTA[NAMA BARANG]," ",),".",""),"-",""),"(",""),")",""),",",""),"/",""),"""",""),"+",""))</f>
        <v>lettertraybesimtno3</v>
      </c>
      <c r="AM688" s="38" t="str">
        <f>IF(NOTA[C]="",NOTA[[#This Row],[CONCAT1]]&amp;NOTA[[#This Row],[HARGA SATUAN]],NOTA[[#This Row],[CONCAT1]]&amp;NOTA[[#This Row],[HARGA/ CTN_H]]&amp;NOTA[[#This Row],[DISC 1]]&amp;NOTA[[#This Row],[DISC 2]])</f>
        <v>lettertraybesimtno30</v>
      </c>
      <c r="AN688" s="184">
        <f>IF(NOTA[[#This Row],[CONCAT1]]="","",MATCH(NOTA[[#This Row],[CONCAT1]],[1]!db[NB NOTA_C],0)+1)</f>
        <v>1372</v>
      </c>
    </row>
    <row r="689" spans="1:40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Row],[CEK_EXP]]&lt;D688,"err","")</f>
        <v/>
      </c>
      <c r="D689" s="29">
        <f>IF(NOTA[[#This Row],[TANGGAL]]="",D688,NOTA[[#This Row],[TANGGAL]])</f>
        <v>44950</v>
      </c>
      <c r="E689" s="29">
        <f ca="1">IF(NOTA[[#This Row],[NAMA BARANG]]="","",INDEX(NOTA[ID],MATCH(,INDIRECT(ADDRESS(ROW(NOTA[ID]),COLUMN(NOTA[ID]))&amp;":"&amp;ADDRESS(ROW(),COLUMN(NOTA[ID]))),-1)))</f>
        <v>129</v>
      </c>
      <c r="F689" s="30"/>
      <c r="G689" s="26"/>
      <c r="H689" s="26"/>
      <c r="I689" s="31"/>
      <c r="J689" s="32"/>
      <c r="K689" s="33"/>
      <c r="L689" s="32"/>
      <c r="M689" s="26" t="s">
        <v>818</v>
      </c>
      <c r="N689" s="34">
        <v>5</v>
      </c>
      <c r="O689" s="32"/>
      <c r="P689" s="26"/>
      <c r="Q689" s="28"/>
      <c r="R689" s="46"/>
      <c r="S689" s="39"/>
      <c r="T689" s="35"/>
      <c r="U689" s="35"/>
      <c r="V689" s="36"/>
      <c r="W689" s="37" t="s">
        <v>88</v>
      </c>
      <c r="X689" s="36" t="str">
        <f>IF(NOTA[[#This Row],[HARGA/ CTN]]="",NOTA[[#This Row],[JUMLAH_H]],NOTA[[#This Row],[HARGA/ CTN]]*IF(NOTA[[#This Row],[C]]="",0,NOTA[[#This Row],[C]]))</f>
        <v/>
      </c>
      <c r="Y689" s="36" t="str">
        <f>IF(NOTA[[#This Row],[JUMLAH]]="","",NOTA[[#This Row],[JUMLAH]]*NOTA[[#This Row],[DISC 1]])</f>
        <v/>
      </c>
      <c r="Z689" s="36" t="str">
        <f>IF(NOTA[[#This Row],[JUMLAH]]="","",(NOTA[[#This Row],[JUMLAH]]-NOTA[[#This Row],[DISC 1-]])*NOTA[[#This Row],[DISC 2]])</f>
        <v/>
      </c>
      <c r="AA689" s="36" t="str">
        <f>IF(NOTA[[#This Row],[JUMLAH]]="","",NOTA[[#This Row],[DISC 1-]]+NOTA[[#This Row],[DISC 2-]])</f>
        <v/>
      </c>
      <c r="AB689" s="36" t="str">
        <f>IF(NOTA[[#This Row],[JUMLAH]]="","",NOTA[[#This Row],[JUMLAH]]-NOTA[[#This Row],[DISC]])</f>
        <v/>
      </c>
      <c r="AC6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68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9" s="36" t="str">
        <f>IF(OR(NOTA[[#This Row],[QTY]]="",NOTA[[#This Row],[HARGA SATUAN]]="",),"",NOTA[[#This Row],[QTY]]*NOTA[[#This Row],[HARGA SATUAN]])</f>
        <v/>
      </c>
      <c r="AG689" s="33">
        <f ca="1">IF(NOTA[ID_H]="","",INDEX(NOTA[TANGGAL],MATCH(,INDIRECT(ADDRESS(ROW(NOTA[TANGGAL]),COLUMN(NOTA[TANGGAL]))&amp;":"&amp;ADDRESS(ROW(),COLUMN(NOTA[TANGGAL]))),-1)))</f>
        <v>44950</v>
      </c>
      <c r="AH689" s="28" t="str">
        <f ca="1">IF(NOTA[[#This Row],[NAMA BARANG]]="","",INDEX(NOTA[SUPPLIER],MATCH(,INDIRECT(ADDRESS(ROW(NOTA[ID]),COLUMN(NOTA[ID]))&amp;":"&amp;ADDRESS(ROW(),COLUMN(NOTA[ID]))),-1)))</f>
        <v>SBS</v>
      </c>
      <c r="AI689" s="28" t="str">
        <f ca="1">IF(NOTA[[#This Row],[ID_H]]="","",IF(NOTA[[#This Row],[FAKTUR]]="",INDIRECT(ADDRESS(ROW()-1,COLUMN())),NOTA[[#This Row],[FAKTUR]]))</f>
        <v>UNTANA</v>
      </c>
      <c r="AJ689" s="38" t="str">
        <f ca="1">IF(NOTA[[#This Row],[ID]]="","",COUNTIF(NOTA[ID_H],NOTA[[#This Row],[ID_H]]))</f>
        <v/>
      </c>
      <c r="AK689" s="38">
        <f ca="1">IF(NOTA[[#This Row],[TGL.NOTA]]="",IF(NOTA[[#This Row],[SUPPLIER_H]]="","",AK688),MONTH(NOTA[[#This Row],[TGL.NOTA]]))</f>
        <v>1</v>
      </c>
      <c r="AL689" s="38" t="str">
        <f>LOWER(SUBSTITUTE(SUBSTITUTE(SUBSTITUTE(SUBSTITUTE(SUBSTITUTE(SUBSTITUTE(SUBSTITUTE(SUBSTITUTE(SUBSTITUTE(NOTA[NAMA BARANG]," ",),".",""),"-",""),"(",""),")",""),",",""),"/",""),"""",""),"+",""))</f>
        <v>pck195</v>
      </c>
      <c r="AM689" s="38" t="str">
        <f>IF(NOTA[C]="",NOTA[[#This Row],[CONCAT1]]&amp;NOTA[[#This Row],[HARGA SATUAN]],NOTA[[#This Row],[CONCAT1]]&amp;NOTA[[#This Row],[HARGA/ CTN_H]]&amp;NOTA[[#This Row],[DISC 1]]&amp;NOTA[[#This Row],[DISC 2]])</f>
        <v>pck1950</v>
      </c>
      <c r="AN689" s="184">
        <f>IF(NOTA[[#This Row],[CONCAT1]]="","",MATCH(NOTA[[#This Row],[CONCAT1]],[1]!db[NB NOTA_C],0)+1)</f>
        <v>1654</v>
      </c>
    </row>
    <row r="690" spans="1:40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Row],[CEK_EXP]]&lt;D689,"err","")</f>
        <v/>
      </c>
      <c r="D690" s="29">
        <f>IF(NOTA[[#This Row],[TANGGAL]]="",D689,NOTA[[#This Row],[TANGGAL]])</f>
        <v>44950</v>
      </c>
      <c r="E690" s="29" t="str">
        <f ca="1">IF(NOTA[[#This Row],[NAMA BARANG]]="","",INDEX(NOTA[ID],MATCH(,INDIRECT(ADDRESS(ROW(NOTA[ID]),COLUMN(NOTA[ID]))&amp;":"&amp;ADDRESS(ROW(),COLUMN(NOTA[ID]))),-1)))</f>
        <v/>
      </c>
      <c r="F690" s="30"/>
      <c r="G690" s="32"/>
      <c r="H690" s="32"/>
      <c r="I690" s="55"/>
      <c r="J690" s="32"/>
      <c r="K690" s="33"/>
      <c r="L690" s="32"/>
      <c r="M690" s="26"/>
      <c r="N690" s="34"/>
      <c r="O690" s="32"/>
      <c r="P690" s="26"/>
      <c r="Q690" s="28"/>
      <c r="R690" s="46"/>
      <c r="S690" s="39"/>
      <c r="T690" s="35"/>
      <c r="U690" s="35"/>
      <c r="V690" s="36"/>
      <c r="W690" s="37"/>
      <c r="X690" s="36" t="str">
        <f>IF(NOTA[[#This Row],[HARGA/ CTN]]="",NOTA[[#This Row],[JUMLAH_H]],NOTA[[#This Row],[HARGA/ CTN]]*IF(NOTA[[#This Row],[C]]="",0,NOTA[[#This Row],[C]]))</f>
        <v/>
      </c>
      <c r="Y690" s="36" t="str">
        <f>IF(NOTA[[#This Row],[JUMLAH]]="","",NOTA[[#This Row],[JUMLAH]]*NOTA[[#This Row],[DISC 1]])</f>
        <v/>
      </c>
      <c r="Z690" s="36" t="str">
        <f>IF(NOTA[[#This Row],[JUMLAH]]="","",(NOTA[[#This Row],[JUMLAH]]-NOTA[[#This Row],[DISC 1-]])*NOTA[[#This Row],[DISC 2]])</f>
        <v/>
      </c>
      <c r="AA690" s="36" t="str">
        <f>IF(NOTA[[#This Row],[JUMLAH]]="","",NOTA[[#This Row],[DISC 1-]]+NOTA[[#This Row],[DISC 2-]])</f>
        <v/>
      </c>
      <c r="AB690" s="36" t="str">
        <f>IF(NOTA[[#This Row],[JUMLAH]]="","",NOTA[[#This Row],[JUMLAH]]-NOTA[[#This Row],[DISC]])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36" t="str">
        <f>IF(OR(NOTA[[#This Row],[QTY]]="",NOTA[[#This Row],[HARGA SATUAN]]="",),"",NOTA[[#This Row],[QTY]]*NOTA[[#This Row],[HARGA SATUAN]])</f>
        <v/>
      </c>
      <c r="AG690" s="33" t="str">
        <f ca="1">IF(NOTA[ID_H]="","",INDEX(NOTA[TANGGAL],MATCH(,INDIRECT(ADDRESS(ROW(NOTA[TANGGAL]),COLUMN(NOTA[TANGGAL]))&amp;":"&amp;ADDRESS(ROW(),COLUMN(NOTA[TANGGAL]))),-1)))</f>
        <v/>
      </c>
      <c r="AH690" s="28" t="str">
        <f ca="1">IF(NOTA[[#This Row],[NAMA BARANG]]="","",INDEX(NOTA[SUPPLIER],MATCH(,INDIRECT(ADDRESS(ROW(NOTA[ID]),COLUMN(NOTA[ID]))&amp;":"&amp;ADDRESS(ROW(),COLUMN(NOTA[ID]))),-1)))</f>
        <v/>
      </c>
      <c r="AI690" s="28" t="str">
        <f ca="1">IF(NOTA[[#This Row],[ID_H]]="","",IF(NOTA[[#This Row],[FAKTUR]]="",INDIRECT(ADDRESS(ROW()-1,COLUMN())),NOTA[[#This Row],[FAKTUR]]))</f>
        <v/>
      </c>
      <c r="AJ690" s="38" t="str">
        <f ca="1">IF(NOTA[[#This Row],[ID]]="","",COUNTIF(NOTA[ID_H],NOTA[[#This Row],[ID_H]]))</f>
        <v/>
      </c>
      <c r="AK690" s="38" t="str">
        <f ca="1">IF(NOTA[[#This Row],[TGL.NOTA]]="",IF(NOTA[[#This Row],[SUPPLIER_H]]="","",AK689),MONTH(NOTA[[#This Row],[TGL.NOTA]]))</f>
        <v/>
      </c>
      <c r="AL690" s="38" t="str">
        <f>LOWER(SUBSTITUTE(SUBSTITUTE(SUBSTITUTE(SUBSTITUTE(SUBSTITUTE(SUBSTITUTE(SUBSTITUTE(SUBSTITUTE(SUBSTITUTE(NOTA[NAMA BARANG]," ",),".",""),"-",""),"(",""),")",""),",",""),"/",""),"""",""),"+",""))</f>
        <v/>
      </c>
      <c r="AM690" s="38" t="str">
        <f>IF(NOTA[C]="",NOTA[[#This Row],[CONCAT1]]&amp;NOTA[[#This Row],[HARGA SATUAN]],NOTA[[#This Row],[CONCAT1]]&amp;NOTA[[#This Row],[HARGA/ CTN_H]]&amp;NOTA[[#This Row],[DISC 1]]&amp;NOTA[[#This Row],[DISC 2]])</f>
        <v/>
      </c>
      <c r="AN690" s="184" t="str">
        <f>IF(NOTA[[#This Row],[CONCAT1]]="","",MATCH(NOTA[[#This Row],[CONCAT1]],[1]!db[NB NOTA_C],0)+1)</f>
        <v/>
      </c>
    </row>
    <row r="691" spans="1:40" ht="20.100000000000001" customHeight="1" x14ac:dyDescent="0.25">
      <c r="A691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HON_2401_007-5</v>
      </c>
      <c r="C691" s="29" t="str">
        <f>IF(NOTA[[#This Row],[CEK_EXP]]&lt;D690,"err","")</f>
        <v/>
      </c>
      <c r="D691" s="29">
        <f>IF(NOTA[[#This Row],[TANGGAL]]="",D690,NOTA[[#This Row],[TANGGAL]])</f>
        <v>44950</v>
      </c>
      <c r="E691" s="29">
        <f ca="1">IF(NOTA[[#This Row],[NAMA BARANG]]="","",INDEX(NOTA[ID],MATCH(,INDIRECT(ADDRESS(ROW(NOTA[ID]),COLUMN(NOTA[ID]))&amp;":"&amp;ADDRESS(ROW(),COLUMN(NOTA[ID]))),-1)))</f>
        <v>130</v>
      </c>
      <c r="F691" s="30"/>
      <c r="G691" s="26" t="s">
        <v>872</v>
      </c>
      <c r="H691" s="26" t="s">
        <v>87</v>
      </c>
      <c r="I691" s="31" t="s">
        <v>820</v>
      </c>
      <c r="J691" s="26"/>
      <c r="K691" s="33">
        <v>44949</v>
      </c>
      <c r="L691" s="32"/>
      <c r="M691" s="26" t="s">
        <v>821</v>
      </c>
      <c r="N691" s="34">
        <v>1</v>
      </c>
      <c r="O691" s="32">
        <v>36</v>
      </c>
      <c r="P691" s="26" t="s">
        <v>90</v>
      </c>
      <c r="Q691" s="28">
        <v>66000</v>
      </c>
      <c r="R691" s="46"/>
      <c r="S691" s="39" t="s">
        <v>826</v>
      </c>
      <c r="T691" s="35"/>
      <c r="U691" s="35"/>
      <c r="V691" s="36"/>
      <c r="W691" s="37"/>
      <c r="X691" s="36">
        <f>IF(NOTA[[#This Row],[HARGA/ CTN]]="",NOTA[[#This Row],[JUMLAH_H]],NOTA[[#This Row],[HARGA/ CTN]]*IF(NOTA[[#This Row],[C]]="",0,NOTA[[#This Row],[C]]))</f>
        <v>2376000</v>
      </c>
      <c r="Y691" s="36">
        <f>IF(NOTA[[#This Row],[JUMLAH]]="","",NOTA[[#This Row],[JUMLAH]]*NOTA[[#This Row],[DISC 1]])</f>
        <v>0</v>
      </c>
      <c r="Z691" s="36">
        <f>IF(NOTA[[#This Row],[JUMLAH]]="","",(NOTA[[#This Row],[JUMLAH]]-NOTA[[#This Row],[DISC 1-]])*NOTA[[#This Row],[DISC 2]])</f>
        <v>0</v>
      </c>
      <c r="AA691" s="36">
        <f>IF(NOTA[[#This Row],[JUMLAH]]="","",NOTA[[#This Row],[DISC 1-]]+NOTA[[#This Row],[DISC 2-]])</f>
        <v>0</v>
      </c>
      <c r="AB691" s="36">
        <f>IF(NOTA[[#This Row],[JUMLAH]]="","",NOTA[[#This Row],[JUMLAH]]-NOTA[[#This Row],[DISC]])</f>
        <v>2376000</v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91" s="36">
        <f>IF(OR(NOTA[[#This Row],[QTY]]="",NOTA[[#This Row],[HARGA SATUAN]]="",),"",NOTA[[#This Row],[QTY]]*NOTA[[#This Row],[HARGA SATUAN]])</f>
        <v>2376000</v>
      </c>
      <c r="AG691" s="33">
        <f ca="1">IF(NOTA[ID_H]="","",INDEX(NOTA[TANGGAL],MATCH(,INDIRECT(ADDRESS(ROW(NOTA[TANGGAL]),COLUMN(NOTA[TANGGAL]))&amp;":"&amp;ADDRESS(ROW(),COLUMN(NOTA[TANGGAL]))),-1)))</f>
        <v>44950</v>
      </c>
      <c r="AH691" s="28" t="str">
        <f ca="1">IF(NOTA[[#This Row],[NAMA BARANG]]="","",INDEX(NOTA[SUPPLIER],MATCH(,INDIRECT(ADDRESS(ROW(NOTA[ID]),COLUMN(NOTA[ID]))&amp;":"&amp;ADDRESS(ROW(),COLUMN(NOTA[ID]))),-1)))</f>
        <v>HONGSIAN</v>
      </c>
      <c r="AI691" s="28" t="str">
        <f ca="1">IF(NOTA[[#This Row],[ID_H]]="","",IF(NOTA[[#This Row],[FAKTUR]]="",INDIRECT(ADDRESS(ROW()-1,COLUMN())),NOTA[[#This Row],[FAKTUR]]))</f>
        <v>UNTANA</v>
      </c>
      <c r="AJ691" s="38">
        <f ca="1">IF(NOTA[[#This Row],[ID]]="","",COUNTIF(NOTA[ID_H],NOTA[[#This Row],[ID_H]]))</f>
        <v>5</v>
      </c>
      <c r="AK691" s="38">
        <f>IF(NOTA[[#This Row],[TGL.NOTA]]="",IF(NOTA[[#This Row],[SUPPLIER_H]]="","",AK690),MONTH(NOTA[[#This Row],[TGL.NOTA]]))</f>
        <v>1</v>
      </c>
      <c r="AL691" s="38" t="str">
        <f>LOWER(SUBSTITUTE(SUBSTITUTE(SUBSTITUTE(SUBSTITUTE(SUBSTITUTE(SUBSTITUTE(SUBSTITUTE(SUBSTITUTE(SUBSTITUTE(NOTA[NAMA BARANG]," ",),".",""),"-",""),"(",""),")",""),",",""),"/",""),"""",""),"+",""))</f>
        <v>pca838</v>
      </c>
      <c r="AM691" s="38" t="str">
        <f>IF(NOTA[C]="",NOTA[[#This Row],[CONCAT1]]&amp;NOTA[[#This Row],[HARGA SATUAN]],NOTA[[#This Row],[CONCAT1]]&amp;NOTA[[#This Row],[HARGA/ CTN_H]]&amp;NOTA[[#This Row],[DISC 1]]&amp;NOTA[[#This Row],[DISC 2]])</f>
        <v>pca8382376000</v>
      </c>
      <c r="AN691" s="184">
        <f>IF(NOTA[[#This Row],[CONCAT1]]="","",MATCH(NOTA[[#This Row],[CONCAT1]],[1]!db[NB NOTA_C],0)+1)</f>
        <v>1637</v>
      </c>
    </row>
    <row r="692" spans="1:40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Row],[CEK_EXP]]&lt;D691,"err","")</f>
        <v/>
      </c>
      <c r="D692" s="29">
        <f>IF(NOTA[[#This Row],[TANGGAL]]="",D691,NOTA[[#This Row],[TANGGAL]])</f>
        <v>44950</v>
      </c>
      <c r="E692" s="29">
        <f ca="1">IF(NOTA[[#This Row],[NAMA BARANG]]="","",INDEX(NOTA[ID],MATCH(,INDIRECT(ADDRESS(ROW(NOTA[ID]),COLUMN(NOTA[ID]))&amp;":"&amp;ADDRESS(ROW(),COLUMN(NOTA[ID]))),-1)))</f>
        <v>130</v>
      </c>
      <c r="F692" s="30"/>
      <c r="G692" s="32"/>
      <c r="H692" s="32"/>
      <c r="I692" s="55"/>
      <c r="J692" s="26"/>
      <c r="K692" s="33"/>
      <c r="L692" s="32"/>
      <c r="M692" s="26" t="s">
        <v>822</v>
      </c>
      <c r="N692" s="34">
        <v>1</v>
      </c>
      <c r="O692" s="32">
        <v>36</v>
      </c>
      <c r="P692" s="26" t="s">
        <v>90</v>
      </c>
      <c r="Q692" s="28">
        <v>62000</v>
      </c>
      <c r="R692" s="46"/>
      <c r="S692" s="39" t="s">
        <v>826</v>
      </c>
      <c r="T692" s="35"/>
      <c r="U692" s="35"/>
      <c r="V692" s="36"/>
      <c r="W692" s="37"/>
      <c r="X692" s="36">
        <f>IF(NOTA[[#This Row],[HARGA/ CTN]]="",NOTA[[#This Row],[JUMLAH_H]],NOTA[[#This Row],[HARGA/ CTN]]*IF(NOTA[[#This Row],[C]]="",0,NOTA[[#This Row],[C]]))</f>
        <v>2232000</v>
      </c>
      <c r="Y692" s="36">
        <f>IF(NOTA[[#This Row],[JUMLAH]]="","",NOTA[[#This Row],[JUMLAH]]*NOTA[[#This Row],[DISC 1]])</f>
        <v>0</v>
      </c>
      <c r="Z692" s="36">
        <f>IF(NOTA[[#This Row],[JUMLAH]]="","",(NOTA[[#This Row],[JUMLAH]]-NOTA[[#This Row],[DISC 1-]])*NOTA[[#This Row],[DISC 2]])</f>
        <v>0</v>
      </c>
      <c r="AA692" s="36">
        <f>IF(NOTA[[#This Row],[JUMLAH]]="","",NOTA[[#This Row],[DISC 1-]]+NOTA[[#This Row],[DISC 2-]])</f>
        <v>0</v>
      </c>
      <c r="AB692" s="36">
        <f>IF(NOTA[[#This Row],[JUMLAH]]="","",NOTA[[#This Row],[JUMLAH]]-NOTA[[#This Row],[DISC]])</f>
        <v>2232000</v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28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692" s="36">
        <f>IF(OR(NOTA[[#This Row],[QTY]]="",NOTA[[#This Row],[HARGA SATUAN]]="",),"",NOTA[[#This Row],[QTY]]*NOTA[[#This Row],[HARGA SATUAN]])</f>
        <v>2232000</v>
      </c>
      <c r="AG692" s="33">
        <f ca="1">IF(NOTA[ID_H]="","",INDEX(NOTA[TANGGAL],MATCH(,INDIRECT(ADDRESS(ROW(NOTA[TANGGAL]),COLUMN(NOTA[TANGGAL]))&amp;":"&amp;ADDRESS(ROW(),COLUMN(NOTA[TANGGAL]))),-1)))</f>
        <v>44950</v>
      </c>
      <c r="AH692" s="28" t="str">
        <f ca="1">IF(NOTA[[#This Row],[NAMA BARANG]]="","",INDEX(NOTA[SUPPLIER],MATCH(,INDIRECT(ADDRESS(ROW(NOTA[ID]),COLUMN(NOTA[ID]))&amp;":"&amp;ADDRESS(ROW(),COLUMN(NOTA[ID]))),-1)))</f>
        <v>HONGSIAN</v>
      </c>
      <c r="AI692" s="28" t="str">
        <f ca="1">IF(NOTA[[#This Row],[ID_H]]="","",IF(NOTA[[#This Row],[FAKTUR]]="",INDIRECT(ADDRESS(ROW()-1,COLUMN())),NOTA[[#This Row],[FAKTUR]]))</f>
        <v>UNTANA</v>
      </c>
      <c r="AJ692" s="38" t="str">
        <f ca="1">IF(NOTA[[#This Row],[ID]]="","",COUNTIF(NOTA[ID_H],NOTA[[#This Row],[ID_H]]))</f>
        <v/>
      </c>
      <c r="AK692" s="38">
        <f ca="1">IF(NOTA[[#This Row],[TGL.NOTA]]="",IF(NOTA[[#This Row],[SUPPLIER_H]]="","",AK691),MONTH(NOTA[[#This Row],[TGL.NOTA]]))</f>
        <v>1</v>
      </c>
      <c r="AL692" s="38" t="str">
        <f>LOWER(SUBSTITUTE(SUBSTITUTE(SUBSTITUTE(SUBSTITUTE(SUBSTITUTE(SUBSTITUTE(SUBSTITUTE(SUBSTITUTE(SUBSTITUTE(NOTA[NAMA BARANG]," ",),".",""),"-",""),"(",""),")",""),",",""),"/",""),"""",""),"+",""))</f>
        <v>pca792</v>
      </c>
      <c r="AM692" s="38" t="str">
        <f>IF(NOTA[C]="",NOTA[[#This Row],[CONCAT1]]&amp;NOTA[[#This Row],[HARGA SATUAN]],NOTA[[#This Row],[CONCAT1]]&amp;NOTA[[#This Row],[HARGA/ CTN_H]]&amp;NOTA[[#This Row],[DISC 1]]&amp;NOTA[[#This Row],[DISC 2]])</f>
        <v>pca7922232000</v>
      </c>
      <c r="AN692" s="184">
        <f>IF(NOTA[[#This Row],[CONCAT1]]="","",MATCH(NOTA[[#This Row],[CONCAT1]],[1]!db[NB NOTA_C],0)+1)</f>
        <v>1634</v>
      </c>
    </row>
    <row r="693" spans="1:40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Row],[CEK_EXP]]&lt;D692,"err","")</f>
        <v/>
      </c>
      <c r="D693" s="29">
        <f>IF(NOTA[[#This Row],[TANGGAL]]="",D692,NOTA[[#This Row],[TANGGAL]])</f>
        <v>44950</v>
      </c>
      <c r="E693" s="29">
        <f ca="1">IF(NOTA[[#This Row],[NAMA BARANG]]="","",INDEX(NOTA[ID],MATCH(,INDIRECT(ADDRESS(ROW(NOTA[ID]),COLUMN(NOTA[ID]))&amp;":"&amp;ADDRESS(ROW(),COLUMN(NOTA[ID]))),-1)))</f>
        <v>130</v>
      </c>
      <c r="F693" s="30"/>
      <c r="G693" s="26"/>
      <c r="H693" s="26"/>
      <c r="I693" s="31"/>
      <c r="J693" s="32"/>
      <c r="K693" s="33"/>
      <c r="L693" s="32"/>
      <c r="M693" s="26" t="s">
        <v>823</v>
      </c>
      <c r="N693" s="34">
        <v>1</v>
      </c>
      <c r="O693" s="26">
        <v>36</v>
      </c>
      <c r="P693" s="26" t="s">
        <v>90</v>
      </c>
      <c r="Q693" s="28">
        <v>52000</v>
      </c>
      <c r="R693" s="46"/>
      <c r="S693" s="39" t="s">
        <v>826</v>
      </c>
      <c r="T693" s="35"/>
      <c r="U693" s="35"/>
      <c r="V693" s="36"/>
      <c r="W693" s="37"/>
      <c r="X693" s="36">
        <f>IF(NOTA[[#This Row],[HARGA/ CTN]]="",NOTA[[#This Row],[JUMLAH_H]],NOTA[[#This Row],[HARGA/ CTN]]*IF(NOTA[[#This Row],[C]]="",0,NOTA[[#This Row],[C]]))</f>
        <v>1872000</v>
      </c>
      <c r="Y693" s="36">
        <f>IF(NOTA[[#This Row],[JUMLAH]]="","",NOTA[[#This Row],[JUMLAH]]*NOTA[[#This Row],[DISC 1]])</f>
        <v>0</v>
      </c>
      <c r="Z693" s="36">
        <f>IF(NOTA[[#This Row],[JUMLAH]]="","",(NOTA[[#This Row],[JUMLAH]]-NOTA[[#This Row],[DISC 1-]])*NOTA[[#This Row],[DISC 2]])</f>
        <v>0</v>
      </c>
      <c r="AA693" s="36">
        <f>IF(NOTA[[#This Row],[JUMLAH]]="","",NOTA[[#This Row],[DISC 1-]]+NOTA[[#This Row],[DISC 2-]])</f>
        <v>0</v>
      </c>
      <c r="AB693" s="36">
        <f>IF(NOTA[[#This Row],[JUMLAH]]="","",NOTA[[#This Row],[JUMLAH]]-NOTA[[#This Row],[DISC]])</f>
        <v>1872000</v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28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693" s="36">
        <f>IF(OR(NOTA[[#This Row],[QTY]]="",NOTA[[#This Row],[HARGA SATUAN]]="",),"",NOTA[[#This Row],[QTY]]*NOTA[[#This Row],[HARGA SATUAN]])</f>
        <v>1872000</v>
      </c>
      <c r="AG693" s="33">
        <f ca="1">IF(NOTA[ID_H]="","",INDEX(NOTA[TANGGAL],MATCH(,INDIRECT(ADDRESS(ROW(NOTA[TANGGAL]),COLUMN(NOTA[TANGGAL]))&amp;":"&amp;ADDRESS(ROW(),COLUMN(NOTA[TANGGAL]))),-1)))</f>
        <v>44950</v>
      </c>
      <c r="AH693" s="28" t="str">
        <f ca="1">IF(NOTA[[#This Row],[NAMA BARANG]]="","",INDEX(NOTA[SUPPLIER],MATCH(,INDIRECT(ADDRESS(ROW(NOTA[ID]),COLUMN(NOTA[ID]))&amp;":"&amp;ADDRESS(ROW(),COLUMN(NOTA[ID]))),-1)))</f>
        <v>HONGSIAN</v>
      </c>
      <c r="AI693" s="28" t="str">
        <f ca="1">IF(NOTA[[#This Row],[ID_H]]="","",IF(NOTA[[#This Row],[FAKTUR]]="",INDIRECT(ADDRESS(ROW()-1,COLUMN())),NOTA[[#This Row],[FAKTUR]]))</f>
        <v>UNTANA</v>
      </c>
      <c r="AJ693" s="38" t="str">
        <f ca="1">IF(NOTA[[#This Row],[ID]]="","",COUNTIF(NOTA[ID_H],NOTA[[#This Row],[ID_H]]))</f>
        <v/>
      </c>
      <c r="AK693" s="38">
        <f ca="1">IF(NOTA[[#This Row],[TGL.NOTA]]="",IF(NOTA[[#This Row],[SUPPLIER_H]]="","",AK692),MONTH(NOTA[[#This Row],[TGL.NOTA]]))</f>
        <v>1</v>
      </c>
      <c r="AL693" s="38" t="str">
        <f>LOWER(SUBSTITUTE(SUBSTITUTE(SUBSTITUTE(SUBSTITUTE(SUBSTITUTE(SUBSTITUTE(SUBSTITUTE(SUBSTITUTE(SUBSTITUTE(NOTA[NAMA BARANG]," ",),".",""),"-",""),"(",""),")",""),",",""),"/",""),"""",""),"+",""))</f>
        <v>pch837</v>
      </c>
      <c r="AM693" s="38" t="str">
        <f>IF(NOTA[C]="",NOTA[[#This Row],[CONCAT1]]&amp;NOTA[[#This Row],[HARGA SATUAN]],NOTA[[#This Row],[CONCAT1]]&amp;NOTA[[#This Row],[HARGA/ CTN_H]]&amp;NOTA[[#This Row],[DISC 1]]&amp;NOTA[[#This Row],[DISC 2]])</f>
        <v>pch8371872000</v>
      </c>
      <c r="AN693" s="184">
        <f>IF(NOTA[[#This Row],[CONCAT1]]="","",MATCH(NOTA[[#This Row],[CONCAT1]],[1]!db[NB NOTA_C],0)+1)</f>
        <v>1644</v>
      </c>
    </row>
    <row r="694" spans="1:40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Row],[CEK_EXP]]&lt;D693,"err","")</f>
        <v/>
      </c>
      <c r="D694" s="29">
        <f>IF(NOTA[[#This Row],[TANGGAL]]="",D693,NOTA[[#This Row],[TANGGAL]])</f>
        <v>44950</v>
      </c>
      <c r="E694" s="29">
        <f ca="1">IF(NOTA[[#This Row],[NAMA BARANG]]="","",INDEX(NOTA[ID],MATCH(,INDIRECT(ADDRESS(ROW(NOTA[ID]),COLUMN(NOTA[ID]))&amp;":"&amp;ADDRESS(ROW(),COLUMN(NOTA[ID]))),-1)))</f>
        <v>130</v>
      </c>
      <c r="F694" s="30"/>
      <c r="G694" s="110"/>
      <c r="H694" s="110"/>
      <c r="I694" s="111"/>
      <c r="J694" s="110"/>
      <c r="K694" s="112"/>
      <c r="L694" s="110"/>
      <c r="M694" s="38" t="s">
        <v>824</v>
      </c>
      <c r="N694" s="113">
        <v>1</v>
      </c>
      <c r="O694" s="110">
        <v>36</v>
      </c>
      <c r="P694" s="38" t="s">
        <v>90</v>
      </c>
      <c r="Q694" s="114">
        <v>82000</v>
      </c>
      <c r="R694" s="115"/>
      <c r="S694" s="39" t="s">
        <v>826</v>
      </c>
      <c r="T694" s="116"/>
      <c r="U694" s="35"/>
      <c r="V694" s="36"/>
      <c r="W694" s="37"/>
      <c r="X694" s="36">
        <f>IF(NOTA[[#This Row],[HARGA/ CTN]]="",NOTA[[#This Row],[JUMLAH_H]],NOTA[[#This Row],[HARGA/ CTN]]*IF(NOTA[[#This Row],[C]]="",0,NOTA[[#This Row],[C]]))</f>
        <v>2952000</v>
      </c>
      <c r="Y694" s="36">
        <f>IF(NOTA[[#This Row],[JUMLAH]]="","",NOTA[[#This Row],[JUMLAH]]*NOTA[[#This Row],[DISC 1]])</f>
        <v>0</v>
      </c>
      <c r="Z694" s="36">
        <f>IF(NOTA[[#This Row],[JUMLAH]]="","",(NOTA[[#This Row],[JUMLAH]]-NOTA[[#This Row],[DISC 1-]])*NOTA[[#This Row],[DISC 2]])</f>
        <v>0</v>
      </c>
      <c r="AA694" s="36">
        <f>IF(NOTA[[#This Row],[JUMLAH]]="","",NOTA[[#This Row],[DISC 1-]]+NOTA[[#This Row],[DISC 2-]])</f>
        <v>0</v>
      </c>
      <c r="AB694" s="36">
        <f>IF(NOTA[[#This Row],[JUMLAH]]="","",NOTA[[#This Row],[JUMLAH]]-NOTA[[#This Row],[DISC]])</f>
        <v>2952000</v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4" s="36">
        <f>IF(OR(NOTA[[#This Row],[QTY]]="",NOTA[[#This Row],[HARGA SATUAN]]="",),"",NOTA[[#This Row],[QTY]]*NOTA[[#This Row],[HARGA SATUAN]])</f>
        <v>2952000</v>
      </c>
      <c r="AG694" s="33">
        <f ca="1">IF(NOTA[ID_H]="","",INDEX(NOTA[TANGGAL],MATCH(,INDIRECT(ADDRESS(ROW(NOTA[TANGGAL]),COLUMN(NOTA[TANGGAL]))&amp;":"&amp;ADDRESS(ROW(),COLUMN(NOTA[TANGGAL]))),-1)))</f>
        <v>44950</v>
      </c>
      <c r="AH694" s="28" t="str">
        <f ca="1">IF(NOTA[[#This Row],[NAMA BARANG]]="","",INDEX(NOTA[SUPPLIER],MATCH(,INDIRECT(ADDRESS(ROW(NOTA[ID]),COLUMN(NOTA[ID]))&amp;":"&amp;ADDRESS(ROW(),COLUMN(NOTA[ID]))),-1)))</f>
        <v>HONGSIAN</v>
      </c>
      <c r="AI694" s="28" t="str">
        <f ca="1">IF(NOTA[[#This Row],[ID_H]]="","",IF(NOTA[[#This Row],[FAKTUR]]="",INDIRECT(ADDRESS(ROW()-1,COLUMN())),NOTA[[#This Row],[FAKTUR]]))</f>
        <v>UNTANA</v>
      </c>
      <c r="AJ694" s="38" t="str">
        <f ca="1">IF(NOTA[[#This Row],[ID]]="","",COUNTIF(NOTA[ID_H],NOTA[[#This Row],[ID_H]]))</f>
        <v/>
      </c>
      <c r="AK694" s="38">
        <f ca="1">IF(NOTA[[#This Row],[TGL.NOTA]]="",IF(NOTA[[#This Row],[SUPPLIER_H]]="","",AK693),MONTH(NOTA[[#This Row],[TGL.NOTA]]))</f>
        <v>1</v>
      </c>
      <c r="AL694" s="38" t="str">
        <f>LOWER(SUBSTITUTE(SUBSTITUTE(SUBSTITUTE(SUBSTITUTE(SUBSTITUTE(SUBSTITUTE(SUBSTITUTE(SUBSTITUTE(SUBSTITUTE(NOTA[NAMA BARANG]," ",),".",""),"-",""),"(",""),")",""),",",""),"/",""),"""",""),"+",""))</f>
        <v>pch797</v>
      </c>
      <c r="AM694" s="38" t="str">
        <f>IF(NOTA[C]="",NOTA[[#This Row],[CONCAT1]]&amp;NOTA[[#This Row],[HARGA SATUAN]],NOTA[[#This Row],[CONCAT1]]&amp;NOTA[[#This Row],[HARGA/ CTN_H]]&amp;NOTA[[#This Row],[DISC 1]]&amp;NOTA[[#This Row],[DISC 2]])</f>
        <v>pch7972952000</v>
      </c>
      <c r="AN694" s="184">
        <f>IF(NOTA[[#This Row],[CONCAT1]]="","",MATCH(NOTA[[#This Row],[CONCAT1]],[1]!db[NB NOTA_C],0)+1)</f>
        <v>1640</v>
      </c>
    </row>
    <row r="695" spans="1:40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Row],[CEK_EXP]]&lt;D694,"err","")</f>
        <v/>
      </c>
      <c r="D695" s="29">
        <f>IF(NOTA[[#This Row],[TANGGAL]]="",D694,NOTA[[#This Row],[TANGGAL]])</f>
        <v>44950</v>
      </c>
      <c r="E695" s="29">
        <f ca="1">IF(NOTA[[#This Row],[NAMA BARANG]]="","",INDEX(NOTA[ID],MATCH(,INDIRECT(ADDRESS(ROW(NOTA[ID]),COLUMN(NOTA[ID]))&amp;":"&amp;ADDRESS(ROW(),COLUMN(NOTA[ID]))),-1)))</f>
        <v>130</v>
      </c>
      <c r="F695" s="30"/>
      <c r="G695" s="26"/>
      <c r="H695" s="26"/>
      <c r="I695" s="31"/>
      <c r="J695" s="26"/>
      <c r="K695" s="33"/>
      <c r="L695" s="32"/>
      <c r="M695" s="26" t="s">
        <v>825</v>
      </c>
      <c r="N695" s="34">
        <v>1</v>
      </c>
      <c r="O695" s="32">
        <v>32</v>
      </c>
      <c r="P695" s="26" t="s">
        <v>90</v>
      </c>
      <c r="Q695" s="28">
        <v>75000</v>
      </c>
      <c r="R695" s="46"/>
      <c r="S695" s="39" t="s">
        <v>826</v>
      </c>
      <c r="T695" s="35"/>
      <c r="U695" s="35"/>
      <c r="V695" s="36"/>
      <c r="W695" s="37"/>
      <c r="X695" s="36">
        <f>IF(NOTA[[#This Row],[HARGA/ CTN]]="",NOTA[[#This Row],[JUMLAH_H]],NOTA[[#This Row],[HARGA/ CTN]]*IF(NOTA[[#This Row],[C]]="",0,NOTA[[#This Row],[C]]))</f>
        <v>2400000</v>
      </c>
      <c r="Y695" s="36">
        <f>IF(NOTA[[#This Row],[JUMLAH]]="","",NOTA[[#This Row],[JUMLAH]]*NOTA[[#This Row],[DISC 1]])</f>
        <v>0</v>
      </c>
      <c r="Z695" s="36">
        <f>IF(NOTA[[#This Row],[JUMLAH]]="","",(NOTA[[#This Row],[JUMLAH]]-NOTA[[#This Row],[DISC 1-]])*NOTA[[#This Row],[DISC 2]])</f>
        <v>0</v>
      </c>
      <c r="AA695" s="36">
        <f>IF(NOTA[[#This Row],[JUMLAH]]="","",NOTA[[#This Row],[DISC 1-]]+NOTA[[#This Row],[DISC 2-]])</f>
        <v>0</v>
      </c>
      <c r="AB695" s="36">
        <f>IF(NOTA[[#This Row],[JUMLAH]]="","",NOTA[[#This Row],[JUMLAH]]-NOTA[[#This Row],[DISC]])</f>
        <v>2400000</v>
      </c>
      <c r="AC6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11832000</v>
      </c>
      <c r="AE695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95" s="36">
        <f>IF(OR(NOTA[[#This Row],[QTY]]="",NOTA[[#This Row],[HARGA SATUAN]]="",),"",NOTA[[#This Row],[QTY]]*NOTA[[#This Row],[HARGA SATUAN]])</f>
        <v>2400000</v>
      </c>
      <c r="AG695" s="33">
        <f ca="1">IF(NOTA[ID_H]="","",INDEX(NOTA[TANGGAL],MATCH(,INDIRECT(ADDRESS(ROW(NOTA[TANGGAL]),COLUMN(NOTA[TANGGAL]))&amp;":"&amp;ADDRESS(ROW(),COLUMN(NOTA[TANGGAL]))),-1)))</f>
        <v>44950</v>
      </c>
      <c r="AH695" s="28" t="str">
        <f ca="1">IF(NOTA[[#This Row],[NAMA BARANG]]="","",INDEX(NOTA[SUPPLIER],MATCH(,INDIRECT(ADDRESS(ROW(NOTA[ID]),COLUMN(NOTA[ID]))&amp;":"&amp;ADDRESS(ROW(),COLUMN(NOTA[ID]))),-1)))</f>
        <v>HONGSIAN</v>
      </c>
      <c r="AI695" s="28" t="str">
        <f ca="1">IF(NOTA[[#This Row],[ID_H]]="","",IF(NOTA[[#This Row],[FAKTUR]]="",INDIRECT(ADDRESS(ROW()-1,COLUMN())),NOTA[[#This Row],[FAKTUR]]))</f>
        <v>UNTANA</v>
      </c>
      <c r="AJ695" s="38" t="str">
        <f ca="1">IF(NOTA[[#This Row],[ID]]="","",COUNTIF(NOTA[ID_H],NOTA[[#This Row],[ID_H]]))</f>
        <v/>
      </c>
      <c r="AK695" s="38">
        <f ca="1">IF(NOTA[[#This Row],[TGL.NOTA]]="",IF(NOTA[[#This Row],[SUPPLIER_H]]="","",AK694),MONTH(NOTA[[#This Row],[TGL.NOTA]]))</f>
        <v>1</v>
      </c>
      <c r="AL695" s="38" t="str">
        <f>LOWER(SUBSTITUTE(SUBSTITUTE(SUBSTITUTE(SUBSTITUTE(SUBSTITUTE(SUBSTITUTE(SUBSTITUTE(SUBSTITUTE(SUBSTITUTE(NOTA[NAMA BARANG]," ",),".",""),"-",""),"(",""),")",""),",",""),"/",""),"""",""),"+",""))</f>
        <v>pc823</v>
      </c>
      <c r="AM695" s="38" t="str">
        <f>IF(NOTA[C]="",NOTA[[#This Row],[CONCAT1]]&amp;NOTA[[#This Row],[HARGA SATUAN]],NOTA[[#This Row],[CONCAT1]]&amp;NOTA[[#This Row],[HARGA/ CTN_H]]&amp;NOTA[[#This Row],[DISC 1]]&amp;NOTA[[#This Row],[DISC 2]])</f>
        <v>pc8232400000</v>
      </c>
      <c r="AN695" s="184">
        <f>IF(NOTA[[#This Row],[CONCAT1]]="","",MATCH(NOTA[[#This Row],[CONCAT1]],[1]!db[NB NOTA_C],0)+1)</f>
        <v>1633</v>
      </c>
    </row>
    <row r="696" spans="1:40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Row],[CEK_EXP]]&lt;D695,"err","")</f>
        <v/>
      </c>
      <c r="D696" s="29">
        <f>IF(NOTA[[#This Row],[TANGGAL]]="",D695,NOTA[[#This Row],[TANGGAL]])</f>
        <v>44950</v>
      </c>
      <c r="E696" s="29" t="str">
        <f ca="1">IF(NOTA[[#This Row],[NAMA BARANG]]="","",INDEX(NOTA[ID],MATCH(,INDIRECT(ADDRESS(ROW(NOTA[ID]),COLUMN(NOTA[ID]))&amp;":"&amp;ADDRESS(ROW(),COLUMN(NOTA[ID]))),-1)))</f>
        <v/>
      </c>
      <c r="F696" s="30"/>
      <c r="G696" s="32"/>
      <c r="H696" s="32"/>
      <c r="I696" s="55"/>
      <c r="J696" s="32"/>
      <c r="K696" s="33"/>
      <c r="L696" s="32"/>
      <c r="M696" s="26"/>
      <c r="N696" s="34"/>
      <c r="O696" s="32"/>
      <c r="P696" s="32"/>
      <c r="Q696" s="28"/>
      <c r="R696" s="46"/>
      <c r="S696" s="39"/>
      <c r="T696" s="35"/>
      <c r="U696" s="35"/>
      <c r="V696" s="36"/>
      <c r="W696" s="37"/>
      <c r="X696" s="36" t="str">
        <f>IF(NOTA[[#This Row],[HARGA/ CTN]]="",NOTA[[#This Row],[JUMLAH_H]],NOTA[[#This Row],[HARGA/ CTN]]*IF(NOTA[[#This Row],[C]]="",0,NOTA[[#This Row],[C]]))</f>
        <v/>
      </c>
      <c r="Y696" s="36" t="str">
        <f>IF(NOTA[[#This Row],[JUMLAH]]="","",NOTA[[#This Row],[JUMLAH]]*NOTA[[#This Row],[DISC 1]])</f>
        <v/>
      </c>
      <c r="Z696" s="36" t="str">
        <f>IF(NOTA[[#This Row],[JUMLAH]]="","",(NOTA[[#This Row],[JUMLAH]]-NOTA[[#This Row],[DISC 1-]])*NOTA[[#This Row],[DISC 2]])</f>
        <v/>
      </c>
      <c r="AA696" s="36" t="str">
        <f>IF(NOTA[[#This Row],[JUMLAH]]="","",NOTA[[#This Row],[DISC 1-]]+NOTA[[#This Row],[DISC 2-]])</f>
        <v/>
      </c>
      <c r="AB696" s="36" t="str">
        <f>IF(NOTA[[#This Row],[JUMLAH]]="","",NOTA[[#This Row],[JUMLAH]]-NOTA[[#This Row],[DISC]])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36" t="str">
        <f>IF(OR(NOTA[[#This Row],[QTY]]="",NOTA[[#This Row],[HARGA SATUAN]]="",),"",NOTA[[#This Row],[QTY]]*NOTA[[#This Row],[HARGA SATUAN]])</f>
        <v/>
      </c>
      <c r="AG696" s="33" t="str">
        <f ca="1">IF(NOTA[ID_H]="","",INDEX(NOTA[TANGGAL],MATCH(,INDIRECT(ADDRESS(ROW(NOTA[TANGGAL]),COLUMN(NOTA[TANGGAL]))&amp;":"&amp;ADDRESS(ROW(),COLUMN(NOTA[TANGGAL]))),-1)))</f>
        <v/>
      </c>
      <c r="AH696" s="28" t="str">
        <f ca="1">IF(NOTA[[#This Row],[NAMA BARANG]]="","",INDEX(NOTA[SUPPLIER],MATCH(,INDIRECT(ADDRESS(ROW(NOTA[ID]),COLUMN(NOTA[ID]))&amp;":"&amp;ADDRESS(ROW(),COLUMN(NOTA[ID]))),-1)))</f>
        <v/>
      </c>
      <c r="AI696" s="28" t="str">
        <f ca="1">IF(NOTA[[#This Row],[ID_H]]="","",IF(NOTA[[#This Row],[FAKTUR]]="",INDIRECT(ADDRESS(ROW()-1,COLUMN())),NOTA[[#This Row],[FAKTUR]]))</f>
        <v/>
      </c>
      <c r="AJ696" s="38" t="str">
        <f ca="1">IF(NOTA[[#This Row],[ID]]="","",COUNTIF(NOTA[ID_H],NOTA[[#This Row],[ID_H]]))</f>
        <v/>
      </c>
      <c r="AK696" s="38" t="str">
        <f ca="1">IF(NOTA[[#This Row],[TGL.NOTA]]="",IF(NOTA[[#This Row],[SUPPLIER_H]]="","",AK695),MONTH(NOTA[[#This Row],[TGL.NOTA]]))</f>
        <v/>
      </c>
      <c r="AL696" s="38" t="str">
        <f>LOWER(SUBSTITUTE(SUBSTITUTE(SUBSTITUTE(SUBSTITUTE(SUBSTITUTE(SUBSTITUTE(SUBSTITUTE(SUBSTITUTE(SUBSTITUTE(NOTA[NAMA BARANG]," ",),".",""),"-",""),"(",""),")",""),",",""),"/",""),"""",""),"+",""))</f>
        <v/>
      </c>
      <c r="AM696" s="38" t="str">
        <f>IF(NOTA[C]="",NOTA[[#This Row],[CONCAT1]]&amp;NOTA[[#This Row],[HARGA SATUAN]],NOTA[[#This Row],[CONCAT1]]&amp;NOTA[[#This Row],[HARGA/ CTN_H]]&amp;NOTA[[#This Row],[DISC 1]]&amp;NOTA[[#This Row],[DISC 2]])</f>
        <v/>
      </c>
      <c r="AN696" s="184" t="str">
        <f>IF(NOTA[[#This Row],[CONCAT1]]="","",MATCH(NOTA[[#This Row],[CONCAT1]],[1]!db[NB NOTA_C],0)+1)</f>
        <v/>
      </c>
    </row>
    <row r="697" spans="1:40" ht="20.100000000000001" customHeight="1" x14ac:dyDescent="0.25">
      <c r="A697" s="57">
        <f ca="1">IF(INDIRECT(ADDRESS(ROW()-1,COLUMN(NOTA[[#Headers],[ID]])))="ID",1,IF(NOTA[[#This Row],[FAKTUR]]="","",COUNT(INDIRECT(ADDRESS(ROW(NOTA[ID]),COLUMN(NOTA[ID]))&amp;":"&amp;ADDRESS(ROW()-1,COLUMN(NOTA[ID]))))+1))</f>
        <v>131</v>
      </c>
      <c r="B69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SUR_2401_280-6</v>
      </c>
      <c r="C697" s="58" t="str">
        <f>IF(NOTA[[#This Row],[CEK_EXP]]&lt;D696,"err","")</f>
        <v/>
      </c>
      <c r="D697" s="58">
        <f>IF(NOTA[[#This Row],[TANGGAL]]="",D696,NOTA[[#This Row],[TANGGAL]])</f>
        <v>44950</v>
      </c>
      <c r="E697" s="58">
        <f ca="1">IF(NOTA[[#This Row],[NAMA BARANG]]="","",INDEX(NOTA[ID],MATCH(,INDIRECT(ADDRESS(ROW(NOTA[ID]),COLUMN(NOTA[ID]))&amp;":"&amp;ADDRESS(ROW(),COLUMN(NOTA[ID]))),-1)))</f>
        <v>131</v>
      </c>
      <c r="F697" s="61"/>
      <c r="G697" s="26" t="s">
        <v>243</v>
      </c>
      <c r="H697" s="26" t="s">
        <v>87</v>
      </c>
      <c r="I697" s="31" t="s">
        <v>827</v>
      </c>
      <c r="J697" s="62"/>
      <c r="K697" s="60">
        <v>44940</v>
      </c>
      <c r="L697" s="62"/>
      <c r="M697" s="26" t="s">
        <v>829</v>
      </c>
      <c r="N697" s="34">
        <v>5</v>
      </c>
      <c r="O697" s="32">
        <v>1200</v>
      </c>
      <c r="P697" s="26" t="s">
        <v>131</v>
      </c>
      <c r="Q697" s="28">
        <v>6000</v>
      </c>
      <c r="R697" s="46"/>
      <c r="S697" s="39" t="s">
        <v>828</v>
      </c>
      <c r="T697" s="35"/>
      <c r="U697" s="117"/>
      <c r="V697" s="59"/>
      <c r="W697" s="37"/>
      <c r="X697" s="59">
        <f>IF(NOTA[[#This Row],[HARGA/ CTN]]="",NOTA[[#This Row],[JUMLAH_H]],NOTA[[#This Row],[HARGA/ CTN]]*IF(NOTA[[#This Row],[C]]="",0,NOTA[[#This Row],[C]]))</f>
        <v>7200000</v>
      </c>
      <c r="Y697" s="59">
        <f>IF(NOTA[[#This Row],[JUMLAH]]="","",NOTA[[#This Row],[JUMLAH]]*NOTA[[#This Row],[DISC 1]])</f>
        <v>0</v>
      </c>
      <c r="Z697" s="59">
        <f>IF(NOTA[[#This Row],[JUMLAH]]="","",(NOTA[[#This Row],[JUMLAH]]-NOTA[[#This Row],[DISC 1-]])*NOTA[[#This Row],[DISC 2]])</f>
        <v>0</v>
      </c>
      <c r="AA697" s="59">
        <f>IF(NOTA[[#This Row],[JUMLAH]]="","",NOTA[[#This Row],[DISC 1-]]+NOTA[[#This Row],[DISC 2-]])</f>
        <v>0</v>
      </c>
      <c r="AB697" s="59">
        <f>IF(NOTA[[#This Row],[JUMLAH]]="","",NOTA[[#This Row],[JUMLAH]]-NOTA[[#This Row],[DISC]])</f>
        <v>7200000</v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7" s="59">
        <f>IF(OR(NOTA[[#This Row],[QTY]]="",NOTA[[#This Row],[HARGA SATUAN]]="",),"",NOTA[[#This Row],[QTY]]*NOTA[[#This Row],[HARGA SATUAN]])</f>
        <v>7200000</v>
      </c>
      <c r="AG697" s="60">
        <f ca="1">IF(NOTA[ID_H]="","",INDEX(NOTA[TANGGAL],MATCH(,INDIRECT(ADDRESS(ROW(NOTA[TANGGAL]),COLUMN(NOTA[TANGGAL]))&amp;":"&amp;ADDRESS(ROW(),COLUMN(NOTA[TANGGAL]))),-1)))</f>
        <v>44950</v>
      </c>
      <c r="AH697" s="57" t="str">
        <f ca="1">IF(NOTA[[#This Row],[NAMA BARANG]]="","",INDEX(NOTA[SUPPLIER],MATCH(,INDIRECT(ADDRESS(ROW(NOTA[ID]),COLUMN(NOTA[ID]))&amp;":"&amp;ADDRESS(ROW(),COLUMN(NOTA[ID]))),-1)))</f>
        <v>SURYA PRATAMA</v>
      </c>
      <c r="AI697" s="57" t="str">
        <f ca="1">IF(NOTA[[#This Row],[ID_H]]="","",IF(NOTA[[#This Row],[FAKTUR]]="",INDIRECT(ADDRESS(ROW()-1,COLUMN())),NOTA[[#This Row],[FAKTUR]]))</f>
        <v>UNTANA</v>
      </c>
      <c r="AJ697" s="38">
        <f ca="1">IF(NOTA[[#This Row],[ID]]="","",COUNTIF(NOTA[ID_H],NOTA[[#This Row],[ID_H]]))</f>
        <v>6</v>
      </c>
      <c r="AK697" s="38">
        <f>IF(NOTA[[#This Row],[TGL.NOTA]]="",IF(NOTA[[#This Row],[SUPPLIER_H]]="","",AK696),MONTH(NOTA[[#This Row],[TGL.NOTA]]))</f>
        <v>1</v>
      </c>
      <c r="AL697" s="38" t="str">
        <f>LOWER(SUBSTITUTE(SUBSTITUTE(SUBSTITUTE(SUBSTITUTE(SUBSTITUTE(SUBSTITUTE(SUBSTITUTE(SUBSTITUTE(SUBSTITUTE(NOTA[NAMA BARANG]," ",),".",""),"-",""),"(",""),")",""),",",""),"/",""),"""",""),"+",""))</f>
        <v>refillgelfancyvrg2015princess</v>
      </c>
      <c r="AM697" s="38" t="str">
        <f>IF(NOTA[C]="",NOTA[[#This Row],[CONCAT1]]&amp;NOTA[[#This Row],[HARGA SATUAN]],NOTA[[#This Row],[CONCAT1]]&amp;NOTA[[#This Row],[HARGA/ CTN_H]]&amp;NOTA[[#This Row],[DISC 1]]&amp;NOTA[[#This Row],[DISC 2]])</f>
        <v>refillgelfancyvrg2015princess1440000</v>
      </c>
      <c r="AN697" s="184">
        <f>IF(NOTA[[#This Row],[CONCAT1]]="","",MATCH(NOTA[[#This Row],[CONCAT1]],[1]!db[NB NOTA_C],0)+1)</f>
        <v>1898</v>
      </c>
    </row>
    <row r="698" spans="1:40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Row],[CEK_EXP]]&lt;D697,"err","")</f>
        <v/>
      </c>
      <c r="D698" s="58">
        <f>IF(NOTA[[#This Row],[TANGGAL]]="",D697,NOTA[[#This Row],[TANGGAL]])</f>
        <v>44950</v>
      </c>
      <c r="E698" s="58">
        <f ca="1">IF(NOTA[[#This Row],[NAMA BARANG]]="","",INDEX(NOTA[ID],MATCH(,INDIRECT(ADDRESS(ROW(NOTA[ID]),COLUMN(NOTA[ID]))&amp;":"&amp;ADDRESS(ROW(),COLUMN(NOTA[ID]))),-1)))</f>
        <v>131</v>
      </c>
      <c r="F698" s="61"/>
      <c r="G698" s="62"/>
      <c r="H698" s="62"/>
      <c r="I698" s="107"/>
      <c r="J698" s="62"/>
      <c r="K698" s="60"/>
      <c r="L698" s="62"/>
      <c r="M698" s="26" t="s">
        <v>830</v>
      </c>
      <c r="N698" s="63">
        <v>5</v>
      </c>
      <c r="O698" s="62">
        <v>1200</v>
      </c>
      <c r="P698" s="26" t="s">
        <v>131</v>
      </c>
      <c r="Q698" s="57">
        <v>6000</v>
      </c>
      <c r="R698" s="64"/>
      <c r="S698" s="39" t="s">
        <v>828</v>
      </c>
      <c r="T698" s="117"/>
      <c r="U698" s="117"/>
      <c r="V698" s="59"/>
      <c r="W698" s="37"/>
      <c r="X698" s="59">
        <f>IF(NOTA[[#This Row],[HARGA/ CTN]]="",NOTA[[#This Row],[JUMLAH_H]],NOTA[[#This Row],[HARGA/ CTN]]*IF(NOTA[[#This Row],[C]]="",0,NOTA[[#This Row],[C]]))</f>
        <v>7200000</v>
      </c>
      <c r="Y698" s="59">
        <f>IF(NOTA[[#This Row],[JUMLAH]]="","",NOTA[[#This Row],[JUMLAH]]*NOTA[[#This Row],[DISC 1]])</f>
        <v>0</v>
      </c>
      <c r="Z698" s="59">
        <f>IF(NOTA[[#This Row],[JUMLAH]]="","",(NOTA[[#This Row],[JUMLAH]]-NOTA[[#This Row],[DISC 1-]])*NOTA[[#This Row],[DISC 2]])</f>
        <v>0</v>
      </c>
      <c r="AA698" s="59">
        <f>IF(NOTA[[#This Row],[JUMLAH]]="","",NOTA[[#This Row],[DISC 1-]]+NOTA[[#This Row],[DISC 2-]])</f>
        <v>0</v>
      </c>
      <c r="AB698" s="59">
        <f>IF(NOTA[[#This Row],[JUMLAH]]="","",NOTA[[#This Row],[JUMLAH]]-NOTA[[#This Row],[DISC]])</f>
        <v>7200000</v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8" s="59">
        <f>IF(OR(NOTA[[#This Row],[QTY]]="",NOTA[[#This Row],[HARGA SATUAN]]="",),"",NOTA[[#This Row],[QTY]]*NOTA[[#This Row],[HARGA SATUAN]])</f>
        <v>7200000</v>
      </c>
      <c r="AG698" s="60">
        <f ca="1">IF(NOTA[ID_H]="","",INDEX(NOTA[TANGGAL],MATCH(,INDIRECT(ADDRESS(ROW(NOTA[TANGGAL]),COLUMN(NOTA[TANGGAL]))&amp;":"&amp;ADDRESS(ROW(),COLUMN(NOTA[TANGGAL]))),-1)))</f>
        <v>44950</v>
      </c>
      <c r="AH698" s="57" t="str">
        <f ca="1">IF(NOTA[[#This Row],[NAMA BARANG]]="","",INDEX(NOTA[SUPPLIER],MATCH(,INDIRECT(ADDRESS(ROW(NOTA[ID]),COLUMN(NOTA[ID]))&amp;":"&amp;ADDRESS(ROW(),COLUMN(NOTA[ID]))),-1)))</f>
        <v>SURYA PRATAMA</v>
      </c>
      <c r="AI698" s="57" t="str">
        <f ca="1">IF(NOTA[[#This Row],[ID_H]]="","",IF(NOTA[[#This Row],[FAKTUR]]="",INDIRECT(ADDRESS(ROW()-1,COLUMN())),NOTA[[#This Row],[FAKTUR]]))</f>
        <v>UNTANA</v>
      </c>
      <c r="AJ698" s="38" t="str">
        <f ca="1">IF(NOTA[[#This Row],[ID]]="","",COUNTIF(NOTA[ID_H],NOTA[[#This Row],[ID_H]]))</f>
        <v/>
      </c>
      <c r="AK698" s="38">
        <f ca="1">IF(NOTA[[#This Row],[TGL.NOTA]]="",IF(NOTA[[#This Row],[SUPPLIER_H]]="","",AK697),MONTH(NOTA[[#This Row],[TGL.NOTA]]))</f>
        <v>1</v>
      </c>
      <c r="AL698" s="38" t="str">
        <f>LOWER(SUBSTITUTE(SUBSTITUTE(SUBSTITUTE(SUBSTITUTE(SUBSTITUTE(SUBSTITUTE(SUBSTITUTE(SUBSTITUTE(SUBSTITUTE(NOTA[NAMA BARANG]," ",),".",""),"-",""),"(",""),")",""),",",""),"/",""),"""",""),"+",""))</f>
        <v>refillgelfancyvrg2016animalcarnival</v>
      </c>
      <c r="AM698" s="38" t="str">
        <f>IF(NOTA[C]="",NOTA[[#This Row],[CONCAT1]]&amp;NOTA[[#This Row],[HARGA SATUAN]],NOTA[[#This Row],[CONCAT1]]&amp;NOTA[[#This Row],[HARGA/ CTN_H]]&amp;NOTA[[#This Row],[DISC 1]]&amp;NOTA[[#This Row],[DISC 2]])</f>
        <v>refillgelfancyvrg2016animalcarnival1440000</v>
      </c>
      <c r="AN698" s="184">
        <f>IF(NOTA[[#This Row],[CONCAT1]]="","",MATCH(NOTA[[#This Row],[CONCAT1]],[1]!db[NB NOTA_C],0)+1)</f>
        <v>1899</v>
      </c>
    </row>
    <row r="699" spans="1:40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Row],[CEK_EXP]]&lt;D698,"err","")</f>
        <v/>
      </c>
      <c r="D699" s="58">
        <f>IF(NOTA[[#This Row],[TANGGAL]]="",D698,NOTA[[#This Row],[TANGGAL]])</f>
        <v>44950</v>
      </c>
      <c r="E699" s="58">
        <f ca="1">IF(NOTA[[#This Row],[NAMA BARANG]]="","",INDEX(NOTA[ID],MATCH(,INDIRECT(ADDRESS(ROW(NOTA[ID]),COLUMN(NOTA[ID]))&amp;":"&amp;ADDRESS(ROW(),COLUMN(NOTA[ID]))),-1)))</f>
        <v>131</v>
      </c>
      <c r="F699" s="61"/>
      <c r="G699" s="62"/>
      <c r="H699" s="62"/>
      <c r="I699" s="107"/>
      <c r="J699" s="62"/>
      <c r="K699" s="60"/>
      <c r="L699" s="62"/>
      <c r="M699" s="26" t="s">
        <v>843</v>
      </c>
      <c r="N699" s="63">
        <v>5</v>
      </c>
      <c r="O699" s="62">
        <v>1200</v>
      </c>
      <c r="P699" s="26" t="s">
        <v>131</v>
      </c>
      <c r="Q699" s="57">
        <v>6000</v>
      </c>
      <c r="R699" s="64"/>
      <c r="S699" s="39" t="s">
        <v>828</v>
      </c>
      <c r="T699" s="117"/>
      <c r="U699" s="117"/>
      <c r="V699" s="59"/>
      <c r="W699" s="37"/>
      <c r="X699" s="59">
        <f>IF(NOTA[[#This Row],[HARGA/ CTN]]="",NOTA[[#This Row],[JUMLAH_H]],NOTA[[#This Row],[HARGA/ CTN]]*IF(NOTA[[#This Row],[C]]="",0,NOTA[[#This Row],[C]]))</f>
        <v>7200000</v>
      </c>
      <c r="Y699" s="59">
        <f>IF(NOTA[[#This Row],[JUMLAH]]="","",NOTA[[#This Row],[JUMLAH]]*NOTA[[#This Row],[DISC 1]])</f>
        <v>0</v>
      </c>
      <c r="Z699" s="59">
        <f>IF(NOTA[[#This Row],[JUMLAH]]="","",(NOTA[[#This Row],[JUMLAH]]-NOTA[[#This Row],[DISC 1-]])*NOTA[[#This Row],[DISC 2]])</f>
        <v>0</v>
      </c>
      <c r="AA699" s="59">
        <f>IF(NOTA[[#This Row],[JUMLAH]]="","",NOTA[[#This Row],[DISC 1-]]+NOTA[[#This Row],[DISC 2-]])</f>
        <v>0</v>
      </c>
      <c r="AB699" s="59">
        <f>IF(NOTA[[#This Row],[JUMLAH]]="","",NOTA[[#This Row],[JUMLAH]]-NOTA[[#This Row],[DISC]])</f>
        <v>7200000</v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59">
        <f>IF(OR(NOTA[[#This Row],[QTY]]="",NOTA[[#This Row],[HARGA SATUAN]]="",),"",NOTA[[#This Row],[QTY]]*NOTA[[#This Row],[HARGA SATUAN]])</f>
        <v>7200000</v>
      </c>
      <c r="AG699" s="60">
        <f ca="1">IF(NOTA[ID_H]="","",INDEX(NOTA[TANGGAL],MATCH(,INDIRECT(ADDRESS(ROW(NOTA[TANGGAL]),COLUMN(NOTA[TANGGAL]))&amp;":"&amp;ADDRESS(ROW(),COLUMN(NOTA[TANGGAL]))),-1)))</f>
        <v>44950</v>
      </c>
      <c r="AH699" s="57" t="str">
        <f ca="1">IF(NOTA[[#This Row],[NAMA BARANG]]="","",INDEX(NOTA[SUPPLIER],MATCH(,INDIRECT(ADDRESS(ROW(NOTA[ID]),COLUMN(NOTA[ID]))&amp;":"&amp;ADDRESS(ROW(),COLUMN(NOTA[ID]))),-1)))</f>
        <v>SURYA PRATAMA</v>
      </c>
      <c r="AI699" s="57" t="str">
        <f ca="1">IF(NOTA[[#This Row],[ID_H]]="","",IF(NOTA[[#This Row],[FAKTUR]]="",INDIRECT(ADDRESS(ROW()-1,COLUMN())),NOTA[[#This Row],[FAKTUR]]))</f>
        <v>UNTANA</v>
      </c>
      <c r="AJ699" s="38" t="str">
        <f ca="1">IF(NOTA[[#This Row],[ID]]="","",COUNTIF(NOTA[ID_H],NOTA[[#This Row],[ID_H]]))</f>
        <v/>
      </c>
      <c r="AK699" s="38">
        <f ca="1">IF(NOTA[[#This Row],[TGL.NOTA]]="",IF(NOTA[[#This Row],[SUPPLIER_H]]="","",AK698),MONTH(NOTA[[#This Row],[TGL.NOTA]]))</f>
        <v>1</v>
      </c>
      <c r="AL699" s="38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99" s="38" t="str">
        <f>IF(NOTA[C]="",NOTA[[#This Row],[CONCAT1]]&amp;NOTA[[#This Row],[HARGA SATUAN]],NOTA[[#This Row],[CONCAT1]]&amp;NOTA[[#This Row],[HARGA/ CTN_H]]&amp;NOTA[[#This Row],[DISC 1]]&amp;NOTA[[#This Row],[DISC 2]])</f>
        <v>refillgelfancyvrg2017superhero1440000</v>
      </c>
      <c r="AN699" s="184">
        <f>IF(NOTA[[#This Row],[CONCAT1]]="","",MATCH(NOTA[[#This Row],[CONCAT1]],[1]!db[NB NOTA_C],0)+1)</f>
        <v>1900</v>
      </c>
    </row>
    <row r="700" spans="1:40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Row],[CEK_EXP]]&lt;D699,"err","")</f>
        <v/>
      </c>
      <c r="D700" s="58">
        <f>IF(NOTA[[#This Row],[TANGGAL]]="",D699,NOTA[[#This Row],[TANGGAL]])</f>
        <v>44950</v>
      </c>
      <c r="E700" s="58">
        <f ca="1">IF(NOTA[[#This Row],[NAMA BARANG]]="","",INDEX(NOTA[ID],MATCH(,INDIRECT(ADDRESS(ROW(NOTA[ID]),COLUMN(NOTA[ID]))&amp;":"&amp;ADDRESS(ROW(),COLUMN(NOTA[ID]))),-1)))</f>
        <v>131</v>
      </c>
      <c r="F700" s="61"/>
      <c r="G700" s="62"/>
      <c r="H700" s="62"/>
      <c r="I700" s="107"/>
      <c r="J700" s="62"/>
      <c r="K700" s="60"/>
      <c r="L700" s="62"/>
      <c r="M700" s="26" t="s">
        <v>831</v>
      </c>
      <c r="N700" s="63">
        <v>5</v>
      </c>
      <c r="O700" s="62">
        <v>1200</v>
      </c>
      <c r="P700" s="26" t="s">
        <v>131</v>
      </c>
      <c r="Q700" s="57">
        <v>6000</v>
      </c>
      <c r="R700" s="64"/>
      <c r="S700" s="39" t="s">
        <v>828</v>
      </c>
      <c r="T700" s="117"/>
      <c r="U700" s="117"/>
      <c r="V700" s="59"/>
      <c r="W700" s="37"/>
      <c r="X700" s="59">
        <f>IF(NOTA[[#This Row],[HARGA/ CTN]]="",NOTA[[#This Row],[JUMLAH_H]],NOTA[[#This Row],[HARGA/ CTN]]*IF(NOTA[[#This Row],[C]]="",0,NOTA[[#This Row],[C]]))</f>
        <v>7200000</v>
      </c>
      <c r="Y700" s="59">
        <f>IF(NOTA[[#This Row],[JUMLAH]]="","",NOTA[[#This Row],[JUMLAH]]*NOTA[[#This Row],[DISC 1]])</f>
        <v>0</v>
      </c>
      <c r="Z700" s="59">
        <f>IF(NOTA[[#This Row],[JUMLAH]]="","",(NOTA[[#This Row],[JUMLAH]]-NOTA[[#This Row],[DISC 1-]])*NOTA[[#This Row],[DISC 2]])</f>
        <v>0</v>
      </c>
      <c r="AA700" s="59">
        <f>IF(NOTA[[#This Row],[JUMLAH]]="","",NOTA[[#This Row],[DISC 1-]]+NOTA[[#This Row],[DISC 2-]])</f>
        <v>0</v>
      </c>
      <c r="AB700" s="59">
        <f>IF(NOTA[[#This Row],[JUMLAH]]="","",NOTA[[#This Row],[JUMLAH]]-NOTA[[#This Row],[DISC]])</f>
        <v>7200000</v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00" s="59">
        <f>IF(OR(NOTA[[#This Row],[QTY]]="",NOTA[[#This Row],[HARGA SATUAN]]="",),"",NOTA[[#This Row],[QTY]]*NOTA[[#This Row],[HARGA SATUAN]])</f>
        <v>7200000</v>
      </c>
      <c r="AG700" s="60">
        <f ca="1">IF(NOTA[ID_H]="","",INDEX(NOTA[TANGGAL],MATCH(,INDIRECT(ADDRESS(ROW(NOTA[TANGGAL]),COLUMN(NOTA[TANGGAL]))&amp;":"&amp;ADDRESS(ROW(),COLUMN(NOTA[TANGGAL]))),-1)))</f>
        <v>44950</v>
      </c>
      <c r="AH700" s="57" t="str">
        <f ca="1">IF(NOTA[[#This Row],[NAMA BARANG]]="","",INDEX(NOTA[SUPPLIER],MATCH(,INDIRECT(ADDRESS(ROW(NOTA[ID]),COLUMN(NOTA[ID]))&amp;":"&amp;ADDRESS(ROW(),COLUMN(NOTA[ID]))),-1)))</f>
        <v>SURYA PRATAMA</v>
      </c>
      <c r="AI700" s="57" t="str">
        <f ca="1">IF(NOTA[[#This Row],[ID_H]]="","",IF(NOTA[[#This Row],[FAKTUR]]="",INDIRECT(ADDRESS(ROW()-1,COLUMN())),NOTA[[#This Row],[FAKTUR]]))</f>
        <v>UNTANA</v>
      </c>
      <c r="AJ700" s="38" t="str">
        <f ca="1">IF(NOTA[[#This Row],[ID]]="","",COUNTIF(NOTA[ID_H],NOTA[[#This Row],[ID_H]]))</f>
        <v/>
      </c>
      <c r="AK700" s="38">
        <f ca="1">IF(NOTA[[#This Row],[TGL.NOTA]]="",IF(NOTA[[#This Row],[SUPPLIER_H]]="","",AK699),MONTH(NOTA[[#This Row],[TGL.NOTA]]))</f>
        <v>1</v>
      </c>
      <c r="AL700" s="38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700" s="38" t="str">
        <f>IF(NOTA[C]="",NOTA[[#This Row],[CONCAT1]]&amp;NOTA[[#This Row],[HARGA SATUAN]],NOTA[[#This Row],[CONCAT1]]&amp;NOTA[[#This Row],[HARGA/ CTN_H]]&amp;NOTA[[#This Row],[DISC 1]]&amp;NOTA[[#This Row],[DISC 2]])</f>
        <v>refillgelfancyvrg2018tsumtsum1440000</v>
      </c>
      <c r="AN700" s="184">
        <f>IF(NOTA[[#This Row],[CONCAT1]]="","",MATCH(NOTA[[#This Row],[CONCAT1]],[1]!db[NB NOTA_C],0)+1)</f>
        <v>1901</v>
      </c>
    </row>
    <row r="701" spans="1:40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Row],[CEK_EXP]]&lt;D700,"err","")</f>
        <v/>
      </c>
      <c r="D701" s="58">
        <f>IF(NOTA[[#This Row],[TANGGAL]]="",D700,NOTA[[#This Row],[TANGGAL]])</f>
        <v>44950</v>
      </c>
      <c r="E701" s="58">
        <f ca="1">IF(NOTA[[#This Row],[NAMA BARANG]]="","",INDEX(NOTA[ID],MATCH(,INDIRECT(ADDRESS(ROW(NOTA[ID]),COLUMN(NOTA[ID]))&amp;":"&amp;ADDRESS(ROW(),COLUMN(NOTA[ID]))),-1)))</f>
        <v>131</v>
      </c>
      <c r="F701" s="61"/>
      <c r="G701" s="62"/>
      <c r="H701" s="62"/>
      <c r="I701" s="107"/>
      <c r="J701" s="62"/>
      <c r="K701" s="60"/>
      <c r="L701" s="62"/>
      <c r="M701" s="26" t="s">
        <v>832</v>
      </c>
      <c r="N701" s="63">
        <v>5</v>
      </c>
      <c r="O701" s="62">
        <v>1200</v>
      </c>
      <c r="P701" s="26" t="s">
        <v>131</v>
      </c>
      <c r="Q701" s="57">
        <v>6000</v>
      </c>
      <c r="R701" s="64"/>
      <c r="S701" s="39" t="s">
        <v>828</v>
      </c>
      <c r="T701" s="117"/>
      <c r="U701" s="117"/>
      <c r="V701" s="59"/>
      <c r="W701" s="37"/>
      <c r="X701" s="59">
        <f>IF(NOTA[[#This Row],[HARGA/ CTN]]="",NOTA[[#This Row],[JUMLAH_H]],NOTA[[#This Row],[HARGA/ CTN]]*IF(NOTA[[#This Row],[C]]="",0,NOTA[[#This Row],[C]]))</f>
        <v>7200000</v>
      </c>
      <c r="Y701" s="59">
        <f>IF(NOTA[[#This Row],[JUMLAH]]="","",NOTA[[#This Row],[JUMLAH]]*NOTA[[#This Row],[DISC 1]])</f>
        <v>0</v>
      </c>
      <c r="Z701" s="59">
        <f>IF(NOTA[[#This Row],[JUMLAH]]="","",(NOTA[[#This Row],[JUMLAH]]-NOTA[[#This Row],[DISC 1-]])*NOTA[[#This Row],[DISC 2]])</f>
        <v>0</v>
      </c>
      <c r="AA701" s="59">
        <f>IF(NOTA[[#This Row],[JUMLAH]]="","",NOTA[[#This Row],[DISC 1-]]+NOTA[[#This Row],[DISC 2-]])</f>
        <v>0</v>
      </c>
      <c r="AB701" s="59">
        <f>IF(NOTA[[#This Row],[JUMLAH]]="","",NOTA[[#This Row],[JUMLAH]]-NOTA[[#This Row],[DISC]])</f>
        <v>7200000</v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01" s="59">
        <f>IF(OR(NOTA[[#This Row],[QTY]]="",NOTA[[#This Row],[HARGA SATUAN]]="",),"",NOTA[[#This Row],[QTY]]*NOTA[[#This Row],[HARGA SATUAN]])</f>
        <v>7200000</v>
      </c>
      <c r="AG701" s="60">
        <f ca="1">IF(NOTA[ID_H]="","",INDEX(NOTA[TANGGAL],MATCH(,INDIRECT(ADDRESS(ROW(NOTA[TANGGAL]),COLUMN(NOTA[TANGGAL]))&amp;":"&amp;ADDRESS(ROW(),COLUMN(NOTA[TANGGAL]))),-1)))</f>
        <v>44950</v>
      </c>
      <c r="AH701" s="57" t="str">
        <f ca="1">IF(NOTA[[#This Row],[NAMA BARANG]]="","",INDEX(NOTA[SUPPLIER],MATCH(,INDIRECT(ADDRESS(ROW(NOTA[ID]),COLUMN(NOTA[ID]))&amp;":"&amp;ADDRESS(ROW(),COLUMN(NOTA[ID]))),-1)))</f>
        <v>SURYA PRATAMA</v>
      </c>
      <c r="AI701" s="57" t="str">
        <f ca="1">IF(NOTA[[#This Row],[ID_H]]="","",IF(NOTA[[#This Row],[FAKTUR]]="",INDIRECT(ADDRESS(ROW()-1,COLUMN())),NOTA[[#This Row],[FAKTUR]]))</f>
        <v>UNTANA</v>
      </c>
      <c r="AJ701" s="38" t="str">
        <f ca="1">IF(NOTA[[#This Row],[ID]]="","",COUNTIF(NOTA[ID_H],NOTA[[#This Row],[ID_H]]))</f>
        <v/>
      </c>
      <c r="AK701" s="38">
        <f ca="1">IF(NOTA[[#This Row],[TGL.NOTA]]="",IF(NOTA[[#This Row],[SUPPLIER_H]]="","",AK700),MONTH(NOTA[[#This Row],[TGL.NOTA]]))</f>
        <v>1</v>
      </c>
      <c r="AL701" s="38" t="str">
        <f>LOWER(SUBSTITUTE(SUBSTITUTE(SUBSTITUTE(SUBSTITUTE(SUBSTITUTE(SUBSTITUTE(SUBSTITUTE(SUBSTITUTE(SUBSTITUTE(NOTA[NAMA BARANG]," ",),".",""),"-",""),"(",""),")",""),",",""),"/",""),"""",""),"+",""))</f>
        <v>refillgelfancyvrg2019hellodoraemon</v>
      </c>
      <c r="AM701" s="38" t="str">
        <f>IF(NOTA[C]="",NOTA[[#This Row],[CONCAT1]]&amp;NOTA[[#This Row],[HARGA SATUAN]],NOTA[[#This Row],[CONCAT1]]&amp;NOTA[[#This Row],[HARGA/ CTN_H]]&amp;NOTA[[#This Row],[DISC 1]]&amp;NOTA[[#This Row],[DISC 2]])</f>
        <v>refillgelfancyvrg2019hellodoraemon1440000</v>
      </c>
      <c r="AN701" s="184">
        <f>IF(NOTA[[#This Row],[CONCAT1]]="","",MATCH(NOTA[[#This Row],[CONCAT1]],[1]!db[NB NOTA_C],0)+1)</f>
        <v>1902</v>
      </c>
    </row>
    <row r="702" spans="1:40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Row],[CEK_EXP]]&lt;D701,"err","")</f>
        <v/>
      </c>
      <c r="D702" s="58">
        <f>IF(NOTA[[#This Row],[TANGGAL]]="",D701,NOTA[[#This Row],[TANGGAL]])</f>
        <v>44950</v>
      </c>
      <c r="E702" s="58">
        <f ca="1">IF(NOTA[[#This Row],[NAMA BARANG]]="","",INDEX(NOTA[ID],MATCH(,INDIRECT(ADDRESS(ROW(NOTA[ID]),COLUMN(NOTA[ID]))&amp;":"&amp;ADDRESS(ROW(),COLUMN(NOTA[ID]))),-1)))</f>
        <v>131</v>
      </c>
      <c r="F702" s="61"/>
      <c r="G702" s="62"/>
      <c r="H702" s="62"/>
      <c r="I702" s="107"/>
      <c r="J702" s="62"/>
      <c r="K702" s="60"/>
      <c r="L702" s="62"/>
      <c r="M702" s="26" t="s">
        <v>833</v>
      </c>
      <c r="N702" s="63">
        <v>5</v>
      </c>
      <c r="O702" s="62">
        <v>1200</v>
      </c>
      <c r="P702" s="26" t="s">
        <v>131</v>
      </c>
      <c r="Q702" s="57">
        <v>6000</v>
      </c>
      <c r="R702" s="64"/>
      <c r="S702" s="39" t="s">
        <v>828</v>
      </c>
      <c r="T702" s="117"/>
      <c r="U702" s="117"/>
      <c r="V702" s="59"/>
      <c r="W702" s="37"/>
      <c r="X702" s="59">
        <f>IF(NOTA[[#This Row],[HARGA/ CTN]]="",NOTA[[#This Row],[JUMLAH_H]],NOTA[[#This Row],[HARGA/ CTN]]*IF(NOTA[[#This Row],[C]]="",0,NOTA[[#This Row],[C]]))</f>
        <v>7200000</v>
      </c>
      <c r="Y702" s="59">
        <f>IF(NOTA[[#This Row],[JUMLAH]]="","",NOTA[[#This Row],[JUMLAH]]*NOTA[[#This Row],[DISC 1]])</f>
        <v>0</v>
      </c>
      <c r="Z702" s="59">
        <f>IF(NOTA[[#This Row],[JUMLAH]]="","",(NOTA[[#This Row],[JUMLAH]]-NOTA[[#This Row],[DISC 1-]])*NOTA[[#This Row],[DISC 2]])</f>
        <v>0</v>
      </c>
      <c r="AA702" s="59">
        <f>IF(NOTA[[#This Row],[JUMLAH]]="","",NOTA[[#This Row],[DISC 1-]]+NOTA[[#This Row],[DISC 2-]])</f>
        <v>0</v>
      </c>
      <c r="AB702" s="59">
        <f>IF(NOTA[[#This Row],[JUMLAH]]="","",NOTA[[#This Row],[JUMLAH]]-NOTA[[#This Row],[DISC]])</f>
        <v>7200000</v>
      </c>
      <c r="AC70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E702" s="5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02" s="59">
        <f>IF(OR(NOTA[[#This Row],[QTY]]="",NOTA[[#This Row],[HARGA SATUAN]]="",),"",NOTA[[#This Row],[QTY]]*NOTA[[#This Row],[HARGA SATUAN]])</f>
        <v>7200000</v>
      </c>
      <c r="AG702" s="60">
        <f ca="1">IF(NOTA[ID_H]="","",INDEX(NOTA[TANGGAL],MATCH(,INDIRECT(ADDRESS(ROW(NOTA[TANGGAL]),COLUMN(NOTA[TANGGAL]))&amp;":"&amp;ADDRESS(ROW(),COLUMN(NOTA[TANGGAL]))),-1)))</f>
        <v>44950</v>
      </c>
      <c r="AH702" s="57" t="str">
        <f ca="1">IF(NOTA[[#This Row],[NAMA BARANG]]="","",INDEX(NOTA[SUPPLIER],MATCH(,INDIRECT(ADDRESS(ROW(NOTA[ID]),COLUMN(NOTA[ID]))&amp;":"&amp;ADDRESS(ROW(),COLUMN(NOTA[ID]))),-1)))</f>
        <v>SURYA PRATAMA</v>
      </c>
      <c r="AI702" s="57" t="str">
        <f ca="1">IF(NOTA[[#This Row],[ID_H]]="","",IF(NOTA[[#This Row],[FAKTUR]]="",INDIRECT(ADDRESS(ROW()-1,COLUMN())),NOTA[[#This Row],[FAKTUR]]))</f>
        <v>UNTANA</v>
      </c>
      <c r="AJ702" s="38" t="str">
        <f ca="1">IF(NOTA[[#This Row],[ID]]="","",COUNTIF(NOTA[ID_H],NOTA[[#This Row],[ID_H]]))</f>
        <v/>
      </c>
      <c r="AK702" s="38">
        <f ca="1">IF(NOTA[[#This Row],[TGL.NOTA]]="",IF(NOTA[[#This Row],[SUPPLIER_H]]="","",AK701),MONTH(NOTA[[#This Row],[TGL.NOTA]]))</f>
        <v>1</v>
      </c>
      <c r="AL702" s="38" t="str">
        <f>LOWER(SUBSTITUTE(SUBSTITUTE(SUBSTITUTE(SUBSTITUTE(SUBSTITUTE(SUBSTITUTE(SUBSTITUTE(SUBSTITUTE(SUBSTITUTE(NOTA[NAMA BARANG]," ",),".",""),"-",""),"(",""),")",""),",",""),"/",""),"""",""),"+",""))</f>
        <v>refillgelfancyvrg2020hijablove</v>
      </c>
      <c r="AM702" s="38" t="str">
        <f>IF(NOTA[C]="",NOTA[[#This Row],[CONCAT1]]&amp;NOTA[[#This Row],[HARGA SATUAN]],NOTA[[#This Row],[CONCAT1]]&amp;NOTA[[#This Row],[HARGA/ CTN_H]]&amp;NOTA[[#This Row],[DISC 1]]&amp;NOTA[[#This Row],[DISC 2]])</f>
        <v>refillgelfancyvrg2020hijablove1440000</v>
      </c>
      <c r="AN702" s="184">
        <f>IF(NOTA[[#This Row],[CONCAT1]]="","",MATCH(NOTA[[#This Row],[CONCAT1]],[1]!db[NB NOTA_C],0)+1)</f>
        <v>1903</v>
      </c>
    </row>
    <row r="703" spans="1:40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Row],[CEK_EXP]]&lt;D702,"err","")</f>
        <v/>
      </c>
      <c r="D703" s="58">
        <f>IF(NOTA[[#This Row],[TANGGAL]]="",D702,NOTA[[#This Row],[TANGGAL]])</f>
        <v>44950</v>
      </c>
      <c r="E703" s="58" t="str">
        <f ca="1">IF(NOTA[[#This Row],[NAMA BARANG]]="","",INDEX(NOTA[ID],MATCH(,INDIRECT(ADDRESS(ROW(NOTA[ID]),COLUMN(NOTA[ID]))&amp;":"&amp;ADDRESS(ROW(),COLUMN(NOTA[ID]))),-1)))</f>
        <v/>
      </c>
      <c r="F703" s="61"/>
      <c r="G703" s="62"/>
      <c r="H703" s="62"/>
      <c r="I703" s="107"/>
      <c r="J703" s="62"/>
      <c r="K703" s="60"/>
      <c r="L703" s="62"/>
      <c r="M703" s="26"/>
      <c r="N703" s="63"/>
      <c r="O703" s="62"/>
      <c r="P703" s="62"/>
      <c r="Q703" s="57"/>
      <c r="R703" s="64"/>
      <c r="S703" s="39"/>
      <c r="T703" s="117"/>
      <c r="U703" s="117"/>
      <c r="V703" s="59"/>
      <c r="W703" s="37"/>
      <c r="X703" s="59" t="str">
        <f>IF(NOTA[[#This Row],[HARGA/ CTN]]="",NOTA[[#This Row],[JUMLAH_H]],NOTA[[#This Row],[HARGA/ CTN]]*IF(NOTA[[#This Row],[C]]="",0,NOTA[[#This Row],[C]]))</f>
        <v/>
      </c>
      <c r="Y703" s="59" t="str">
        <f>IF(NOTA[[#This Row],[JUMLAH]]="","",NOTA[[#This Row],[JUMLAH]]*NOTA[[#This Row],[DISC 1]])</f>
        <v/>
      </c>
      <c r="Z703" s="59" t="str">
        <f>IF(NOTA[[#This Row],[JUMLAH]]="","",(NOTA[[#This Row],[JUMLAH]]-NOTA[[#This Row],[DISC 1-]])*NOTA[[#This Row],[DISC 2]])</f>
        <v/>
      </c>
      <c r="AA703" s="59" t="str">
        <f>IF(NOTA[[#This Row],[JUMLAH]]="","",NOTA[[#This Row],[DISC 1-]]+NOTA[[#This Row],[DISC 2-]])</f>
        <v/>
      </c>
      <c r="AB703" s="59" t="str">
        <f>IF(NOTA[[#This Row],[JUMLAH]]="","",NOTA[[#This Row],[JUMLAH]]-NOTA[[#This Row],[DISC]])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59" t="str">
        <f>IF(OR(NOTA[[#This Row],[QTY]]="",NOTA[[#This Row],[HARGA SATUAN]]="",),"",NOTA[[#This Row],[QTY]]*NOTA[[#This Row],[HARGA SATUAN]])</f>
        <v/>
      </c>
      <c r="AG703" s="60" t="str">
        <f ca="1">IF(NOTA[ID_H]="","",INDEX(NOTA[TANGGAL],MATCH(,INDIRECT(ADDRESS(ROW(NOTA[TANGGAL]),COLUMN(NOTA[TANGGAL]))&amp;":"&amp;ADDRESS(ROW(),COLUMN(NOTA[TANGGAL]))),-1)))</f>
        <v/>
      </c>
      <c r="AH703" s="57" t="str">
        <f ca="1">IF(NOTA[[#This Row],[NAMA BARANG]]="","",INDEX(NOTA[SUPPLIER],MATCH(,INDIRECT(ADDRESS(ROW(NOTA[ID]),COLUMN(NOTA[ID]))&amp;":"&amp;ADDRESS(ROW(),COLUMN(NOTA[ID]))),-1)))</f>
        <v/>
      </c>
      <c r="AI703" s="57" t="str">
        <f ca="1">IF(NOTA[[#This Row],[ID_H]]="","",IF(NOTA[[#This Row],[FAKTUR]]="",INDIRECT(ADDRESS(ROW()-1,COLUMN())),NOTA[[#This Row],[FAKTUR]]))</f>
        <v/>
      </c>
      <c r="AJ703" s="38" t="str">
        <f ca="1">IF(NOTA[[#This Row],[ID]]="","",COUNTIF(NOTA[ID_H],NOTA[[#This Row],[ID_H]]))</f>
        <v/>
      </c>
      <c r="AK703" s="38" t="str">
        <f ca="1">IF(NOTA[[#This Row],[TGL.NOTA]]="",IF(NOTA[[#This Row],[SUPPLIER_H]]="","",AK702),MONTH(NOTA[[#This Row],[TGL.NOTA]]))</f>
        <v/>
      </c>
      <c r="AL703" s="38" t="str">
        <f>LOWER(SUBSTITUTE(SUBSTITUTE(SUBSTITUTE(SUBSTITUTE(SUBSTITUTE(SUBSTITUTE(SUBSTITUTE(SUBSTITUTE(SUBSTITUTE(NOTA[NAMA BARANG]," ",),".",""),"-",""),"(",""),")",""),",",""),"/",""),"""",""),"+",""))</f>
        <v/>
      </c>
      <c r="AM703" s="38" t="str">
        <f>IF(NOTA[C]="",NOTA[[#This Row],[CONCAT1]]&amp;NOTA[[#This Row],[HARGA SATUAN]],NOTA[[#This Row],[CONCAT1]]&amp;NOTA[[#This Row],[HARGA/ CTN_H]]&amp;NOTA[[#This Row],[DISC 1]]&amp;NOTA[[#This Row],[DISC 2]])</f>
        <v/>
      </c>
      <c r="AN703" s="184" t="str">
        <f>IF(NOTA[[#This Row],[CONCAT1]]="","",MATCH(NOTA[[#This Row],[CONCAT1]],[1]!db[NB NOTA_C],0)+1)</f>
        <v/>
      </c>
    </row>
    <row r="704" spans="1:40" ht="20.100000000000001" customHeight="1" x14ac:dyDescent="0.25">
      <c r="A704" s="5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04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BIN_2401_353-1</v>
      </c>
      <c r="C704" s="58" t="str">
        <f>IF(NOTA[[#This Row],[CEK_EXP]]&lt;D703,"err","")</f>
        <v/>
      </c>
      <c r="D704" s="58">
        <f>IF(NOTA[[#This Row],[TANGGAL]]="",D703,NOTA[[#This Row],[TANGGAL]])</f>
        <v>44950</v>
      </c>
      <c r="E704" s="58">
        <f ca="1">IF(NOTA[[#This Row],[NAMA BARANG]]="","",INDEX(NOTA[ID],MATCH(,INDIRECT(ADDRESS(ROW(NOTA[ID]),COLUMN(NOTA[ID]))&amp;":"&amp;ADDRESS(ROW(),COLUMN(NOTA[ID]))),-1)))</f>
        <v>132</v>
      </c>
      <c r="F704" s="61"/>
      <c r="G704" s="26" t="s">
        <v>834</v>
      </c>
      <c r="H704" s="26" t="s">
        <v>87</v>
      </c>
      <c r="I704" s="31" t="s">
        <v>835</v>
      </c>
      <c r="J704" s="62"/>
      <c r="K704" s="60">
        <v>44946</v>
      </c>
      <c r="L704" s="62"/>
      <c r="M704" s="26" t="s">
        <v>844</v>
      </c>
      <c r="N704" s="63">
        <v>50</v>
      </c>
      <c r="O704" s="62">
        <f>192*50</f>
        <v>9600</v>
      </c>
      <c r="P704" s="26" t="s">
        <v>104</v>
      </c>
      <c r="Q704" s="57">
        <v>17500</v>
      </c>
      <c r="R704" s="64">
        <v>2400000</v>
      </c>
      <c r="S704" s="39"/>
      <c r="T704" s="117"/>
      <c r="U704" s="117"/>
      <c r="V704" s="59"/>
      <c r="W704" s="37"/>
      <c r="X704" s="59">
        <f>IF(NOTA[[#This Row],[HARGA/ CTN]]="",NOTA[[#This Row],[JUMLAH_H]],NOTA[[#This Row],[HARGA/ CTN]]*IF(NOTA[[#This Row],[C]]="",0,NOTA[[#This Row],[C]]))</f>
        <v>120000000</v>
      </c>
      <c r="Y704" s="59">
        <f>IF(NOTA[[#This Row],[JUMLAH]]="","",NOTA[[#This Row],[JUMLAH]]*NOTA[[#This Row],[DISC 1]])</f>
        <v>0</v>
      </c>
      <c r="Z704" s="59">
        <f>IF(NOTA[[#This Row],[JUMLAH]]="","",(NOTA[[#This Row],[JUMLAH]]-NOTA[[#This Row],[DISC 1-]])*NOTA[[#This Row],[DISC 2]])</f>
        <v>0</v>
      </c>
      <c r="AA704" s="59">
        <f>IF(NOTA[[#This Row],[JUMLAH]]="","",NOTA[[#This Row],[DISC 1-]]+NOTA[[#This Row],[DISC 2-]])</f>
        <v>0</v>
      </c>
      <c r="AB704" s="59">
        <f>IF(NOTA[[#This Row],[JUMLAH]]="","",NOTA[[#This Row],[JUMLAH]]-NOTA[[#This Row],[DISC]])</f>
        <v>120000000</v>
      </c>
      <c r="AC70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120000000</v>
      </c>
      <c r="AE704" s="57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F704" s="59">
        <f>IF(OR(NOTA[[#This Row],[QTY]]="",NOTA[[#This Row],[HARGA SATUAN]]="",),"",NOTA[[#This Row],[QTY]]*NOTA[[#This Row],[HARGA SATUAN]])</f>
        <v>168000000</v>
      </c>
      <c r="AG704" s="60">
        <f ca="1">IF(NOTA[ID_H]="","",INDEX(NOTA[TANGGAL],MATCH(,INDIRECT(ADDRESS(ROW(NOTA[TANGGAL]),COLUMN(NOTA[TANGGAL]))&amp;":"&amp;ADDRESS(ROW(),COLUMN(NOTA[TANGGAL]))),-1)))</f>
        <v>44950</v>
      </c>
      <c r="AH704" s="57" t="str">
        <f ca="1">IF(NOTA[[#This Row],[NAMA BARANG]]="","",INDEX(NOTA[SUPPLIER],MATCH(,INDIRECT(ADDRESS(ROW(NOTA[ID]),COLUMN(NOTA[ID]))&amp;":"&amp;ADDRESS(ROW(),COLUMN(NOTA[ID]))),-1)))</f>
        <v>BINTANG JAYA</v>
      </c>
      <c r="AI704" s="57" t="str">
        <f ca="1">IF(NOTA[[#This Row],[ID_H]]="","",IF(NOTA[[#This Row],[FAKTUR]]="",INDIRECT(ADDRESS(ROW()-1,COLUMN())),NOTA[[#This Row],[FAKTUR]]))</f>
        <v>UNTANA</v>
      </c>
      <c r="AJ704" s="38">
        <f ca="1">IF(NOTA[[#This Row],[ID]]="","",COUNTIF(NOTA[ID_H],NOTA[[#This Row],[ID_H]]))</f>
        <v>1</v>
      </c>
      <c r="AK704" s="38">
        <f>IF(NOTA[[#This Row],[TGL.NOTA]]="",IF(NOTA[[#This Row],[SUPPLIER_H]]="","",AK703),MONTH(NOTA[[#This Row],[TGL.NOTA]]))</f>
        <v>1</v>
      </c>
      <c r="AL704" s="38" t="str">
        <f>LOWER(SUBSTITUTE(SUBSTITUTE(SUBSTITUTE(SUBSTITUTE(SUBSTITUTE(SUBSTITUTE(SUBSTITUTE(SUBSTITUTE(SUBSTITUTE(NOTA[NAMA BARANG]," ",),".",""),"-",""),"(",""),")",""),",",""),"/",""),"""",""),"+",""))</f>
        <v>cpsq12lcrayonputarpanjang</v>
      </c>
      <c r="AM704" s="38" t="str">
        <f>IF(NOTA[C]="",NOTA[[#This Row],[CONCAT1]]&amp;NOTA[[#This Row],[HARGA SATUAN]],NOTA[[#This Row],[CONCAT1]]&amp;NOTA[[#This Row],[HARGA/ CTN_H]]&amp;NOTA[[#This Row],[DISC 1]]&amp;NOTA[[#This Row],[DISC 2]])</f>
        <v>cpsq12lcrayonputarpanjang3360000</v>
      </c>
      <c r="AN704" s="184">
        <f>IF(NOTA[[#This Row],[CONCAT1]]="","",MATCH(NOTA[[#This Row],[CONCAT1]],[1]!db[NB NOTA_C],0)+1)</f>
        <v>545</v>
      </c>
    </row>
    <row r="705" spans="1:40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Row],[CEK_EXP]]&lt;D704,"err","")</f>
        <v/>
      </c>
      <c r="D705" s="58">
        <f>IF(NOTA[[#This Row],[TANGGAL]]="",D704,NOTA[[#This Row],[TANGGAL]])</f>
        <v>44950</v>
      </c>
      <c r="E705" s="58" t="str">
        <f ca="1">IF(NOTA[[#This Row],[NAMA BARANG]]="","",INDEX(NOTA[ID],MATCH(,INDIRECT(ADDRESS(ROW(NOTA[ID]),COLUMN(NOTA[ID]))&amp;":"&amp;ADDRESS(ROW(),COLUMN(NOTA[ID]))),-1)))</f>
        <v/>
      </c>
      <c r="F705" s="61"/>
      <c r="G705" s="62"/>
      <c r="H705" s="62"/>
      <c r="I705" s="107"/>
      <c r="J705" s="62"/>
      <c r="K705" s="60"/>
      <c r="L705" s="62"/>
      <c r="M705" s="26"/>
      <c r="N705" s="63"/>
      <c r="O705" s="62"/>
      <c r="P705" s="62"/>
      <c r="Q705" s="57"/>
      <c r="R705" s="64"/>
      <c r="S705" s="39"/>
      <c r="T705" s="117"/>
      <c r="U705" s="117"/>
      <c r="V705" s="59"/>
      <c r="W705" s="37"/>
      <c r="X705" s="59" t="str">
        <f>IF(NOTA[[#This Row],[HARGA/ CTN]]="",NOTA[[#This Row],[JUMLAH_H]],NOTA[[#This Row],[HARGA/ CTN]]*IF(NOTA[[#This Row],[C]]="",0,NOTA[[#This Row],[C]]))</f>
        <v/>
      </c>
      <c r="Y705" s="59" t="str">
        <f>IF(NOTA[[#This Row],[JUMLAH]]="","",NOTA[[#This Row],[JUMLAH]]*NOTA[[#This Row],[DISC 1]])</f>
        <v/>
      </c>
      <c r="Z705" s="59" t="str">
        <f>IF(NOTA[[#This Row],[JUMLAH]]="","",(NOTA[[#This Row],[JUMLAH]]-NOTA[[#This Row],[DISC 1-]])*NOTA[[#This Row],[DISC 2]])</f>
        <v/>
      </c>
      <c r="AA705" s="59" t="str">
        <f>IF(NOTA[[#This Row],[JUMLAH]]="","",NOTA[[#This Row],[DISC 1-]]+NOTA[[#This Row],[DISC 2-]])</f>
        <v/>
      </c>
      <c r="AB705" s="59" t="str">
        <f>IF(NOTA[[#This Row],[JUMLAH]]="","",NOTA[[#This Row],[JUMLAH]]-NOTA[[#This Row],[DISC]])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59" t="str">
        <f>IF(OR(NOTA[[#This Row],[QTY]]="",NOTA[[#This Row],[HARGA SATUAN]]="",),"",NOTA[[#This Row],[QTY]]*NOTA[[#This Row],[HARGA SATUAN]])</f>
        <v/>
      </c>
      <c r="AG705" s="60" t="str">
        <f ca="1">IF(NOTA[ID_H]="","",INDEX(NOTA[TANGGAL],MATCH(,INDIRECT(ADDRESS(ROW(NOTA[TANGGAL]),COLUMN(NOTA[TANGGAL]))&amp;":"&amp;ADDRESS(ROW(),COLUMN(NOTA[TANGGAL]))),-1)))</f>
        <v/>
      </c>
      <c r="AH705" s="57" t="str">
        <f ca="1">IF(NOTA[[#This Row],[NAMA BARANG]]="","",INDEX(NOTA[SUPPLIER],MATCH(,INDIRECT(ADDRESS(ROW(NOTA[ID]),COLUMN(NOTA[ID]))&amp;":"&amp;ADDRESS(ROW(),COLUMN(NOTA[ID]))),-1)))</f>
        <v/>
      </c>
      <c r="AI705" s="57" t="str">
        <f ca="1">IF(NOTA[[#This Row],[ID_H]]="","",IF(NOTA[[#This Row],[FAKTUR]]="",INDIRECT(ADDRESS(ROW()-1,COLUMN())),NOTA[[#This Row],[FAKTUR]]))</f>
        <v/>
      </c>
      <c r="AJ705" s="38" t="str">
        <f ca="1">IF(NOTA[[#This Row],[ID]]="","",COUNTIF(NOTA[ID_H],NOTA[[#This Row],[ID_H]]))</f>
        <v/>
      </c>
      <c r="AK705" s="38" t="str">
        <f ca="1">IF(NOTA[[#This Row],[TGL.NOTA]]="",IF(NOTA[[#This Row],[SUPPLIER_H]]="","",AK704),MONTH(NOTA[[#This Row],[TGL.NOTA]]))</f>
        <v/>
      </c>
      <c r="AL705" s="38" t="str">
        <f>LOWER(SUBSTITUTE(SUBSTITUTE(SUBSTITUTE(SUBSTITUTE(SUBSTITUTE(SUBSTITUTE(SUBSTITUTE(SUBSTITUTE(SUBSTITUTE(NOTA[NAMA BARANG]," ",),".",""),"-",""),"(",""),")",""),",",""),"/",""),"""",""),"+",""))</f>
        <v/>
      </c>
      <c r="AM705" s="38" t="str">
        <f>IF(NOTA[C]="",NOTA[[#This Row],[CONCAT1]]&amp;NOTA[[#This Row],[HARGA SATUAN]],NOTA[[#This Row],[CONCAT1]]&amp;NOTA[[#This Row],[HARGA/ CTN_H]]&amp;NOTA[[#This Row],[DISC 1]]&amp;NOTA[[#This Row],[DISC 2]])</f>
        <v/>
      </c>
      <c r="AN705" s="184" t="str">
        <f>IF(NOTA[[#This Row],[CONCAT1]]="","",MATCH(NOTA[[#This Row],[CONCAT1]],[1]!db[NB NOTA_C],0)+1)</f>
        <v/>
      </c>
    </row>
    <row r="706" spans="1:40" ht="20.100000000000001" customHeight="1" x14ac:dyDescent="0.25">
      <c r="A706" s="5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06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GLO_2501_ 17-1</v>
      </c>
      <c r="C706" s="58" t="str">
        <f>IF(NOTA[[#This Row],[CEK_EXP]]&lt;D705,"err","")</f>
        <v/>
      </c>
      <c r="D706" s="58">
        <f>IF(NOTA[[#This Row],[TANGGAL]]="",D705,NOTA[[#This Row],[TANGGAL]])</f>
        <v>44951</v>
      </c>
      <c r="E706" s="58">
        <f ca="1">IF(NOTA[[#This Row],[NAMA BARANG]]="","",INDEX(NOTA[ID],MATCH(,INDIRECT(ADDRESS(ROW(NOTA[ID]),COLUMN(NOTA[ID]))&amp;":"&amp;ADDRESS(ROW(),COLUMN(NOTA[ID]))),-1)))</f>
        <v>133</v>
      </c>
      <c r="F706" s="61">
        <v>44951</v>
      </c>
      <c r="G706" s="26" t="s">
        <v>215</v>
      </c>
      <c r="H706" s="26" t="s">
        <v>87</v>
      </c>
      <c r="I706" s="31" t="s">
        <v>839</v>
      </c>
      <c r="J706" s="26"/>
      <c r="K706" s="60">
        <v>44951</v>
      </c>
      <c r="L706" s="62"/>
      <c r="M706" s="26" t="s">
        <v>217</v>
      </c>
      <c r="N706" s="63"/>
      <c r="O706" s="62">
        <v>7</v>
      </c>
      <c r="P706" s="26" t="s">
        <v>90</v>
      </c>
      <c r="Q706" s="57">
        <v>161000</v>
      </c>
      <c r="R706" s="64"/>
      <c r="S706" s="39"/>
      <c r="T706" s="117"/>
      <c r="U706" s="117"/>
      <c r="V706" s="59">
        <v>57000</v>
      </c>
      <c r="W706" s="37" t="s">
        <v>841</v>
      </c>
      <c r="X706" s="59">
        <f>IF(NOTA[[#This Row],[HARGA/ CTN]]="",NOTA[[#This Row],[JUMLAH_H]],NOTA[[#This Row],[HARGA/ CTN]]*IF(NOTA[[#This Row],[C]]="",0,NOTA[[#This Row],[C]]))</f>
        <v>1127000</v>
      </c>
      <c r="Y706" s="59">
        <f>IF(NOTA[[#This Row],[JUMLAH]]="","",NOTA[[#This Row],[JUMLAH]]*NOTA[[#This Row],[DISC 1]])</f>
        <v>0</v>
      </c>
      <c r="Z706" s="59">
        <f>IF(NOTA[[#This Row],[JUMLAH]]="","",(NOTA[[#This Row],[JUMLAH]]-NOTA[[#This Row],[DISC 1-]])*NOTA[[#This Row],[DISC 2]])</f>
        <v>0</v>
      </c>
      <c r="AA706" s="59">
        <f>IF(NOTA[[#This Row],[JUMLAH]]="","",NOTA[[#This Row],[DISC 1-]]+NOTA[[#This Row],[DISC 2-]])</f>
        <v>0</v>
      </c>
      <c r="AB706" s="59">
        <f>IF(NOTA[[#This Row],[JUMLAH]]="","",NOTA[[#This Row],[JUMLAH]]-NOTA[[#This Row],[DISC]])</f>
        <v>1127000</v>
      </c>
      <c r="AC706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D706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E706" s="5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06" s="59">
        <f>IF(OR(NOTA[[#This Row],[QTY]]="",NOTA[[#This Row],[HARGA SATUAN]]="",),"",NOTA[[#This Row],[QTY]]*NOTA[[#This Row],[HARGA SATUAN]])</f>
        <v>1127000</v>
      </c>
      <c r="AG706" s="60">
        <f ca="1">IF(NOTA[ID_H]="","",INDEX(NOTA[TANGGAL],MATCH(,INDIRECT(ADDRESS(ROW(NOTA[TANGGAL]),COLUMN(NOTA[TANGGAL]))&amp;":"&amp;ADDRESS(ROW(),COLUMN(NOTA[TANGGAL]))),-1)))</f>
        <v>44951</v>
      </c>
      <c r="AH706" s="57" t="str">
        <f ca="1">IF(NOTA[[#This Row],[NAMA BARANG]]="","",INDEX(NOTA[SUPPLIER],MATCH(,INDIRECT(ADDRESS(ROW(NOTA[ID]),COLUMN(NOTA[ID]))&amp;":"&amp;ADDRESS(ROW(),COLUMN(NOTA[ID]))),-1)))</f>
        <v>GLORY</v>
      </c>
      <c r="AI706" s="57" t="str">
        <f ca="1">IF(NOTA[[#This Row],[ID_H]]="","",IF(NOTA[[#This Row],[FAKTUR]]="",INDIRECT(ADDRESS(ROW()-1,COLUMN())),NOTA[[#This Row],[FAKTUR]]))</f>
        <v>UNTANA</v>
      </c>
      <c r="AJ706" s="38">
        <f ca="1">IF(NOTA[[#This Row],[ID]]="","",COUNTIF(NOTA[ID_H],NOTA[[#This Row],[ID_H]]))</f>
        <v>1</v>
      </c>
      <c r="AK706" s="38">
        <f>IF(NOTA[[#This Row],[TGL.NOTA]]="",IF(NOTA[[#This Row],[SUPPLIER_H]]="","",AK705),MONTH(NOTA[[#This Row],[TGL.NOTA]]))</f>
        <v>1</v>
      </c>
      <c r="AL706" s="38" t="str">
        <f>LOWER(SUBSTITUTE(SUBSTITUTE(SUBSTITUTE(SUBSTITUTE(SUBSTITUTE(SUBSTITUTE(SUBSTITUTE(SUBSTITUTE(SUBSTITUTE(NOTA[NAMA BARANG]," ",),".",""),"-",""),"(",""),")",""),",",""),"/",""),"""",""),"+",""))</f>
        <v>btbatik</v>
      </c>
      <c r="AM706" s="38" t="str">
        <f>IF(NOTA[C]="",NOTA[[#This Row],[CONCAT1]]&amp;NOTA[[#This Row],[HARGA SATUAN]],NOTA[[#This Row],[CONCAT1]]&amp;NOTA[[#This Row],[HARGA/ CTN_H]]&amp;NOTA[[#This Row],[DISC 1]]&amp;NOTA[[#This Row],[DISC 2]])</f>
        <v>btbatik161000</v>
      </c>
      <c r="AN706" s="184">
        <f>IF(NOTA[[#This Row],[CONCAT1]]="","",MATCH(NOTA[[#This Row],[CONCAT1]],[1]!db[NB NOTA_C],0)+1)</f>
        <v>334</v>
      </c>
    </row>
    <row r="707" spans="1:40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Row],[CEK_EXP]]&lt;D706,"err","")</f>
        <v/>
      </c>
      <c r="D707" s="50">
        <f>IF(NOTA[[#This Row],[TANGGAL]]="",D706,NOTA[[#This Row],[TANGGAL]])</f>
        <v>44951</v>
      </c>
      <c r="E707" s="50" t="str">
        <f ca="1">IF(NOTA[[#This Row],[NAMA BARANG]]="","",INDEX(NOTA[ID],MATCH(,INDIRECT(ADDRESS(ROW(NOTA[ID]),COLUMN(NOTA[ID]))&amp;":"&amp;ADDRESS(ROW(),COLUMN(NOTA[ID]))),-1)))</f>
        <v/>
      </c>
      <c r="F707" s="23"/>
      <c r="G707" s="26"/>
      <c r="H707" s="26"/>
      <c r="I707" s="31"/>
      <c r="J707" s="26"/>
      <c r="K707" s="51"/>
      <c r="L707" s="26"/>
      <c r="M707" s="26"/>
      <c r="N707" s="39"/>
      <c r="O707" s="26"/>
      <c r="P707" s="26"/>
      <c r="Q707" s="49"/>
      <c r="R707" s="52"/>
      <c r="S707" s="39"/>
      <c r="T707" s="53"/>
      <c r="U707" s="53"/>
      <c r="V707" s="54"/>
      <c r="W707" s="37"/>
      <c r="X707" s="54" t="str">
        <f>IF(NOTA[[#This Row],[HARGA/ CTN]]="",NOTA[[#This Row],[JUMLAH_H]],NOTA[[#This Row],[HARGA/ CTN]]*IF(NOTA[[#This Row],[C]]="",0,NOTA[[#This Row],[C]]))</f>
        <v/>
      </c>
      <c r="Y707" s="54" t="str">
        <f>IF(NOTA[[#This Row],[JUMLAH]]="","",NOTA[[#This Row],[JUMLAH]]*NOTA[[#This Row],[DISC 1]])</f>
        <v/>
      </c>
      <c r="Z707" s="54" t="str">
        <f>IF(NOTA[[#This Row],[JUMLAH]]="","",(NOTA[[#This Row],[JUMLAH]]-NOTA[[#This Row],[DISC 1-]])*NOTA[[#This Row],[DISC 2]])</f>
        <v/>
      </c>
      <c r="AA707" s="54" t="str">
        <f>IF(NOTA[[#This Row],[JUMLAH]]="","",NOTA[[#This Row],[DISC 1-]]+NOTA[[#This Row],[DISC 2-]])</f>
        <v/>
      </c>
      <c r="AB707" s="54" t="str">
        <f>IF(NOTA[[#This Row],[JUMLAH]]="","",NOTA[[#This Row],[JUMLAH]]-NOTA[[#This Row],[DISC]])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54" t="str">
        <f>IF(OR(NOTA[[#This Row],[QTY]]="",NOTA[[#This Row],[HARGA SATUAN]]="",),"",NOTA[[#This Row],[QTY]]*NOTA[[#This Row],[HARGA SATUAN]])</f>
        <v/>
      </c>
      <c r="AG707" s="51" t="str">
        <f ca="1">IF(NOTA[ID_H]="","",INDEX(NOTA[TANGGAL],MATCH(,INDIRECT(ADDRESS(ROW(NOTA[TANGGAL]),COLUMN(NOTA[TANGGAL]))&amp;":"&amp;ADDRESS(ROW(),COLUMN(NOTA[TANGGAL]))),-1)))</f>
        <v/>
      </c>
      <c r="AH707" s="49" t="str">
        <f ca="1">IF(NOTA[[#This Row],[NAMA BARANG]]="","",INDEX(NOTA[SUPPLIER],MATCH(,INDIRECT(ADDRESS(ROW(NOTA[ID]),COLUMN(NOTA[ID]))&amp;":"&amp;ADDRESS(ROW(),COLUMN(NOTA[ID]))),-1)))</f>
        <v/>
      </c>
      <c r="AI707" s="49" t="str">
        <f ca="1">IF(NOTA[[#This Row],[ID_H]]="","",IF(NOTA[[#This Row],[FAKTUR]]="",INDIRECT(ADDRESS(ROW()-1,COLUMN())),NOTA[[#This Row],[FAKTUR]]))</f>
        <v/>
      </c>
      <c r="AJ707" s="38" t="str">
        <f ca="1">IF(NOTA[[#This Row],[ID]]="","",COUNTIF(NOTA[ID_H],NOTA[[#This Row],[ID_H]]))</f>
        <v/>
      </c>
      <c r="AK707" s="38" t="str">
        <f ca="1">IF(NOTA[[#This Row],[TGL.NOTA]]="",IF(NOTA[[#This Row],[SUPPLIER_H]]="","",AK706),MONTH(NOTA[[#This Row],[TGL.NOTA]]))</f>
        <v/>
      </c>
      <c r="AL707" s="38" t="str">
        <f>LOWER(SUBSTITUTE(SUBSTITUTE(SUBSTITUTE(SUBSTITUTE(SUBSTITUTE(SUBSTITUTE(SUBSTITUTE(SUBSTITUTE(SUBSTITUTE(NOTA[NAMA BARANG]," ",),".",""),"-",""),"(",""),")",""),",",""),"/",""),"""",""),"+",""))</f>
        <v/>
      </c>
      <c r="AM707" s="38" t="str">
        <f>IF(NOTA[C]="",NOTA[[#This Row],[CONCAT1]]&amp;NOTA[[#This Row],[HARGA SATUAN]],NOTA[[#This Row],[CONCAT1]]&amp;NOTA[[#This Row],[HARGA/ CTN_H]]&amp;NOTA[[#This Row],[DISC 1]]&amp;NOTA[[#This Row],[DISC 2]])</f>
        <v/>
      </c>
      <c r="AN707" s="184" t="str">
        <f>IF(NOTA[[#This Row],[CONCAT1]]="","",MATCH(NOTA[[#This Row],[CONCAT1]],[1]!db[NB NOTA_C],0)+1)</f>
        <v/>
      </c>
    </row>
    <row r="708" spans="1:40" ht="20.100000000000001" customHeight="1" x14ac:dyDescent="0.25">
      <c r="A708" s="49">
        <f ca="1">IF(INDIRECT(ADDRESS(ROW()-1,COLUMN(NOTA[[#Headers],[ID]])))="ID",1,IF(NOTA[[#This Row],[FAKTUR]]="","",COUNT(INDIRECT(ADDRESS(ROW(NOTA[ID]),COLUMN(NOTA[ID]))&amp;":"&amp;ADDRESS(ROW()-1,COLUMN(NOTA[ID]))))+1))</f>
        <v>134</v>
      </c>
      <c r="B70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GLO_2601_ 19-2</v>
      </c>
      <c r="C708" s="50" t="str">
        <f>IF(NOTA[[#This Row],[CEK_EXP]]&lt;D707,"err","")</f>
        <v/>
      </c>
      <c r="D708" s="50">
        <f>IF(NOTA[[#This Row],[TANGGAL]]="",D707,NOTA[[#This Row],[TANGGAL]])</f>
        <v>44952</v>
      </c>
      <c r="E708" s="50">
        <f ca="1">IF(NOTA[[#This Row],[NAMA BARANG]]="","",INDEX(NOTA[ID],MATCH(,INDIRECT(ADDRESS(ROW(NOTA[ID]),COLUMN(NOTA[ID]))&amp;":"&amp;ADDRESS(ROW(),COLUMN(NOTA[ID]))),-1)))</f>
        <v>134</v>
      </c>
      <c r="F708" s="23">
        <v>44952</v>
      </c>
      <c r="G708" s="26" t="s">
        <v>215</v>
      </c>
      <c r="H708" s="26" t="s">
        <v>87</v>
      </c>
      <c r="I708" s="31" t="s">
        <v>840</v>
      </c>
      <c r="J708" s="26"/>
      <c r="K708" s="51">
        <v>44952</v>
      </c>
      <c r="L708" s="26"/>
      <c r="M708" s="26" t="s">
        <v>218</v>
      </c>
      <c r="N708" s="39"/>
      <c r="O708" s="26">
        <v>120</v>
      </c>
      <c r="P708" s="26" t="s">
        <v>104</v>
      </c>
      <c r="Q708" s="49">
        <v>13000</v>
      </c>
      <c r="R708" s="52"/>
      <c r="S708" s="39"/>
      <c r="T708" s="53"/>
      <c r="U708" s="53"/>
      <c r="V708" s="54"/>
      <c r="W708" s="37"/>
      <c r="X708" s="54">
        <f>IF(NOTA[[#This Row],[HARGA/ CTN]]="",NOTA[[#This Row],[JUMLAH_H]],NOTA[[#This Row],[HARGA/ CTN]]*IF(NOTA[[#This Row],[C]]="",0,NOTA[[#This Row],[C]]))</f>
        <v>1560000</v>
      </c>
      <c r="Y708" s="54">
        <f>IF(NOTA[[#This Row],[JUMLAH]]="","",NOTA[[#This Row],[JUMLAH]]*NOTA[[#This Row],[DISC 1]])</f>
        <v>0</v>
      </c>
      <c r="Z708" s="54">
        <f>IF(NOTA[[#This Row],[JUMLAH]]="","",(NOTA[[#This Row],[JUMLAH]]-NOTA[[#This Row],[DISC 1-]])*NOTA[[#This Row],[DISC 2]])</f>
        <v>0</v>
      </c>
      <c r="AA708" s="54">
        <f>IF(NOTA[[#This Row],[JUMLAH]]="","",NOTA[[#This Row],[DISC 1-]]+NOTA[[#This Row],[DISC 2-]])</f>
        <v>0</v>
      </c>
      <c r="AB708" s="54">
        <f>IF(NOTA[[#This Row],[JUMLAH]]="","",NOTA[[#This Row],[JUMLAH]]-NOTA[[#This Row],[DISC]])</f>
        <v>1560000</v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08" s="54">
        <f>IF(OR(NOTA[[#This Row],[QTY]]="",NOTA[[#This Row],[HARGA SATUAN]]="",),"",NOTA[[#This Row],[QTY]]*NOTA[[#This Row],[HARGA SATUAN]])</f>
        <v>1560000</v>
      </c>
      <c r="AG708" s="51">
        <f ca="1">IF(NOTA[ID_H]="","",INDEX(NOTA[TANGGAL],MATCH(,INDIRECT(ADDRESS(ROW(NOTA[TANGGAL]),COLUMN(NOTA[TANGGAL]))&amp;":"&amp;ADDRESS(ROW(),COLUMN(NOTA[TANGGAL]))),-1)))</f>
        <v>44952</v>
      </c>
      <c r="AH708" s="49" t="str">
        <f ca="1">IF(NOTA[[#This Row],[NAMA BARANG]]="","",INDEX(NOTA[SUPPLIER],MATCH(,INDIRECT(ADDRESS(ROW(NOTA[ID]),COLUMN(NOTA[ID]))&amp;":"&amp;ADDRESS(ROW(),COLUMN(NOTA[ID]))),-1)))</f>
        <v>GLORY</v>
      </c>
      <c r="AI708" s="49" t="str">
        <f ca="1">IF(NOTA[[#This Row],[ID_H]]="","",IF(NOTA[[#This Row],[FAKTUR]]="",INDIRECT(ADDRESS(ROW()-1,COLUMN())),NOTA[[#This Row],[FAKTUR]]))</f>
        <v>UNTANA</v>
      </c>
      <c r="AJ708" s="38">
        <f ca="1">IF(NOTA[[#This Row],[ID]]="","",COUNTIF(NOTA[ID_H],NOTA[[#This Row],[ID_H]]))</f>
        <v>2</v>
      </c>
      <c r="AK708" s="38">
        <f>IF(NOTA[[#This Row],[TGL.NOTA]]="",IF(NOTA[[#This Row],[SUPPLIER_H]]="","",AK707),MONTH(NOTA[[#This Row],[TGL.NOTA]]))</f>
        <v>1</v>
      </c>
      <c r="AL708" s="38" t="str">
        <f>LOWER(SUBSTITUTE(SUBSTITUTE(SUBSTITUTE(SUBSTITUTE(SUBSTITUTE(SUBSTITUTE(SUBSTITUTE(SUBSTITUTE(SUBSTITUTE(NOTA[NAMA BARANG]," ",),".",""),"-",""),"(",""),")",""),",",""),"/",""),"""",""),"+",""))</f>
        <v>agckpolos</v>
      </c>
      <c r="AM708" s="38" t="str">
        <f>IF(NOTA[C]="",NOTA[[#This Row],[CONCAT1]]&amp;NOTA[[#This Row],[HARGA SATUAN]],NOTA[[#This Row],[CONCAT1]]&amp;NOTA[[#This Row],[HARGA/ CTN_H]]&amp;NOTA[[#This Row],[DISC 1]]&amp;NOTA[[#This Row],[DISC 2]])</f>
        <v>agckpolos13000</v>
      </c>
      <c r="AN708" s="184">
        <f>IF(NOTA[[#This Row],[CONCAT1]]="","",MATCH(NOTA[[#This Row],[CONCAT1]],[1]!db[NB NOTA_C],0)+1)</f>
        <v>39</v>
      </c>
    </row>
    <row r="709" spans="1:40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Row],[CEK_EXP]]&lt;D708,"err","")</f>
        <v/>
      </c>
      <c r="D709" s="50">
        <f>IF(NOTA[[#This Row],[TANGGAL]]="",D708,NOTA[[#This Row],[TANGGAL]])</f>
        <v>44952</v>
      </c>
      <c r="E709" s="50">
        <f ca="1">IF(NOTA[[#This Row],[NAMA BARANG]]="","",INDEX(NOTA[ID],MATCH(,INDIRECT(ADDRESS(ROW(NOTA[ID]),COLUMN(NOTA[ID]))&amp;":"&amp;ADDRESS(ROW(),COLUMN(NOTA[ID]))),-1)))</f>
        <v>134</v>
      </c>
      <c r="F709" s="23"/>
      <c r="G709" s="26"/>
      <c r="H709" s="26"/>
      <c r="I709" s="31"/>
      <c r="J709" s="26"/>
      <c r="K709" s="51"/>
      <c r="L709" s="26"/>
      <c r="M709" s="26" t="s">
        <v>217</v>
      </c>
      <c r="N709" s="39"/>
      <c r="O709" s="26">
        <v>7</v>
      </c>
      <c r="P709" s="26" t="s">
        <v>90</v>
      </c>
      <c r="Q709" s="49">
        <v>161000</v>
      </c>
      <c r="R709" s="52"/>
      <c r="S709" s="39"/>
      <c r="T709" s="53"/>
      <c r="U709" s="53"/>
      <c r="V709" s="54">
        <v>134500</v>
      </c>
      <c r="W709" s="37" t="s">
        <v>842</v>
      </c>
      <c r="X709" s="54">
        <f>IF(NOTA[[#This Row],[HARGA/ CTN]]="",NOTA[[#This Row],[JUMLAH_H]],NOTA[[#This Row],[HARGA/ CTN]]*IF(NOTA[[#This Row],[C]]="",0,NOTA[[#This Row],[C]]))</f>
        <v>1127000</v>
      </c>
      <c r="Y709" s="54">
        <f>IF(NOTA[[#This Row],[JUMLAH]]="","",NOTA[[#This Row],[JUMLAH]]*NOTA[[#This Row],[DISC 1]])</f>
        <v>0</v>
      </c>
      <c r="Z709" s="54">
        <f>IF(NOTA[[#This Row],[JUMLAH]]="","",(NOTA[[#This Row],[JUMLAH]]-NOTA[[#This Row],[DISC 1-]])*NOTA[[#This Row],[DISC 2]])</f>
        <v>0</v>
      </c>
      <c r="AA709" s="54">
        <f>IF(NOTA[[#This Row],[JUMLAH]]="","",NOTA[[#This Row],[DISC 1-]]+NOTA[[#This Row],[DISC 2-]])</f>
        <v>0</v>
      </c>
      <c r="AB709" s="54">
        <f>IF(NOTA[[#This Row],[JUMLAH]]="","",NOTA[[#This Row],[JUMLAH]]-NOTA[[#This Row],[DISC]])</f>
        <v>1127000</v>
      </c>
      <c r="AC7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7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709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09" s="54">
        <f>IF(OR(NOTA[[#This Row],[QTY]]="",NOTA[[#This Row],[HARGA SATUAN]]="",),"",NOTA[[#This Row],[QTY]]*NOTA[[#This Row],[HARGA SATUAN]])</f>
        <v>1127000</v>
      </c>
      <c r="AG709" s="51">
        <f ca="1">IF(NOTA[ID_H]="","",INDEX(NOTA[TANGGAL],MATCH(,INDIRECT(ADDRESS(ROW(NOTA[TANGGAL]),COLUMN(NOTA[TANGGAL]))&amp;":"&amp;ADDRESS(ROW(),COLUMN(NOTA[TANGGAL]))),-1)))</f>
        <v>44952</v>
      </c>
      <c r="AH709" s="49" t="str">
        <f ca="1">IF(NOTA[[#This Row],[NAMA BARANG]]="","",INDEX(NOTA[SUPPLIER],MATCH(,INDIRECT(ADDRESS(ROW(NOTA[ID]),COLUMN(NOTA[ID]))&amp;":"&amp;ADDRESS(ROW(),COLUMN(NOTA[ID]))),-1)))</f>
        <v>GLORY</v>
      </c>
      <c r="AI709" s="49" t="str">
        <f ca="1">IF(NOTA[[#This Row],[ID_H]]="","",IF(NOTA[[#This Row],[FAKTUR]]="",INDIRECT(ADDRESS(ROW()-1,COLUMN())),NOTA[[#This Row],[FAKTUR]]))</f>
        <v>UNTANA</v>
      </c>
      <c r="AJ709" s="38" t="str">
        <f ca="1">IF(NOTA[[#This Row],[ID]]="","",COUNTIF(NOTA[ID_H],NOTA[[#This Row],[ID_H]]))</f>
        <v/>
      </c>
      <c r="AK709" s="38">
        <f ca="1">IF(NOTA[[#This Row],[TGL.NOTA]]="",IF(NOTA[[#This Row],[SUPPLIER_H]]="","",AK708),MONTH(NOTA[[#This Row],[TGL.NOTA]]))</f>
        <v>1</v>
      </c>
      <c r="AL709" s="38" t="str">
        <f>LOWER(SUBSTITUTE(SUBSTITUTE(SUBSTITUTE(SUBSTITUTE(SUBSTITUTE(SUBSTITUTE(SUBSTITUTE(SUBSTITUTE(SUBSTITUTE(NOTA[NAMA BARANG]," ",),".",""),"-",""),"(",""),")",""),",",""),"/",""),"""",""),"+",""))</f>
        <v>btbatik</v>
      </c>
      <c r="AM709" s="38" t="str">
        <f>IF(NOTA[C]="",NOTA[[#This Row],[CONCAT1]]&amp;NOTA[[#This Row],[HARGA SATUAN]],NOTA[[#This Row],[CONCAT1]]&amp;NOTA[[#This Row],[HARGA/ CTN_H]]&amp;NOTA[[#This Row],[DISC 1]]&amp;NOTA[[#This Row],[DISC 2]])</f>
        <v>btbatik161000</v>
      </c>
      <c r="AN709" s="184">
        <f>IF(NOTA[[#This Row],[CONCAT1]]="","",MATCH(NOTA[[#This Row],[CONCAT1]],[1]!db[NB NOTA_C],0)+1)</f>
        <v>334</v>
      </c>
    </row>
    <row r="710" spans="1:40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Row],[CEK_EXP]]&lt;D709,"err","")</f>
        <v/>
      </c>
      <c r="D710" s="50">
        <f>IF(NOTA[[#This Row],[TANGGAL]]="",D709,NOTA[[#This Row],[TANGGAL]])</f>
        <v>44952</v>
      </c>
      <c r="E710" s="50" t="str">
        <f ca="1">IF(NOTA[[#This Row],[NAMA BARANG]]="","",INDEX(NOTA[ID],MATCH(,INDIRECT(ADDRESS(ROW(NOTA[ID]),COLUMN(NOTA[ID]))&amp;":"&amp;ADDRESS(ROW(),COLUMN(NOTA[ID]))),-1)))</f>
        <v/>
      </c>
      <c r="F710" s="23"/>
      <c r="G710" s="26"/>
      <c r="H710" s="26"/>
      <c r="I710" s="31"/>
      <c r="J710" s="26"/>
      <c r="K710" s="51"/>
      <c r="L710" s="26"/>
      <c r="M710" s="26"/>
      <c r="N710" s="39"/>
      <c r="O710" s="26"/>
      <c r="P710" s="26"/>
      <c r="Q710" s="49"/>
      <c r="R710" s="52"/>
      <c r="S710" s="39"/>
      <c r="T710" s="53"/>
      <c r="U710" s="53"/>
      <c r="V710" s="54"/>
      <c r="W710" s="37"/>
      <c r="X710" s="54" t="str">
        <f>IF(NOTA[[#This Row],[HARGA/ CTN]]="",NOTA[[#This Row],[JUMLAH_H]],NOTA[[#This Row],[HARGA/ CTN]]*IF(NOTA[[#This Row],[C]]="",0,NOTA[[#This Row],[C]]))</f>
        <v/>
      </c>
      <c r="Y710" s="54" t="str">
        <f>IF(NOTA[[#This Row],[JUMLAH]]="","",NOTA[[#This Row],[JUMLAH]]*NOTA[[#This Row],[DISC 1]])</f>
        <v/>
      </c>
      <c r="Z710" s="54" t="str">
        <f>IF(NOTA[[#This Row],[JUMLAH]]="","",(NOTA[[#This Row],[JUMLAH]]-NOTA[[#This Row],[DISC 1-]])*NOTA[[#This Row],[DISC 2]])</f>
        <v/>
      </c>
      <c r="AA710" s="54" t="str">
        <f>IF(NOTA[[#This Row],[JUMLAH]]="","",NOTA[[#This Row],[DISC 1-]]+NOTA[[#This Row],[DISC 2-]])</f>
        <v/>
      </c>
      <c r="AB710" s="54" t="str">
        <f>IF(NOTA[[#This Row],[JUMLAH]]="","",NOTA[[#This Row],[JUMLAH]]-NOTA[[#This Row],[DISC]])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54" t="str">
        <f>IF(OR(NOTA[[#This Row],[QTY]]="",NOTA[[#This Row],[HARGA SATUAN]]="",),"",NOTA[[#This Row],[QTY]]*NOTA[[#This Row],[HARGA SATUAN]])</f>
        <v/>
      </c>
      <c r="AG710" s="51" t="str">
        <f ca="1">IF(NOTA[ID_H]="","",INDEX(NOTA[TANGGAL],MATCH(,INDIRECT(ADDRESS(ROW(NOTA[TANGGAL]),COLUMN(NOTA[TANGGAL]))&amp;":"&amp;ADDRESS(ROW(),COLUMN(NOTA[TANGGAL]))),-1)))</f>
        <v/>
      </c>
      <c r="AH710" s="49" t="str">
        <f ca="1">IF(NOTA[[#This Row],[NAMA BARANG]]="","",INDEX(NOTA[SUPPLIER],MATCH(,INDIRECT(ADDRESS(ROW(NOTA[ID]),COLUMN(NOTA[ID]))&amp;":"&amp;ADDRESS(ROW(),COLUMN(NOTA[ID]))),-1)))</f>
        <v/>
      </c>
      <c r="AI710" s="49" t="str">
        <f ca="1">IF(NOTA[[#This Row],[ID_H]]="","",IF(NOTA[[#This Row],[FAKTUR]]="",INDIRECT(ADDRESS(ROW()-1,COLUMN())),NOTA[[#This Row],[FAKTUR]]))</f>
        <v/>
      </c>
      <c r="AJ710" s="38" t="str">
        <f ca="1">IF(NOTA[[#This Row],[ID]]="","",COUNTIF(NOTA[ID_H],NOTA[[#This Row],[ID_H]]))</f>
        <v/>
      </c>
      <c r="AK710" s="38" t="str">
        <f ca="1">IF(NOTA[[#This Row],[TGL.NOTA]]="",IF(NOTA[[#This Row],[SUPPLIER_H]]="","",AK709),MONTH(NOTA[[#This Row],[TGL.NOTA]]))</f>
        <v/>
      </c>
      <c r="AL710" s="38" t="str">
        <f>LOWER(SUBSTITUTE(SUBSTITUTE(SUBSTITUTE(SUBSTITUTE(SUBSTITUTE(SUBSTITUTE(SUBSTITUTE(SUBSTITUTE(SUBSTITUTE(NOTA[NAMA BARANG]," ",),".",""),"-",""),"(",""),")",""),",",""),"/",""),"""",""),"+",""))</f>
        <v/>
      </c>
      <c r="AM710" s="38" t="str">
        <f>IF(NOTA[C]="",NOTA[[#This Row],[CONCAT1]]&amp;NOTA[[#This Row],[HARGA SATUAN]],NOTA[[#This Row],[CONCAT1]]&amp;NOTA[[#This Row],[HARGA/ CTN_H]]&amp;NOTA[[#This Row],[DISC 1]]&amp;NOTA[[#This Row],[DISC 2]])</f>
        <v/>
      </c>
      <c r="AN710" s="184" t="str">
        <f>IF(NOTA[[#This Row],[CONCAT1]]="","",MATCH(NOTA[[#This Row],[CONCAT1]],[1]!db[NB NOTA_C],0)+1)</f>
        <v/>
      </c>
    </row>
    <row r="711" spans="1:40" ht="20.100000000000001" customHeight="1" x14ac:dyDescent="0.25">
      <c r="A711" s="5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GRA_2601_-3</v>
      </c>
      <c r="C711" s="50" t="str">
        <f>IF(NOTA[[#This Row],[CEK_EXP]]&lt;D710,"err","")</f>
        <v/>
      </c>
      <c r="D711" s="50">
        <f>IF(NOTA[[#This Row],[TANGGAL]]="",D710,NOTA[[#This Row],[TANGGAL]])</f>
        <v>44952</v>
      </c>
      <c r="E711" s="50">
        <f ca="1">IF(NOTA[[#This Row],[NAMA BARANG]]="","",INDEX(NOTA[ID],MATCH(,INDIRECT(ADDRESS(ROW(NOTA[ID]),COLUMN(NOTA[ID]))&amp;":"&amp;ADDRESS(ROW(),COLUMN(NOTA[ID]))),-1)))</f>
        <v>135</v>
      </c>
      <c r="F711" s="23"/>
      <c r="G711" s="26" t="s">
        <v>86</v>
      </c>
      <c r="H711" s="26" t="s">
        <v>87</v>
      </c>
      <c r="I711" s="31"/>
      <c r="J711" s="26"/>
      <c r="K711" s="51"/>
      <c r="L711" s="26"/>
      <c r="M711" s="26" t="s">
        <v>874</v>
      </c>
      <c r="N711" s="39">
        <v>20</v>
      </c>
      <c r="O711" s="26">
        <f>50*20</f>
        <v>1000</v>
      </c>
      <c r="P711" s="26" t="s">
        <v>90</v>
      </c>
      <c r="Q711" s="49">
        <v>17400</v>
      </c>
      <c r="R711" s="52"/>
      <c r="S711" s="39" t="s">
        <v>227</v>
      </c>
      <c r="T711" s="53"/>
      <c r="U711" s="53"/>
      <c r="V711" s="54"/>
      <c r="W711" s="37"/>
      <c r="X711" s="54">
        <f>IF(NOTA[[#This Row],[HARGA/ CTN]]="",NOTA[[#This Row],[JUMLAH_H]],NOTA[[#This Row],[HARGA/ CTN]]*IF(NOTA[[#This Row],[C]]="",0,NOTA[[#This Row],[C]]))</f>
        <v>17400000</v>
      </c>
      <c r="Y711" s="54">
        <f>IF(NOTA[[#This Row],[JUMLAH]]="","",NOTA[[#This Row],[JUMLAH]]*NOTA[[#This Row],[DISC 1]])</f>
        <v>0</v>
      </c>
      <c r="Z711" s="54">
        <f>IF(NOTA[[#This Row],[JUMLAH]]="","",(NOTA[[#This Row],[JUMLAH]]-NOTA[[#This Row],[DISC 1-]])*NOTA[[#This Row],[DISC 2]])</f>
        <v>0</v>
      </c>
      <c r="AA711" s="54">
        <f>IF(NOTA[[#This Row],[JUMLAH]]="","",NOTA[[#This Row],[DISC 1-]]+NOTA[[#This Row],[DISC 2-]])</f>
        <v>0</v>
      </c>
      <c r="AB711" s="54">
        <f>IF(NOTA[[#This Row],[JUMLAH]]="","",NOTA[[#This Row],[JUMLAH]]-NOTA[[#This Row],[DISC]])</f>
        <v>17400000</v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F711" s="54">
        <f>IF(OR(NOTA[[#This Row],[QTY]]="",NOTA[[#This Row],[HARGA SATUAN]]="",),"",NOTA[[#This Row],[QTY]]*NOTA[[#This Row],[HARGA SATUAN]])</f>
        <v>17400000</v>
      </c>
      <c r="AG711" s="51">
        <f ca="1">IF(NOTA[ID_H]="","",INDEX(NOTA[TANGGAL],MATCH(,INDIRECT(ADDRESS(ROW(NOTA[TANGGAL]),COLUMN(NOTA[TANGGAL]))&amp;":"&amp;ADDRESS(ROW(),COLUMN(NOTA[TANGGAL]))),-1)))</f>
        <v>44952</v>
      </c>
      <c r="AH711" s="49" t="str">
        <f ca="1">IF(NOTA[[#This Row],[NAMA BARANG]]="","",INDEX(NOTA[SUPPLIER],MATCH(,INDIRECT(ADDRESS(ROW(NOTA[ID]),COLUMN(NOTA[ID]))&amp;":"&amp;ADDRESS(ROW(),COLUMN(NOTA[ID]))),-1)))</f>
        <v>GRAFINDO</v>
      </c>
      <c r="AI711" s="49" t="str">
        <f ca="1">IF(NOTA[[#This Row],[ID_H]]="","",IF(NOTA[[#This Row],[FAKTUR]]="",INDIRECT(ADDRESS(ROW()-1,COLUMN())),NOTA[[#This Row],[FAKTUR]]))</f>
        <v>UNTANA</v>
      </c>
      <c r="AJ711" s="38">
        <f ca="1">IF(NOTA[[#This Row],[ID]]="","",COUNTIF(NOTA[ID_H],NOTA[[#This Row],[ID_H]]))</f>
        <v>3</v>
      </c>
      <c r="AK711" s="38" t="str">
        <f ca="1">IF(NOTA[[#This Row],[TGL.NOTA]]="",IF(NOTA[[#This Row],[SUPPLIER_H]]="","",AK766),MONTH(NOTA[[#This Row],[TGL.NOTA]]))</f>
        <v/>
      </c>
      <c r="AL711" s="38" t="str">
        <f>LOWER(SUBSTITUTE(SUBSTITUTE(SUBSTITUTE(SUBSTITUTE(SUBSTITUTE(SUBSTITUTE(SUBSTITUTE(SUBSTITUTE(SUBSTITUTE(NOTA[NAMA BARANG]," ",),".",""),"-",""),"(",""),")",""),",",""),"/",""),"""",""),"+",""))</f>
        <v>mapkcgatosbr</v>
      </c>
      <c r="AM711" s="38" t="str">
        <f>IF(NOTA[C]="",NOTA[[#This Row],[CONCAT1]]&amp;NOTA[[#This Row],[HARGA SATUAN]],NOTA[[#This Row],[CONCAT1]]&amp;NOTA[[#This Row],[HARGA/ CTN_H]]&amp;NOTA[[#This Row],[DISC 1]]&amp;NOTA[[#This Row],[DISC 2]])</f>
        <v>mapkcgatosbr870000</v>
      </c>
      <c r="AN711" s="184">
        <f>IF(NOTA[[#This Row],[CONCAT1]]="","",MATCH(NOTA[[#This Row],[CONCAT1]],[1]!db[NB NOTA_C],0)+1)</f>
        <v>1454</v>
      </c>
    </row>
    <row r="712" spans="1:40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Row],[CEK_EXP]]&lt;D711,"err","")</f>
        <v/>
      </c>
      <c r="D712" s="50">
        <f>IF(NOTA[[#This Row],[TANGGAL]]="",D711,NOTA[[#This Row],[TANGGAL]])</f>
        <v>44952</v>
      </c>
      <c r="E712" s="50">
        <f ca="1">IF(NOTA[[#This Row],[NAMA BARANG]]="","",INDEX(NOTA[ID],MATCH(,INDIRECT(ADDRESS(ROW(NOTA[ID]),COLUMN(NOTA[ID]))&amp;":"&amp;ADDRESS(ROW(),COLUMN(NOTA[ID]))),-1)))</f>
        <v>135</v>
      </c>
      <c r="F712" s="23"/>
      <c r="G712" s="26"/>
      <c r="H712" s="26"/>
      <c r="I712" s="31"/>
      <c r="J712" s="26"/>
      <c r="K712" s="51"/>
      <c r="L712" s="26"/>
      <c r="M712" s="26" t="s">
        <v>873</v>
      </c>
      <c r="N712" s="39">
        <v>15</v>
      </c>
      <c r="O712" s="26">
        <f>50*15</f>
        <v>750</v>
      </c>
      <c r="P712" s="26" t="s">
        <v>90</v>
      </c>
      <c r="Q712" s="49">
        <v>17400</v>
      </c>
      <c r="R712" s="52"/>
      <c r="S712" s="39" t="s">
        <v>227</v>
      </c>
      <c r="T712" s="53"/>
      <c r="U712" s="53"/>
      <c r="V712" s="54"/>
      <c r="W712" s="37"/>
      <c r="X712" s="54">
        <f>IF(NOTA[[#This Row],[HARGA/ CTN]]="",NOTA[[#This Row],[JUMLAH_H]],NOTA[[#This Row],[HARGA/ CTN]]*IF(NOTA[[#This Row],[C]]="",0,NOTA[[#This Row],[C]]))</f>
        <v>13050000</v>
      </c>
      <c r="Y712" s="54">
        <f>IF(NOTA[[#This Row],[JUMLAH]]="","",NOTA[[#This Row],[JUMLAH]]*NOTA[[#This Row],[DISC 1]])</f>
        <v>0</v>
      </c>
      <c r="Z712" s="54">
        <f>IF(NOTA[[#This Row],[JUMLAH]]="","",(NOTA[[#This Row],[JUMLAH]]-NOTA[[#This Row],[DISC 1-]])*NOTA[[#This Row],[DISC 2]])</f>
        <v>0</v>
      </c>
      <c r="AA712" s="54">
        <f>IF(NOTA[[#This Row],[JUMLAH]]="","",NOTA[[#This Row],[DISC 1-]]+NOTA[[#This Row],[DISC 2-]])</f>
        <v>0</v>
      </c>
      <c r="AB712" s="54">
        <f>IF(NOTA[[#This Row],[JUMLAH]]="","",NOTA[[#This Row],[JUMLAH]]-NOTA[[#This Row],[DISC]])</f>
        <v>13050000</v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F712" s="54">
        <f>IF(OR(NOTA[[#This Row],[QTY]]="",NOTA[[#This Row],[HARGA SATUAN]]="",),"",NOTA[[#This Row],[QTY]]*NOTA[[#This Row],[HARGA SATUAN]])</f>
        <v>13050000</v>
      </c>
      <c r="AG712" s="51">
        <f ca="1">IF(NOTA[ID_H]="","",INDEX(NOTA[TANGGAL],MATCH(,INDIRECT(ADDRESS(ROW(NOTA[TANGGAL]),COLUMN(NOTA[TANGGAL]))&amp;":"&amp;ADDRESS(ROW(),COLUMN(NOTA[TANGGAL]))),-1)))</f>
        <v>44952</v>
      </c>
      <c r="AH712" s="49" t="str">
        <f ca="1">IF(NOTA[[#This Row],[NAMA BARANG]]="","",INDEX(NOTA[SUPPLIER],MATCH(,INDIRECT(ADDRESS(ROW(NOTA[ID]),COLUMN(NOTA[ID]))&amp;":"&amp;ADDRESS(ROW(),COLUMN(NOTA[ID]))),-1)))</f>
        <v>GRAFINDO</v>
      </c>
      <c r="AI712" s="49" t="str">
        <f ca="1">IF(NOTA[[#This Row],[ID_H]]="","",IF(NOTA[[#This Row],[FAKTUR]]="",INDIRECT(ADDRESS(ROW()-1,COLUMN())),NOTA[[#This Row],[FAKTUR]]))</f>
        <v>UNTANA</v>
      </c>
      <c r="AJ712" s="38" t="str">
        <f ca="1">IF(NOTA[[#This Row],[ID]]="","",COUNTIF(NOTA[ID_H],NOTA[[#This Row],[ID_H]]))</f>
        <v/>
      </c>
      <c r="AK712" s="38" t="str">
        <f ca="1">IF(NOTA[[#This Row],[TGL.NOTA]]="",IF(NOTA[[#This Row],[SUPPLIER_H]]="","",AK711),MONTH(NOTA[[#This Row],[TGL.NOTA]]))</f>
        <v/>
      </c>
      <c r="AL712" s="38" t="str">
        <f>LOWER(SUBSTITUTE(SUBSTITUTE(SUBSTITUTE(SUBSTITUTE(SUBSTITUTE(SUBSTITUTE(SUBSTITUTE(SUBSTITUTE(SUBSTITUTE(NOTA[NAMA BARANG]," ",),".",""),"-",""),"(",""),")",""),",",""),"/",""),"""",""),"+",""))</f>
        <v>mapkcgatosmrh</v>
      </c>
      <c r="AM712" s="38" t="str">
        <f>IF(NOTA[C]="",NOTA[[#This Row],[CONCAT1]]&amp;NOTA[[#This Row],[HARGA SATUAN]],NOTA[[#This Row],[CONCAT1]]&amp;NOTA[[#This Row],[HARGA/ CTN_H]]&amp;NOTA[[#This Row],[DISC 1]]&amp;NOTA[[#This Row],[DISC 2]])</f>
        <v>mapkcgatosmrh870000</v>
      </c>
      <c r="AN712" s="184">
        <f>IF(NOTA[[#This Row],[CONCAT1]]="","",MATCH(NOTA[[#This Row],[CONCAT1]],[1]!db[NB NOTA_C],0)+1)</f>
        <v>1455</v>
      </c>
    </row>
    <row r="713" spans="1:40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Row],[CEK_EXP]]&lt;D712,"err","")</f>
        <v/>
      </c>
      <c r="D713" s="50">
        <f>IF(NOTA[[#This Row],[TANGGAL]]="",D712,NOTA[[#This Row],[TANGGAL]])</f>
        <v>44952</v>
      </c>
      <c r="E713" s="50">
        <f ca="1">IF(NOTA[[#This Row],[NAMA BARANG]]="","",INDEX(NOTA[ID],MATCH(,INDIRECT(ADDRESS(ROW(NOTA[ID]),COLUMN(NOTA[ID]))&amp;":"&amp;ADDRESS(ROW(),COLUMN(NOTA[ID]))),-1)))</f>
        <v>135</v>
      </c>
      <c r="F713" s="23"/>
      <c r="G713" s="26"/>
      <c r="H713" s="26"/>
      <c r="I713" s="31"/>
      <c r="J713" s="26"/>
      <c r="K713" s="51"/>
      <c r="L713" s="26"/>
      <c r="M713" s="26" t="s">
        <v>956</v>
      </c>
      <c r="N713" s="39">
        <v>5</v>
      </c>
      <c r="O713" s="26">
        <v>250</v>
      </c>
      <c r="P713" s="26" t="s">
        <v>90</v>
      </c>
      <c r="Q713" s="49">
        <v>17400</v>
      </c>
      <c r="R713" s="52"/>
      <c r="S713" s="39" t="s">
        <v>227</v>
      </c>
      <c r="T713" s="53"/>
      <c r="U713" s="53"/>
      <c r="V713" s="54"/>
      <c r="W713" s="37"/>
      <c r="X713" s="54">
        <f>IF(NOTA[[#This Row],[HARGA/ CTN]]="",NOTA[[#This Row],[JUMLAH_H]],NOTA[[#This Row],[HARGA/ CTN]]*IF(NOTA[[#This Row],[C]]="",0,NOTA[[#This Row],[C]]))</f>
        <v>4350000</v>
      </c>
      <c r="Y713" s="54">
        <f>IF(NOTA[[#This Row],[JUMLAH]]="","",NOTA[[#This Row],[JUMLAH]]*NOTA[[#This Row],[DISC 1]])</f>
        <v>0</v>
      </c>
      <c r="Z713" s="54">
        <f>IF(NOTA[[#This Row],[JUMLAH]]="","",(NOTA[[#This Row],[JUMLAH]]-NOTA[[#This Row],[DISC 1-]])*NOTA[[#This Row],[DISC 2]])</f>
        <v>0</v>
      </c>
      <c r="AA713" s="54">
        <f>IF(NOTA[[#This Row],[JUMLAH]]="","",NOTA[[#This Row],[DISC 1-]]+NOTA[[#This Row],[DISC 2-]])</f>
        <v>0</v>
      </c>
      <c r="AB713" s="54">
        <f>IF(NOTA[[#This Row],[JUMLAH]]="","",NOTA[[#This Row],[JUMLAH]]-NOTA[[#This Row],[DISC]])</f>
        <v>4350000</v>
      </c>
      <c r="AC7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34800000</v>
      </c>
      <c r="AE713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F713" s="54">
        <f>IF(OR(NOTA[[#This Row],[QTY]]="",NOTA[[#This Row],[HARGA SATUAN]]="",),"",NOTA[[#This Row],[QTY]]*NOTA[[#This Row],[HARGA SATUAN]])</f>
        <v>4350000</v>
      </c>
      <c r="AG713" s="51">
        <f ca="1">IF(NOTA[ID_H]="","",INDEX(NOTA[TANGGAL],MATCH(,INDIRECT(ADDRESS(ROW(NOTA[TANGGAL]),COLUMN(NOTA[TANGGAL]))&amp;":"&amp;ADDRESS(ROW(),COLUMN(NOTA[TANGGAL]))),-1)))</f>
        <v>44952</v>
      </c>
      <c r="AH713" s="49" t="str">
        <f ca="1">IF(NOTA[[#This Row],[NAMA BARANG]]="","",INDEX(NOTA[SUPPLIER],MATCH(,INDIRECT(ADDRESS(ROW(NOTA[ID]),COLUMN(NOTA[ID]))&amp;":"&amp;ADDRESS(ROW(),COLUMN(NOTA[ID]))),-1)))</f>
        <v>GRAFINDO</v>
      </c>
      <c r="AI713" s="49" t="str">
        <f ca="1">IF(NOTA[[#This Row],[ID_H]]="","",IF(NOTA[[#This Row],[FAKTUR]]="",INDIRECT(ADDRESS(ROW()-1,COLUMN())),NOTA[[#This Row],[FAKTUR]]))</f>
        <v>UNTANA</v>
      </c>
      <c r="AJ713" s="38" t="str">
        <f ca="1">IF(NOTA[[#This Row],[ID]]="","",COUNTIF(NOTA[ID_H],NOTA[[#This Row],[ID_H]]))</f>
        <v/>
      </c>
      <c r="AK713" s="38" t="str">
        <f ca="1">IF(NOTA[[#This Row],[TGL.NOTA]]="",IF(NOTA[[#This Row],[SUPPLIER_H]]="","",AK712),MONTH(NOTA[[#This Row],[TGL.NOTA]]))</f>
        <v/>
      </c>
      <c r="AL713" s="38" t="str">
        <f>LOWER(SUBSTITUTE(SUBSTITUTE(SUBSTITUTE(SUBSTITUTE(SUBSTITUTE(SUBSTITUTE(SUBSTITUTE(SUBSTITUTE(SUBSTITUTE(NOTA[NAMA BARANG]," ",),".",""),"-",""),"(",""),")",""),",",""),"/",""),"""",""),"+",""))</f>
        <v>mapkcgatozkng</v>
      </c>
      <c r="AM713" s="38" t="str">
        <f>IF(NOTA[C]="",NOTA[[#This Row],[CONCAT1]]&amp;NOTA[[#This Row],[HARGA SATUAN]],NOTA[[#This Row],[CONCAT1]]&amp;NOTA[[#This Row],[HARGA/ CTN_H]]&amp;NOTA[[#This Row],[DISC 1]]&amp;NOTA[[#This Row],[DISC 2]])</f>
        <v>mapkcgatozkng870000</v>
      </c>
      <c r="AN713" s="184">
        <f>IF(NOTA[[#This Row],[CONCAT1]]="","",MATCH(NOTA[[#This Row],[CONCAT1]],[1]!db[NB NOTA_C],0)+1)</f>
        <v>1456</v>
      </c>
    </row>
    <row r="714" spans="1:40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Row],[CEK_EXP]]&lt;D713,"err","")</f>
        <v/>
      </c>
      <c r="D714" s="50">
        <f>IF(NOTA[[#This Row],[TANGGAL]]="",D713,NOTA[[#This Row],[TANGGAL]])</f>
        <v>44952</v>
      </c>
      <c r="E714" s="50" t="str">
        <f ca="1">IF(NOTA[[#This Row],[NAMA BARANG]]="","",INDEX(NOTA[ID],MATCH(,INDIRECT(ADDRESS(ROW(NOTA[ID]),COLUMN(NOTA[ID]))&amp;":"&amp;ADDRESS(ROW(),COLUMN(NOTA[ID]))),-1)))</f>
        <v/>
      </c>
      <c r="F714" s="23"/>
      <c r="G714" s="26"/>
      <c r="H714" s="26"/>
      <c r="I714" s="31"/>
      <c r="J714" s="26"/>
      <c r="K714" s="51"/>
      <c r="L714" s="26"/>
      <c r="M714" s="26"/>
      <c r="N714" s="39"/>
      <c r="O714" s="26"/>
      <c r="P714" s="26"/>
      <c r="Q714" s="49"/>
      <c r="R714" s="52"/>
      <c r="S714" s="39"/>
      <c r="T714" s="53"/>
      <c r="U714" s="53"/>
      <c r="V714" s="54"/>
      <c r="W714" s="37"/>
      <c r="X714" s="54" t="str">
        <f>IF(NOTA[[#This Row],[HARGA/ CTN]]="",NOTA[[#This Row],[JUMLAH_H]],NOTA[[#This Row],[HARGA/ CTN]]*IF(NOTA[[#This Row],[C]]="",0,NOTA[[#This Row],[C]]))</f>
        <v/>
      </c>
      <c r="Y714" s="54" t="str">
        <f>IF(NOTA[[#This Row],[JUMLAH]]="","",NOTA[[#This Row],[JUMLAH]]*NOTA[[#This Row],[DISC 1]])</f>
        <v/>
      </c>
      <c r="Z714" s="54" t="str">
        <f>IF(NOTA[[#This Row],[JUMLAH]]="","",(NOTA[[#This Row],[JUMLAH]]-NOTA[[#This Row],[DISC 1-]])*NOTA[[#This Row],[DISC 2]])</f>
        <v/>
      </c>
      <c r="AA714" s="54" t="str">
        <f>IF(NOTA[[#This Row],[JUMLAH]]="","",NOTA[[#This Row],[DISC 1-]]+NOTA[[#This Row],[DISC 2-]])</f>
        <v/>
      </c>
      <c r="AB714" s="54" t="str">
        <f>IF(NOTA[[#This Row],[JUMLAH]]="","",NOTA[[#This Row],[JUMLAH]]-NOTA[[#This Row],[DISC]])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54" t="str">
        <f>IF(OR(NOTA[[#This Row],[QTY]]="",NOTA[[#This Row],[HARGA SATUAN]]="",),"",NOTA[[#This Row],[QTY]]*NOTA[[#This Row],[HARGA SATUAN]])</f>
        <v/>
      </c>
      <c r="AG714" s="51" t="str">
        <f ca="1">IF(NOTA[ID_H]="","",INDEX(NOTA[TANGGAL],MATCH(,INDIRECT(ADDRESS(ROW(NOTA[TANGGAL]),COLUMN(NOTA[TANGGAL]))&amp;":"&amp;ADDRESS(ROW(),COLUMN(NOTA[TANGGAL]))),-1)))</f>
        <v/>
      </c>
      <c r="AH714" s="49" t="str">
        <f ca="1">IF(NOTA[[#This Row],[NAMA BARANG]]="","",INDEX(NOTA[SUPPLIER],MATCH(,INDIRECT(ADDRESS(ROW(NOTA[ID]),COLUMN(NOTA[ID]))&amp;":"&amp;ADDRESS(ROW(),COLUMN(NOTA[ID]))),-1)))</f>
        <v/>
      </c>
      <c r="AI714" s="49" t="str">
        <f ca="1">IF(NOTA[[#This Row],[ID_H]]="","",IF(NOTA[[#This Row],[FAKTUR]]="",INDIRECT(ADDRESS(ROW()-1,COLUMN())),NOTA[[#This Row],[FAKTUR]]))</f>
        <v/>
      </c>
      <c r="AJ714" s="38" t="str">
        <f ca="1">IF(NOTA[[#This Row],[ID]]="","",COUNTIF(NOTA[ID_H],NOTA[[#This Row],[ID_H]]))</f>
        <v/>
      </c>
      <c r="AK714" s="38" t="str">
        <f ca="1">IF(NOTA[[#This Row],[TGL.NOTA]]="",IF(NOTA[[#This Row],[SUPPLIER_H]]="","",AK713),MONTH(NOTA[[#This Row],[TGL.NOTA]]))</f>
        <v/>
      </c>
      <c r="AL714" s="38" t="str">
        <f>LOWER(SUBSTITUTE(SUBSTITUTE(SUBSTITUTE(SUBSTITUTE(SUBSTITUTE(SUBSTITUTE(SUBSTITUTE(SUBSTITUTE(SUBSTITUTE(NOTA[NAMA BARANG]," ",),".",""),"-",""),"(",""),")",""),",",""),"/",""),"""",""),"+",""))</f>
        <v/>
      </c>
      <c r="AM714" s="38" t="str">
        <f>IF(NOTA[C]="",NOTA[[#This Row],[CONCAT1]]&amp;NOTA[[#This Row],[HARGA SATUAN]],NOTA[[#This Row],[CONCAT1]]&amp;NOTA[[#This Row],[HARGA/ CTN_H]]&amp;NOTA[[#This Row],[DISC 1]]&amp;NOTA[[#This Row],[DISC 2]])</f>
        <v/>
      </c>
      <c r="AN714" s="184" t="str">
        <f>IF(NOTA[[#This Row],[CONCAT1]]="","",MATCH(NOTA[[#This Row],[CONCAT1]],[1]!db[NB NOTA_C],0)+1)</f>
        <v/>
      </c>
    </row>
    <row r="715" spans="1:40" ht="20.100000000000001" customHeight="1" x14ac:dyDescent="0.25">
      <c r="A715" s="49">
        <f ca="1">IF(INDIRECT(ADDRESS(ROW()-1,COLUMN(NOTA[[#Headers],[ID]])))="ID",1,IF(NOTA[[#This Row],[FAKTUR]]="","",COUNT(INDIRECT(ADDRESS(ROW(NOTA[ID]),COLUMN(NOTA[ID]))&amp;":"&amp;ADDRESS(ROW()-1,COLUMN(NOTA[ID]))))+1))</f>
        <v>136</v>
      </c>
      <c r="B7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ATA_2601_-5</v>
      </c>
      <c r="C715" s="50" t="str">
        <f>IF(NOTA[[#This Row],[CEK_EXP]]&lt;D714,"err","")</f>
        <v/>
      </c>
      <c r="D715" s="50">
        <f>IF(NOTA[[#This Row],[TANGGAL]]="",D714,NOTA[[#This Row],[TANGGAL]])</f>
        <v>44952</v>
      </c>
      <c r="E715" s="50">
        <f ca="1">IF(NOTA[[#This Row],[NAMA BARANG]]="","",INDEX(NOTA[ID],MATCH(,INDIRECT(ADDRESS(ROW(NOTA[ID]),COLUMN(NOTA[ID]))&amp;":"&amp;ADDRESS(ROW(),COLUMN(NOTA[ID]))),-1)))</f>
        <v>136</v>
      </c>
      <c r="F715" s="23"/>
      <c r="G715" s="26" t="s">
        <v>25</v>
      </c>
      <c r="H715" s="26" t="s">
        <v>24</v>
      </c>
      <c r="I715" s="31"/>
      <c r="J715" s="26"/>
      <c r="K715" s="51"/>
      <c r="L715" s="26"/>
      <c r="M715" s="26" t="s">
        <v>875</v>
      </c>
      <c r="N715" s="39">
        <v>1</v>
      </c>
      <c r="O715" s="26">
        <v>120</v>
      </c>
      <c r="P715" s="26" t="s">
        <v>104</v>
      </c>
      <c r="Q715" s="49">
        <v>12950</v>
      </c>
      <c r="R715" s="52"/>
      <c r="S715" s="39" t="s">
        <v>246</v>
      </c>
      <c r="T715" s="53">
        <v>0.125</v>
      </c>
      <c r="U715" s="53">
        <v>0.05</v>
      </c>
      <c r="V715" s="54"/>
      <c r="W715" s="37"/>
      <c r="X715" s="54">
        <f>IF(NOTA[[#This Row],[HARGA/ CTN]]="",NOTA[[#This Row],[JUMLAH_H]],NOTA[[#This Row],[HARGA/ CTN]]*IF(NOTA[[#This Row],[C]]="",0,NOTA[[#This Row],[C]]))</f>
        <v>1554000</v>
      </c>
      <c r="Y715" s="54">
        <f>IF(NOTA[[#This Row],[JUMLAH]]="","",NOTA[[#This Row],[JUMLAH]]*NOTA[[#This Row],[DISC 1]])</f>
        <v>194250</v>
      </c>
      <c r="Z715" s="54">
        <f>IF(NOTA[[#This Row],[JUMLAH]]="","",(NOTA[[#This Row],[JUMLAH]]-NOTA[[#This Row],[DISC 1-]])*NOTA[[#This Row],[DISC 2]])</f>
        <v>67987.5</v>
      </c>
      <c r="AA715" s="54">
        <f>IF(NOTA[[#This Row],[JUMLAH]]="","",NOTA[[#This Row],[DISC 1-]]+NOTA[[#This Row],[DISC 2-]])</f>
        <v>262237.5</v>
      </c>
      <c r="AB715" s="54">
        <f>IF(NOTA[[#This Row],[JUMLAH]]="","",NOTA[[#This Row],[JUMLAH]]-NOTA[[#This Row],[DISC]])</f>
        <v>1291762.5</v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49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715" s="54">
        <f>IF(OR(NOTA[[#This Row],[QTY]]="",NOTA[[#This Row],[HARGA SATUAN]]="",),"",NOTA[[#This Row],[QTY]]*NOTA[[#This Row],[HARGA SATUAN]])</f>
        <v>1554000</v>
      </c>
      <c r="AG715" s="51">
        <f ca="1">IF(NOTA[ID_H]="","",INDEX(NOTA[TANGGAL],MATCH(,INDIRECT(ADDRESS(ROW(NOTA[TANGGAL]),COLUMN(NOTA[TANGGAL]))&amp;":"&amp;ADDRESS(ROW(),COLUMN(NOTA[TANGGAL]))),-1)))</f>
        <v>44952</v>
      </c>
      <c r="AH715" s="49" t="str">
        <f ca="1">IF(NOTA[[#This Row],[NAMA BARANG]]="","",INDEX(NOTA[SUPPLIER],MATCH(,INDIRECT(ADDRESS(ROW(NOTA[ID]),COLUMN(NOTA[ID]))&amp;":"&amp;ADDRESS(ROW(),COLUMN(NOTA[ID]))),-1)))</f>
        <v>ATALI MAKMUR</v>
      </c>
      <c r="AI715" s="49" t="str">
        <f ca="1">IF(NOTA[[#This Row],[ID_H]]="","",IF(NOTA[[#This Row],[FAKTUR]]="",INDIRECT(ADDRESS(ROW()-1,COLUMN())),NOTA[[#This Row],[FAKTUR]]))</f>
        <v>ARTO MORO</v>
      </c>
      <c r="AJ715" s="38">
        <f ca="1">IF(NOTA[[#This Row],[ID]]="","",COUNTIF(NOTA[ID_H],NOTA[[#This Row],[ID_H]]))</f>
        <v>5</v>
      </c>
      <c r="AK715" s="38" t="str">
        <f ca="1">IF(NOTA[[#This Row],[TGL.NOTA]]="",IF(NOTA[[#This Row],[SUPPLIER_H]]="","",AK714),MONTH(NOTA[[#This Row],[TGL.NOTA]]))</f>
        <v/>
      </c>
      <c r="AL71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M715" s="38" t="str">
        <f>IF(NOTA[C]="",NOTA[[#This Row],[CONCAT1]]&amp;NOTA[[#This Row],[HARGA SATUAN]],NOTA[[#This Row],[CONCAT1]]&amp;NOTA[[#This Row],[HARGA/ CTN_H]]&amp;NOTA[[#This Row],[DISC 1]]&amp;NOTA[[#This Row],[DISC 2]])</f>
        <v>punch30xljk15540000.1250.05</v>
      </c>
      <c r="AN715" s="184">
        <f>IF(NOTA[[#This Row],[CONCAT1]]="","",MATCH(NOTA[[#This Row],[CONCAT1]],[1]!db[NB NOTA_C],0)+1)</f>
        <v>1883</v>
      </c>
    </row>
    <row r="716" spans="1:40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Row],[CEK_EXP]]&lt;D715,"err","")</f>
        <v/>
      </c>
      <c r="D716" s="50">
        <f>IF(NOTA[[#This Row],[TANGGAL]]="",D715,NOTA[[#This Row],[TANGGAL]])</f>
        <v>44952</v>
      </c>
      <c r="E716" s="50">
        <f ca="1">IF(NOTA[[#This Row],[NAMA BARANG]]="","",INDEX(NOTA[ID],MATCH(,INDIRECT(ADDRESS(ROW(NOTA[ID]),COLUMN(NOTA[ID]))&amp;":"&amp;ADDRESS(ROW(),COLUMN(NOTA[ID]))),-1)))</f>
        <v>136</v>
      </c>
      <c r="F716" s="23"/>
      <c r="G716" s="155"/>
      <c r="H716" s="155"/>
      <c r="I716" s="156"/>
      <c r="J716" s="155"/>
      <c r="K716" s="157"/>
      <c r="L716" s="155"/>
      <c r="M716" s="26" t="s">
        <v>876</v>
      </c>
      <c r="N716" s="158">
        <v>2</v>
      </c>
      <c r="O716" s="155">
        <v>40</v>
      </c>
      <c r="P716" s="26" t="s">
        <v>104</v>
      </c>
      <c r="Q716" s="159">
        <v>40500</v>
      </c>
      <c r="R716" s="160"/>
      <c r="S716" s="39" t="s">
        <v>487</v>
      </c>
      <c r="T716" s="53">
        <v>0.125</v>
      </c>
      <c r="U716" s="53">
        <v>0.05</v>
      </c>
      <c r="V716" s="54"/>
      <c r="W716" s="37"/>
      <c r="X716" s="54">
        <f>IF(NOTA[[#This Row],[HARGA/ CTN]]="",NOTA[[#This Row],[JUMLAH_H]],NOTA[[#This Row],[HARGA/ CTN]]*IF(NOTA[[#This Row],[C]]="",0,NOTA[[#This Row],[C]]))</f>
        <v>1620000</v>
      </c>
      <c r="Y716" s="54">
        <f>IF(NOTA[[#This Row],[JUMLAH]]="","",NOTA[[#This Row],[JUMLAH]]*NOTA[[#This Row],[DISC 1]])</f>
        <v>202500</v>
      </c>
      <c r="Z716" s="54">
        <f>IF(NOTA[[#This Row],[JUMLAH]]="","",(NOTA[[#This Row],[JUMLAH]]-NOTA[[#This Row],[DISC 1-]])*NOTA[[#This Row],[DISC 2]])</f>
        <v>70875</v>
      </c>
      <c r="AA716" s="54">
        <f>IF(NOTA[[#This Row],[JUMLAH]]="","",NOTA[[#This Row],[DISC 1-]]+NOTA[[#This Row],[DISC 2-]])</f>
        <v>273375</v>
      </c>
      <c r="AB716" s="54">
        <f>IF(NOTA[[#This Row],[JUMLAH]]="","",NOTA[[#This Row],[JUMLAH]]-NOTA[[#This Row],[DISC]])</f>
        <v>1346625</v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16" s="54">
        <f>IF(OR(NOTA[[#This Row],[QTY]]="",NOTA[[#This Row],[HARGA SATUAN]]="",),"",NOTA[[#This Row],[QTY]]*NOTA[[#This Row],[HARGA SATUAN]])</f>
        <v>1620000</v>
      </c>
      <c r="AG716" s="51">
        <f ca="1">IF(NOTA[ID_H]="","",INDEX(NOTA[TANGGAL],MATCH(,INDIRECT(ADDRESS(ROW(NOTA[TANGGAL]),COLUMN(NOTA[TANGGAL]))&amp;":"&amp;ADDRESS(ROW(),COLUMN(NOTA[TANGGAL]))),-1)))</f>
        <v>44952</v>
      </c>
      <c r="AH716" s="49" t="str">
        <f ca="1">IF(NOTA[[#This Row],[NAMA BARANG]]="","",INDEX(NOTA[SUPPLIER],MATCH(,INDIRECT(ADDRESS(ROW(NOTA[ID]),COLUMN(NOTA[ID]))&amp;":"&amp;ADDRESS(ROW(),COLUMN(NOTA[ID]))),-1)))</f>
        <v>ATALI MAKMUR</v>
      </c>
      <c r="AI716" s="49" t="str">
        <f ca="1">IF(NOTA[[#This Row],[ID_H]]="","",IF(NOTA[[#This Row],[FAKTUR]]="",INDIRECT(ADDRESS(ROW()-1,COLUMN())),NOTA[[#This Row],[FAKTUR]]))</f>
        <v>ARTO MORO</v>
      </c>
      <c r="AJ716" s="38" t="str">
        <f ca="1">IF(NOTA[[#This Row],[ID]]="","",COUNTIF(NOTA[ID_H],NOTA[[#This Row],[ID_H]]))</f>
        <v/>
      </c>
      <c r="AK716" s="38" t="str">
        <f ca="1">IF(NOTA[[#This Row],[TGL.NOTA]]="",IF(NOTA[[#This Row],[SUPPLIER_H]]="","",AK715),MONTH(NOTA[[#This Row],[TGL.NOTA]]))</f>
        <v/>
      </c>
      <c r="AL716" s="38" t="str">
        <f>LOWER(SUBSTITUTE(SUBSTITUTE(SUBSTITUTE(SUBSTITUTE(SUBSTITUTE(SUBSTITUTE(SUBSTITUTE(SUBSTITUTE(SUBSTITUTE(NOTA[NAMA BARANG]," ",),".",""),"-",""),"(",""),")",""),",",""),"/",""),"""",""),"+",""))</f>
        <v>mesinlabelmx5500m</v>
      </c>
      <c r="AM716" s="38" t="str">
        <f>IF(NOTA[C]="",NOTA[[#This Row],[CONCAT1]]&amp;NOTA[[#This Row],[HARGA SATUAN]],NOTA[[#This Row],[CONCAT1]]&amp;NOTA[[#This Row],[HARGA/ CTN_H]]&amp;NOTA[[#This Row],[DISC 1]]&amp;NOTA[[#This Row],[DISC 2]])</f>
        <v>mesinlabelmx5500m8100000.1250.05</v>
      </c>
      <c r="AN716" s="184" t="e">
        <f>IF(NOTA[[#This Row],[CONCAT1]]="","",MATCH(NOTA[[#This Row],[CONCAT1]],[1]!db[NB NOTA_C],0)+1)</f>
        <v>#N/A</v>
      </c>
    </row>
    <row r="717" spans="1:40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Row],[CEK_EXP]]&lt;D716,"err","")</f>
        <v/>
      </c>
      <c r="D717" s="50">
        <f>IF(NOTA[[#This Row],[TANGGAL]]="",D716,NOTA[[#This Row],[TANGGAL]])</f>
        <v>44952</v>
      </c>
      <c r="E717" s="50">
        <f ca="1">IF(NOTA[[#This Row],[NAMA BARANG]]="","",INDEX(NOTA[ID],MATCH(,INDIRECT(ADDRESS(ROW(NOTA[ID]),COLUMN(NOTA[ID]))&amp;":"&amp;ADDRESS(ROW(),COLUMN(NOTA[ID]))),-1)))</f>
        <v>136</v>
      </c>
      <c r="F717" s="23"/>
      <c r="G717" s="26"/>
      <c r="H717" s="26"/>
      <c r="I717" s="31"/>
      <c r="J717" s="26"/>
      <c r="K717" s="51"/>
      <c r="L717" s="26"/>
      <c r="M717" s="26" t="s">
        <v>877</v>
      </c>
      <c r="N717" s="39">
        <v>2</v>
      </c>
      <c r="O717" s="26">
        <v>60</v>
      </c>
      <c r="P717" s="26" t="s">
        <v>274</v>
      </c>
      <c r="Q717" s="49">
        <v>96000</v>
      </c>
      <c r="R717" s="52"/>
      <c r="S717" s="39" t="s">
        <v>370</v>
      </c>
      <c r="T717" s="53">
        <v>0.125</v>
      </c>
      <c r="U717" s="53">
        <v>0.05</v>
      </c>
      <c r="V717" s="54"/>
      <c r="W717" s="37"/>
      <c r="X717" s="54">
        <f>IF(NOTA[[#This Row],[HARGA/ CTN]]="",NOTA[[#This Row],[JUMLAH_H]],NOTA[[#This Row],[HARGA/ CTN]]*IF(NOTA[[#This Row],[C]]="",0,NOTA[[#This Row],[C]]))</f>
        <v>5760000</v>
      </c>
      <c r="Y717" s="54">
        <f>IF(NOTA[[#This Row],[JUMLAH]]="","",NOTA[[#This Row],[JUMLAH]]*NOTA[[#This Row],[DISC 1]])</f>
        <v>720000</v>
      </c>
      <c r="Z717" s="54">
        <f>IF(NOTA[[#This Row],[JUMLAH]]="","",(NOTA[[#This Row],[JUMLAH]]-NOTA[[#This Row],[DISC 1-]])*NOTA[[#This Row],[DISC 2]])</f>
        <v>252000</v>
      </c>
      <c r="AA717" s="54">
        <f>IF(NOTA[[#This Row],[JUMLAH]]="","",NOTA[[#This Row],[DISC 1-]]+NOTA[[#This Row],[DISC 2-]])</f>
        <v>972000</v>
      </c>
      <c r="AB717" s="54">
        <f>IF(NOTA[[#This Row],[JUMLAH]]="","",NOTA[[#This Row],[JUMLAH]]-NOTA[[#This Row],[DISC]])</f>
        <v>4788000</v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7" s="54">
        <f>IF(OR(NOTA[[#This Row],[QTY]]="",NOTA[[#This Row],[HARGA SATUAN]]="",),"",NOTA[[#This Row],[QTY]]*NOTA[[#This Row],[HARGA SATUAN]])</f>
        <v>5760000</v>
      </c>
      <c r="AG717" s="51">
        <f ca="1">IF(NOTA[ID_H]="","",INDEX(NOTA[TANGGAL],MATCH(,INDIRECT(ADDRESS(ROW(NOTA[TANGGAL]),COLUMN(NOTA[TANGGAL]))&amp;":"&amp;ADDRESS(ROW(),COLUMN(NOTA[TANGGAL]))),-1)))</f>
        <v>44952</v>
      </c>
      <c r="AH717" s="49" t="str">
        <f ca="1">IF(NOTA[[#This Row],[NAMA BARANG]]="","",INDEX(NOTA[SUPPLIER],MATCH(,INDIRECT(ADDRESS(ROW(NOTA[ID]),COLUMN(NOTA[ID]))&amp;":"&amp;ADDRESS(ROW(),COLUMN(NOTA[ID]))),-1)))</f>
        <v>ATALI MAKMUR</v>
      </c>
      <c r="AI717" s="49" t="str">
        <f ca="1">IF(NOTA[[#This Row],[ID_H]]="","",IF(NOTA[[#This Row],[FAKTUR]]="",INDIRECT(ADDRESS(ROW()-1,COLUMN())),NOTA[[#This Row],[FAKTUR]]))</f>
        <v>ARTO MORO</v>
      </c>
      <c r="AJ717" s="38" t="str">
        <f ca="1">IF(NOTA[[#This Row],[ID]]="","",COUNTIF(NOTA[ID_H],NOTA[[#This Row],[ID_H]]))</f>
        <v/>
      </c>
      <c r="AK717" s="38" t="str">
        <f ca="1">IF(NOTA[[#This Row],[TGL.NOTA]]="",IF(NOTA[[#This Row],[SUPPLIER_H]]="","",AK716),MONTH(NOTA[[#This Row],[TGL.NOTA]]))</f>
        <v/>
      </c>
      <c r="AL717" s="38" t="str">
        <f>LOWER(SUBSTITUTE(SUBSTITUTE(SUBSTITUTE(SUBSTITUTE(SUBSTITUTE(SUBSTITUTE(SUBSTITUTE(SUBSTITUTE(SUBSTITUTE(NOTA[NAMA BARANG]," ",),".",""),"-",""),"(",""),")",""),",",""),"/",""),"""",""),"+",""))</f>
        <v>pensil2bp95jk</v>
      </c>
      <c r="AM717" s="38" t="str">
        <f>IF(NOTA[C]="",NOTA[[#This Row],[CONCAT1]]&amp;NOTA[[#This Row],[HARGA SATUAN]],NOTA[[#This Row],[CONCAT1]]&amp;NOTA[[#This Row],[HARGA/ CTN_H]]&amp;NOTA[[#This Row],[DISC 1]]&amp;NOTA[[#This Row],[DISC 2]])</f>
        <v>pensil2bp95jk28800000.1250.05</v>
      </c>
      <c r="AN717" s="184" t="e">
        <f>IF(NOTA[[#This Row],[CONCAT1]]="","",MATCH(NOTA[[#This Row],[CONCAT1]],[1]!db[NB NOTA_C],0)+1)</f>
        <v>#N/A</v>
      </c>
    </row>
    <row r="718" spans="1:40" ht="20.100000000000001" customHeight="1" x14ac:dyDescent="0.25">
      <c r="A7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0" t="str">
        <f>IF(NOTA[[#This Row],[CEK_EXP]]&lt;D717,"err","")</f>
        <v/>
      </c>
      <c r="D718" s="50">
        <f>IF(NOTA[[#This Row],[TANGGAL]]="",D717,NOTA[[#This Row],[TANGGAL]])</f>
        <v>44952</v>
      </c>
      <c r="E718" s="50">
        <f ca="1">IF(NOTA[[#This Row],[NAMA BARANG]]="","",INDEX(NOTA[ID],MATCH(,INDIRECT(ADDRESS(ROW(NOTA[ID]),COLUMN(NOTA[ID]))&amp;":"&amp;ADDRESS(ROW(),COLUMN(NOTA[ID]))),-1)))</f>
        <v>136</v>
      </c>
      <c r="F718" s="23"/>
      <c r="G718" s="26"/>
      <c r="H718" s="26"/>
      <c r="I718" s="31"/>
      <c r="J718" s="26"/>
      <c r="K718" s="51"/>
      <c r="L718" s="26"/>
      <c r="M718" s="26" t="s">
        <v>878</v>
      </c>
      <c r="N718" s="39">
        <v>3</v>
      </c>
      <c r="O718" s="26">
        <f>48*3</f>
        <v>144</v>
      </c>
      <c r="P718" s="26" t="s">
        <v>90</v>
      </c>
      <c r="Q718" s="49">
        <v>36000</v>
      </c>
      <c r="R718" s="52"/>
      <c r="S718" s="39" t="s">
        <v>105</v>
      </c>
      <c r="T718" s="53">
        <v>0.125</v>
      </c>
      <c r="U718" s="53">
        <v>0.05</v>
      </c>
      <c r="V718" s="54"/>
      <c r="W718" s="37"/>
      <c r="X718" s="54">
        <f>IF(NOTA[[#This Row],[HARGA/ CTN]]="",NOTA[[#This Row],[JUMLAH_H]],NOTA[[#This Row],[HARGA/ CTN]]*IF(NOTA[[#This Row],[C]]="",0,NOTA[[#This Row],[C]]))</f>
        <v>5184000</v>
      </c>
      <c r="Y718" s="54">
        <f>IF(NOTA[[#This Row],[JUMLAH]]="","",NOTA[[#This Row],[JUMLAH]]*NOTA[[#This Row],[DISC 1]])</f>
        <v>648000</v>
      </c>
      <c r="Z718" s="54">
        <f>IF(NOTA[[#This Row],[JUMLAH]]="","",(NOTA[[#This Row],[JUMLAH]]-NOTA[[#This Row],[DISC 1-]])*NOTA[[#This Row],[DISC 2]])</f>
        <v>226800</v>
      </c>
      <c r="AA718" s="54">
        <f>IF(NOTA[[#This Row],[JUMLAH]]="","",NOTA[[#This Row],[DISC 1-]]+NOTA[[#This Row],[DISC 2-]])</f>
        <v>874800</v>
      </c>
      <c r="AB718" s="54">
        <f>IF(NOTA[[#This Row],[JUMLAH]]="","",NOTA[[#This Row],[JUMLAH]]-NOTA[[#This Row],[DISC]])</f>
        <v>4309200</v>
      </c>
      <c r="AC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18" s="54">
        <f>IF(OR(NOTA[[#This Row],[QTY]]="",NOTA[[#This Row],[HARGA SATUAN]]="",),"",NOTA[[#This Row],[QTY]]*NOTA[[#This Row],[HARGA SATUAN]])</f>
        <v>5184000</v>
      </c>
      <c r="AG718" s="51">
        <f ca="1">IF(NOTA[ID_H]="","",INDEX(NOTA[TANGGAL],MATCH(,INDIRECT(ADDRESS(ROW(NOTA[TANGGAL]),COLUMN(NOTA[TANGGAL]))&amp;":"&amp;ADDRESS(ROW(),COLUMN(NOTA[TANGGAL]))),-1)))</f>
        <v>44952</v>
      </c>
      <c r="AH718" s="49" t="str">
        <f ca="1">IF(NOTA[[#This Row],[NAMA BARANG]]="","",INDEX(NOTA[SUPPLIER],MATCH(,INDIRECT(ADDRESS(ROW(NOTA[ID]),COLUMN(NOTA[ID]))&amp;":"&amp;ADDRESS(ROW(),COLUMN(NOTA[ID]))),-1)))</f>
        <v>ATALI MAKMUR</v>
      </c>
      <c r="AI718" s="49" t="str">
        <f ca="1">IF(NOTA[[#This Row],[ID_H]]="","",IF(NOTA[[#This Row],[FAKTUR]]="",INDIRECT(ADDRESS(ROW()-1,COLUMN())),NOTA[[#This Row],[FAKTUR]]))</f>
        <v>ARTO MORO</v>
      </c>
      <c r="AJ718" s="38" t="str">
        <f ca="1">IF(NOTA[[#This Row],[ID]]="","",COUNTIF(NOTA[ID_H],NOTA[[#This Row],[ID_H]]))</f>
        <v/>
      </c>
      <c r="AK718" s="38" t="str">
        <f ca="1">IF(NOTA[[#This Row],[TGL.NOTA]]="",IF(NOTA[[#This Row],[SUPPLIER_H]]="","",AK717),MONTH(NOTA[[#This Row],[TGL.NOTA]]))</f>
        <v/>
      </c>
      <c r="AL718" s="38" t="str">
        <f>LOWER(SUBSTITUTE(SUBSTITUTE(SUBSTITUTE(SUBSTITUTE(SUBSTITUTE(SUBSTITUTE(SUBSTITUTE(SUBSTITUTE(SUBSTITUTE(NOTA[NAMA BARANG]," ",),".",""),"-",""),"(",""),")",""),",",""),"/",""),"""",""),"+",""))</f>
        <v>tipe*exjk101jk</v>
      </c>
      <c r="AM718" s="38" t="str">
        <f>IF(NOTA[C]="",NOTA[[#This Row],[CONCAT1]]&amp;NOTA[[#This Row],[HARGA SATUAN]],NOTA[[#This Row],[CONCAT1]]&amp;NOTA[[#This Row],[HARGA/ CTN_H]]&amp;NOTA[[#This Row],[DISC 1]]&amp;NOTA[[#This Row],[DISC 2]])</f>
        <v>tipe*exjk101jk17280000.1250.05</v>
      </c>
      <c r="AN718" s="184" t="e">
        <f>IF(NOTA[[#This Row],[CONCAT1]]="","",MATCH(NOTA[[#This Row],[CONCAT1]],[1]!db[NB NOTA_C],0)+1)</f>
        <v>#N/A</v>
      </c>
    </row>
    <row r="719" spans="1:40" ht="20.100000000000001" customHeight="1" x14ac:dyDescent="0.25">
      <c r="A7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0" t="str">
        <f>IF(NOTA[[#This Row],[CEK_EXP]]&lt;D718,"err","")</f>
        <v/>
      </c>
      <c r="D719" s="50">
        <f>IF(NOTA[[#This Row],[TANGGAL]]="",D718,NOTA[[#This Row],[TANGGAL]])</f>
        <v>44952</v>
      </c>
      <c r="E719" s="50">
        <f ca="1">IF(NOTA[[#This Row],[NAMA BARANG]]="","",INDEX(NOTA[ID],MATCH(,INDIRECT(ADDRESS(ROW(NOTA[ID]),COLUMN(NOTA[ID]))&amp;":"&amp;ADDRESS(ROW(),COLUMN(NOTA[ID]))),-1)))</f>
        <v>136</v>
      </c>
      <c r="F719" s="23"/>
      <c r="G719" s="26"/>
      <c r="H719" s="26"/>
      <c r="I719" s="31"/>
      <c r="J719" s="26"/>
      <c r="K719" s="51"/>
      <c r="L719" s="26"/>
      <c r="M719" s="26" t="s">
        <v>879</v>
      </c>
      <c r="N719" s="39"/>
      <c r="O719" s="26">
        <v>36</v>
      </c>
      <c r="P719" s="26" t="s">
        <v>104</v>
      </c>
      <c r="Q719" s="49">
        <v>2380</v>
      </c>
      <c r="R719" s="52"/>
      <c r="S719" s="39" t="s">
        <v>209</v>
      </c>
      <c r="T719" s="53">
        <v>0.1</v>
      </c>
      <c r="U719" s="53">
        <v>0.05</v>
      </c>
      <c r="V719" s="54"/>
      <c r="W719" s="37"/>
      <c r="X719" s="54">
        <f>IF(NOTA[[#This Row],[HARGA/ CTN]]="",NOTA[[#This Row],[JUMLAH_H]],NOTA[[#This Row],[HARGA/ CTN]]*IF(NOTA[[#This Row],[C]]="",0,NOTA[[#This Row],[C]]))</f>
        <v>85680</v>
      </c>
      <c r="Y719" s="54">
        <f>IF(NOTA[[#This Row],[JUMLAH]]="","",NOTA[[#This Row],[JUMLAH]]*NOTA[[#This Row],[DISC 1]])</f>
        <v>8568</v>
      </c>
      <c r="Z719" s="54">
        <f>IF(NOTA[[#This Row],[JUMLAH]]="","",(NOTA[[#This Row],[JUMLAH]]-NOTA[[#This Row],[DISC 1-]])*NOTA[[#This Row],[DISC 2]])</f>
        <v>3855.6000000000004</v>
      </c>
      <c r="AA719" s="54">
        <f>IF(NOTA[[#This Row],[JUMLAH]]="","",NOTA[[#This Row],[DISC 1-]]+NOTA[[#This Row],[DISC 2-]])</f>
        <v>12423.6</v>
      </c>
      <c r="AB719" s="54">
        <f>IF(NOTA[[#This Row],[JUMLAH]]="","",NOTA[[#This Row],[JUMLAH]]-NOTA[[#This Row],[DISC]])</f>
        <v>73256.399999999994</v>
      </c>
      <c r="AC7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2394836.1</v>
      </c>
      <c r="AD7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11808843.9</v>
      </c>
      <c r="AE719" s="49">
        <f>IF(NOTA[[#This Row],[NAMA BARANG]]="","",IF(NOTA[[#This Row],[JUMLAH_H]]="",NOTA[[#This Row],[HARGA/ CTN]],NOTA[[#This Row],[QTY]]*NOTA[[#This Row],[HARGA SATUAN]]/IF(ISNUMBER(NOTA[[#This Row],[C]]),NOTA[[#This Row],[C]],1)))</f>
        <v>85680</v>
      </c>
      <c r="AF719" s="54">
        <f>IF(OR(NOTA[[#This Row],[QTY]]="",NOTA[[#This Row],[HARGA SATUAN]]="",),"",NOTA[[#This Row],[QTY]]*NOTA[[#This Row],[HARGA SATUAN]])</f>
        <v>85680</v>
      </c>
      <c r="AG719" s="51">
        <f ca="1">IF(NOTA[ID_H]="","",INDEX(NOTA[TANGGAL],MATCH(,INDIRECT(ADDRESS(ROW(NOTA[TANGGAL]),COLUMN(NOTA[TANGGAL]))&amp;":"&amp;ADDRESS(ROW(),COLUMN(NOTA[TANGGAL]))),-1)))</f>
        <v>44952</v>
      </c>
      <c r="AH719" s="49" t="str">
        <f ca="1">IF(NOTA[[#This Row],[NAMA BARANG]]="","",INDEX(NOTA[SUPPLIER],MATCH(,INDIRECT(ADDRESS(ROW(NOTA[ID]),COLUMN(NOTA[ID]))&amp;":"&amp;ADDRESS(ROW(),COLUMN(NOTA[ID]))),-1)))</f>
        <v>ATALI MAKMUR</v>
      </c>
      <c r="AI719" s="49" t="str">
        <f ca="1">IF(NOTA[[#This Row],[ID_H]]="","",IF(NOTA[[#This Row],[FAKTUR]]="",INDIRECT(ADDRESS(ROW()-1,COLUMN())),NOTA[[#This Row],[FAKTUR]]))</f>
        <v>ARTO MORO</v>
      </c>
      <c r="AJ719" s="38" t="str">
        <f ca="1">IF(NOTA[[#This Row],[ID]]="","",COUNTIF(NOTA[ID_H],NOTA[[#This Row],[ID_H]]))</f>
        <v/>
      </c>
      <c r="AK719" s="38" t="str">
        <f ca="1">IF(NOTA[[#This Row],[TGL.NOTA]]="",IF(NOTA[[#This Row],[SUPPLIER_H]]="","",AK718),MONTH(NOTA[[#This Row],[TGL.NOTA]]))</f>
        <v/>
      </c>
      <c r="AL719" s="38" t="str">
        <f>LOWER(SUBSTITUTE(SUBSTITUTE(SUBSTITUTE(SUBSTITUTE(SUBSTITUTE(SUBSTITUTE(SUBSTITUTE(SUBSTITUTE(SUBSTITUTE(NOTA[NAMA BARANG]," ",),".",""),"-",""),"(",""),")",""),",",""),"/",""),"""",""),"+",""))</f>
        <v>spidolpm34htm</v>
      </c>
      <c r="AM719" s="38" t="str">
        <f>IF(NOTA[C]="",NOTA[[#This Row],[CONCAT1]]&amp;NOTA[[#This Row],[HARGA SATUAN]],NOTA[[#This Row],[CONCAT1]]&amp;NOTA[[#This Row],[HARGA/ CTN_H]]&amp;NOTA[[#This Row],[DISC 1]]&amp;NOTA[[#This Row],[DISC 2]])</f>
        <v>spidolpm34htm2380</v>
      </c>
      <c r="AN719" s="184" t="e">
        <f>IF(NOTA[[#This Row],[CONCAT1]]="","",MATCH(NOTA[[#This Row],[CONCAT1]],[1]!db[NB NOTA_C],0)+1)</f>
        <v>#N/A</v>
      </c>
    </row>
    <row r="720" spans="1:40" ht="20.100000000000001" customHeight="1" x14ac:dyDescent="0.25">
      <c r="A7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0" t="str">
        <f>IF(NOTA[[#This Row],[CEK_EXP]]&lt;D719,"err","")</f>
        <v/>
      </c>
      <c r="D720" s="50">
        <f>IF(NOTA[[#This Row],[TANGGAL]]="",D719,NOTA[[#This Row],[TANGGAL]])</f>
        <v>44952</v>
      </c>
      <c r="E720" s="50" t="str">
        <f ca="1">IF(NOTA[[#This Row],[NAMA BARANG]]="","",INDEX(NOTA[ID],MATCH(,INDIRECT(ADDRESS(ROW(NOTA[ID]),COLUMN(NOTA[ID]))&amp;":"&amp;ADDRESS(ROW(),COLUMN(NOTA[ID]))),-1)))</f>
        <v/>
      </c>
      <c r="F720" s="23"/>
      <c r="G720" s="26"/>
      <c r="H720" s="26"/>
      <c r="I720" s="31"/>
      <c r="J720" s="26"/>
      <c r="K720" s="51"/>
      <c r="L720" s="26"/>
      <c r="M720" s="26"/>
      <c r="N720" s="39"/>
      <c r="O720" s="26"/>
      <c r="P720" s="26"/>
      <c r="Q720" s="49"/>
      <c r="R720" s="52"/>
      <c r="S720" s="39"/>
      <c r="T720" s="53"/>
      <c r="U720" s="53"/>
      <c r="V720" s="54"/>
      <c r="W720" s="37"/>
      <c r="X720" s="54" t="str">
        <f>IF(NOTA[[#This Row],[HARGA/ CTN]]="",NOTA[[#This Row],[JUMLAH_H]],NOTA[[#This Row],[HARGA/ CTN]]*IF(NOTA[[#This Row],[C]]="",0,NOTA[[#This Row],[C]]))</f>
        <v/>
      </c>
      <c r="Y720" s="54" t="str">
        <f>IF(NOTA[[#This Row],[JUMLAH]]="","",NOTA[[#This Row],[JUMLAH]]*NOTA[[#This Row],[DISC 1]])</f>
        <v/>
      </c>
      <c r="Z720" s="54" t="str">
        <f>IF(NOTA[[#This Row],[JUMLAH]]="","",(NOTA[[#This Row],[JUMLAH]]-NOTA[[#This Row],[DISC 1-]])*NOTA[[#This Row],[DISC 2]])</f>
        <v/>
      </c>
      <c r="AA720" s="54" t="str">
        <f>IF(NOTA[[#This Row],[JUMLAH]]="","",NOTA[[#This Row],[DISC 1-]]+NOTA[[#This Row],[DISC 2-]])</f>
        <v/>
      </c>
      <c r="AB720" s="54" t="str">
        <f>IF(NOTA[[#This Row],[JUMLAH]]="","",NOTA[[#This Row],[JUMLAH]]-NOTA[[#This Row],[DISC]])</f>
        <v/>
      </c>
      <c r="AC7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54" t="str">
        <f>IF(OR(NOTA[[#This Row],[QTY]]="",NOTA[[#This Row],[HARGA SATUAN]]="",),"",NOTA[[#This Row],[QTY]]*NOTA[[#This Row],[HARGA SATUAN]])</f>
        <v/>
      </c>
      <c r="AG720" s="51" t="str">
        <f ca="1">IF(NOTA[ID_H]="","",INDEX(NOTA[TANGGAL],MATCH(,INDIRECT(ADDRESS(ROW(NOTA[TANGGAL]),COLUMN(NOTA[TANGGAL]))&amp;":"&amp;ADDRESS(ROW(),COLUMN(NOTA[TANGGAL]))),-1)))</f>
        <v/>
      </c>
      <c r="AH720" s="49" t="str">
        <f ca="1">IF(NOTA[[#This Row],[NAMA BARANG]]="","",INDEX(NOTA[SUPPLIER],MATCH(,INDIRECT(ADDRESS(ROW(NOTA[ID]),COLUMN(NOTA[ID]))&amp;":"&amp;ADDRESS(ROW(),COLUMN(NOTA[ID]))),-1)))</f>
        <v/>
      </c>
      <c r="AI720" s="49" t="str">
        <f ca="1">IF(NOTA[[#This Row],[ID_H]]="","",IF(NOTA[[#This Row],[FAKTUR]]="",INDIRECT(ADDRESS(ROW()-1,COLUMN())),NOTA[[#This Row],[FAKTUR]]))</f>
        <v/>
      </c>
      <c r="AJ720" s="38" t="str">
        <f ca="1">IF(NOTA[[#This Row],[ID]]="","",COUNTIF(NOTA[ID_H],NOTA[[#This Row],[ID_H]]))</f>
        <v/>
      </c>
      <c r="AK720" s="38" t="str">
        <f ca="1">IF(NOTA[[#This Row],[TGL.NOTA]]="",IF(NOTA[[#This Row],[SUPPLIER_H]]="","",AK719),MONTH(NOTA[[#This Row],[TGL.NOTA]]))</f>
        <v/>
      </c>
      <c r="AL720" s="38" t="str">
        <f>LOWER(SUBSTITUTE(SUBSTITUTE(SUBSTITUTE(SUBSTITUTE(SUBSTITUTE(SUBSTITUTE(SUBSTITUTE(SUBSTITUTE(SUBSTITUTE(NOTA[NAMA BARANG]," ",),".",""),"-",""),"(",""),")",""),",",""),"/",""),"""",""),"+",""))</f>
        <v/>
      </c>
      <c r="AM720" s="38" t="str">
        <f>IF(NOTA[C]="",NOTA[[#This Row],[CONCAT1]]&amp;NOTA[[#This Row],[HARGA SATUAN]],NOTA[[#This Row],[CONCAT1]]&amp;NOTA[[#This Row],[HARGA/ CTN_H]]&amp;NOTA[[#This Row],[DISC 1]]&amp;NOTA[[#This Row],[DISC 2]])</f>
        <v/>
      </c>
      <c r="AN720" s="184" t="str">
        <f>IF(NOTA[[#This Row],[CONCAT1]]="","",MATCH(NOTA[[#This Row],[CONCAT1]],[1]!db[NB NOTA_C],0)+1)</f>
        <v/>
      </c>
    </row>
    <row r="721" spans="1:40" ht="20.100000000000001" customHeight="1" x14ac:dyDescent="0.25">
      <c r="A721" s="49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HON_2601_-3</v>
      </c>
      <c r="C721" s="50" t="str">
        <f>IF(NOTA[[#This Row],[CEK_EXP]]&lt;D720,"err","")</f>
        <v/>
      </c>
      <c r="D721" s="50">
        <f>IF(NOTA[[#This Row],[TANGGAL]]="",D720,NOTA[[#This Row],[TANGGAL]])</f>
        <v>44952</v>
      </c>
      <c r="E721" s="50">
        <f ca="1">IF(NOTA[[#This Row],[NAMA BARANG]]="","",INDEX(NOTA[ID],MATCH(,INDIRECT(ADDRESS(ROW(NOTA[ID]),COLUMN(NOTA[ID]))&amp;":"&amp;ADDRESS(ROW(),COLUMN(NOTA[ID]))),-1)))</f>
        <v>137</v>
      </c>
      <c r="F721" s="23"/>
      <c r="G721" s="26" t="s">
        <v>872</v>
      </c>
      <c r="H721" s="26" t="s">
        <v>87</v>
      </c>
      <c r="I721" s="31"/>
      <c r="J721" s="26"/>
      <c r="K721" s="51"/>
      <c r="L721" s="26"/>
      <c r="M721" s="26" t="s">
        <v>880</v>
      </c>
      <c r="N721" s="39">
        <v>1</v>
      </c>
      <c r="O721" s="26">
        <v>32</v>
      </c>
      <c r="P721" s="26" t="s">
        <v>90</v>
      </c>
      <c r="Q721" s="49">
        <v>74000</v>
      </c>
      <c r="R721" s="52"/>
      <c r="S721" s="39"/>
      <c r="T721" s="53"/>
      <c r="U721" s="53"/>
      <c r="V721" s="54"/>
      <c r="W721" s="37"/>
      <c r="X721" s="54">
        <f>IF(NOTA[[#This Row],[HARGA/ CTN]]="",NOTA[[#This Row],[JUMLAH_H]],NOTA[[#This Row],[HARGA/ CTN]]*IF(NOTA[[#This Row],[C]]="",0,NOTA[[#This Row],[C]]))</f>
        <v>2368000</v>
      </c>
      <c r="Y721" s="54">
        <f>IF(NOTA[[#This Row],[JUMLAH]]="","",NOTA[[#This Row],[JUMLAH]]*NOTA[[#This Row],[DISC 1]])</f>
        <v>0</v>
      </c>
      <c r="Z721" s="54">
        <f>IF(NOTA[[#This Row],[JUMLAH]]="","",(NOTA[[#This Row],[JUMLAH]]-NOTA[[#This Row],[DISC 1-]])*NOTA[[#This Row],[DISC 2]])</f>
        <v>0</v>
      </c>
      <c r="AA721" s="54">
        <f>IF(NOTA[[#This Row],[JUMLAH]]="","",NOTA[[#This Row],[DISC 1-]]+NOTA[[#This Row],[DISC 2-]])</f>
        <v>0</v>
      </c>
      <c r="AB721" s="54">
        <f>IF(NOTA[[#This Row],[JUMLAH]]="","",NOTA[[#This Row],[JUMLAH]]-NOTA[[#This Row],[DISC]])</f>
        <v>2368000</v>
      </c>
      <c r="AC7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49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F721" s="54">
        <f>IF(OR(NOTA[[#This Row],[QTY]]="",NOTA[[#This Row],[HARGA SATUAN]]="",),"",NOTA[[#This Row],[QTY]]*NOTA[[#This Row],[HARGA SATUAN]])</f>
        <v>2368000</v>
      </c>
      <c r="AG721" s="51">
        <f ca="1">IF(NOTA[ID_H]="","",INDEX(NOTA[TANGGAL],MATCH(,INDIRECT(ADDRESS(ROW(NOTA[TANGGAL]),COLUMN(NOTA[TANGGAL]))&amp;":"&amp;ADDRESS(ROW(),COLUMN(NOTA[TANGGAL]))),-1)))</f>
        <v>44952</v>
      </c>
      <c r="AH721" s="49" t="str">
        <f ca="1">IF(NOTA[[#This Row],[NAMA BARANG]]="","",INDEX(NOTA[SUPPLIER],MATCH(,INDIRECT(ADDRESS(ROW(NOTA[ID]),COLUMN(NOTA[ID]))&amp;":"&amp;ADDRESS(ROW(),COLUMN(NOTA[ID]))),-1)))</f>
        <v>HONGSIAN</v>
      </c>
      <c r="AI721" s="49" t="str">
        <f ca="1">IF(NOTA[[#This Row],[ID_H]]="","",IF(NOTA[[#This Row],[FAKTUR]]="",INDIRECT(ADDRESS(ROW()-1,COLUMN())),NOTA[[#This Row],[FAKTUR]]))</f>
        <v>UNTANA</v>
      </c>
      <c r="AJ721" s="38">
        <f ca="1">IF(NOTA[[#This Row],[ID]]="","",COUNTIF(NOTA[ID_H],NOTA[[#This Row],[ID_H]]))</f>
        <v>3</v>
      </c>
      <c r="AK721" s="38" t="str">
        <f ca="1">IF(NOTA[[#This Row],[TGL.NOTA]]="",IF(NOTA[[#This Row],[SUPPLIER_H]]="","",AK720),MONTH(NOTA[[#This Row],[TGL.NOTA]]))</f>
        <v/>
      </c>
      <c r="AL721" s="38" t="str">
        <f>LOWER(SUBSTITUTE(SUBSTITUTE(SUBSTITUTE(SUBSTITUTE(SUBSTITUTE(SUBSTITUTE(SUBSTITUTE(SUBSTITUTE(SUBSTITUTE(NOTA[NAMA BARANG]," ",),".",""),"-",""),"(",""),")",""),",",""),"/",""),"""",""),"+",""))</f>
        <v>pcaseresta776</v>
      </c>
      <c r="AM721" s="38" t="str">
        <f>IF(NOTA[C]="",NOTA[[#This Row],[CONCAT1]]&amp;NOTA[[#This Row],[HARGA SATUAN]],NOTA[[#This Row],[CONCAT1]]&amp;NOTA[[#This Row],[HARGA/ CTN_H]]&amp;NOTA[[#This Row],[DISC 1]]&amp;NOTA[[#This Row],[DISC 2]])</f>
        <v>pcaseresta7762368000</v>
      </c>
      <c r="AN721" s="184">
        <f>IF(NOTA[[#This Row],[CONCAT1]]="","",MATCH(NOTA[[#This Row],[CONCAT1]],[1]!db[NB NOTA_C],0)+1)</f>
        <v>1592</v>
      </c>
    </row>
    <row r="722" spans="1:40" ht="20.100000000000001" customHeight="1" x14ac:dyDescent="0.25">
      <c r="A7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0" t="str">
        <f>IF(NOTA[[#This Row],[CEK_EXP]]&lt;D721,"err","")</f>
        <v/>
      </c>
      <c r="D722" s="50">
        <f>IF(NOTA[[#This Row],[TANGGAL]]="",D721,NOTA[[#This Row],[TANGGAL]])</f>
        <v>44952</v>
      </c>
      <c r="E722" s="50">
        <f ca="1">IF(NOTA[[#This Row],[NAMA BARANG]]="","",INDEX(NOTA[ID],MATCH(,INDIRECT(ADDRESS(ROW(NOTA[ID]),COLUMN(NOTA[ID]))&amp;":"&amp;ADDRESS(ROW(),COLUMN(NOTA[ID]))),-1)))</f>
        <v>137</v>
      </c>
      <c r="F722" s="23"/>
      <c r="G722" s="26"/>
      <c r="H722" s="26"/>
      <c r="I722" s="31"/>
      <c r="J722" s="26"/>
      <c r="K722" s="51"/>
      <c r="L722" s="26"/>
      <c r="M722" s="26" t="s">
        <v>881</v>
      </c>
      <c r="N722" s="39">
        <v>1</v>
      </c>
      <c r="O722" s="26">
        <v>32</v>
      </c>
      <c r="P722" s="26" t="s">
        <v>90</v>
      </c>
      <c r="Q722" s="49">
        <v>82500</v>
      </c>
      <c r="R722" s="52"/>
      <c r="S722" s="39"/>
      <c r="T722" s="53"/>
      <c r="U722" s="53"/>
      <c r="V722" s="54"/>
      <c r="W722" s="37"/>
      <c r="X722" s="54">
        <f>IF(NOTA[[#This Row],[HARGA/ CTN]]="",NOTA[[#This Row],[JUMLAH_H]],NOTA[[#This Row],[HARGA/ CTN]]*IF(NOTA[[#This Row],[C]]="",0,NOTA[[#This Row],[C]]))</f>
        <v>2640000</v>
      </c>
      <c r="Y722" s="54">
        <f>IF(NOTA[[#This Row],[JUMLAH]]="","",NOTA[[#This Row],[JUMLAH]]*NOTA[[#This Row],[DISC 1]])</f>
        <v>0</v>
      </c>
      <c r="Z722" s="54">
        <f>IF(NOTA[[#This Row],[JUMLAH]]="","",(NOTA[[#This Row],[JUMLAH]]-NOTA[[#This Row],[DISC 1-]])*NOTA[[#This Row],[DISC 2]])</f>
        <v>0</v>
      </c>
      <c r="AA722" s="54">
        <f>IF(NOTA[[#This Row],[JUMLAH]]="","",NOTA[[#This Row],[DISC 1-]]+NOTA[[#This Row],[DISC 2-]])</f>
        <v>0</v>
      </c>
      <c r="AB722" s="54">
        <f>IF(NOTA[[#This Row],[JUMLAH]]="","",NOTA[[#This Row],[JUMLAH]]-NOTA[[#This Row],[DISC]])</f>
        <v>2640000</v>
      </c>
      <c r="AC7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722" s="54">
        <f>IF(OR(NOTA[[#This Row],[QTY]]="",NOTA[[#This Row],[HARGA SATUAN]]="",),"",NOTA[[#This Row],[QTY]]*NOTA[[#This Row],[HARGA SATUAN]])</f>
        <v>2640000</v>
      </c>
      <c r="AG722" s="51">
        <f ca="1">IF(NOTA[ID_H]="","",INDEX(NOTA[TANGGAL],MATCH(,INDIRECT(ADDRESS(ROW(NOTA[TANGGAL]),COLUMN(NOTA[TANGGAL]))&amp;":"&amp;ADDRESS(ROW(),COLUMN(NOTA[TANGGAL]))),-1)))</f>
        <v>44952</v>
      </c>
      <c r="AH722" s="49" t="str">
        <f ca="1">IF(NOTA[[#This Row],[NAMA BARANG]]="","",INDEX(NOTA[SUPPLIER],MATCH(,INDIRECT(ADDRESS(ROW(NOTA[ID]),COLUMN(NOTA[ID]))&amp;":"&amp;ADDRESS(ROW(),COLUMN(NOTA[ID]))),-1)))</f>
        <v>HONGSIAN</v>
      </c>
      <c r="AI722" s="49" t="str">
        <f ca="1">IF(NOTA[[#This Row],[ID_H]]="","",IF(NOTA[[#This Row],[FAKTUR]]="",INDIRECT(ADDRESS(ROW()-1,COLUMN())),NOTA[[#This Row],[FAKTUR]]))</f>
        <v>UNTANA</v>
      </c>
      <c r="AJ722" s="38" t="str">
        <f ca="1">IF(NOTA[[#This Row],[ID]]="","",COUNTIF(NOTA[ID_H],NOTA[[#This Row],[ID_H]]))</f>
        <v/>
      </c>
      <c r="AK722" s="38" t="str">
        <f ca="1">IF(NOTA[[#This Row],[TGL.NOTA]]="",IF(NOTA[[#This Row],[SUPPLIER_H]]="","",AK721),MONTH(NOTA[[#This Row],[TGL.NOTA]]))</f>
        <v/>
      </c>
      <c r="AL722" s="38" t="str">
        <f>LOWER(SUBSTITUTE(SUBSTITUTE(SUBSTITUTE(SUBSTITUTE(SUBSTITUTE(SUBSTITUTE(SUBSTITUTE(SUBSTITUTE(SUBSTITUTE(NOTA[NAMA BARANG]," ",),".",""),"-",""),"(",""),")",""),",",""),"/",""),"""",""),"+",""))</f>
        <v>pcaseresth466</v>
      </c>
      <c r="AM722" s="38" t="str">
        <f>IF(NOTA[C]="",NOTA[[#This Row],[CONCAT1]]&amp;NOTA[[#This Row],[HARGA SATUAN]],NOTA[[#This Row],[CONCAT1]]&amp;NOTA[[#This Row],[HARGA/ CTN_H]]&amp;NOTA[[#This Row],[DISC 1]]&amp;NOTA[[#This Row],[DISC 2]])</f>
        <v>pcaseresth4662640000</v>
      </c>
      <c r="AN722" s="184">
        <f>IF(NOTA[[#This Row],[CONCAT1]]="","",MATCH(NOTA[[#This Row],[CONCAT1]],[1]!db[NB NOTA_C],0)+1)</f>
        <v>1593</v>
      </c>
    </row>
    <row r="723" spans="1:40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Row],[CEK_EXP]]&lt;D722,"err","")</f>
        <v/>
      </c>
      <c r="D723" s="50">
        <f>IF(NOTA[[#This Row],[TANGGAL]]="",D722,NOTA[[#This Row],[TANGGAL]])</f>
        <v>44952</v>
      </c>
      <c r="E723" s="50">
        <f ca="1">IF(NOTA[[#This Row],[NAMA BARANG]]="","",INDEX(NOTA[ID],MATCH(,INDIRECT(ADDRESS(ROW(NOTA[ID]),COLUMN(NOTA[ID]))&amp;":"&amp;ADDRESS(ROW(),COLUMN(NOTA[ID]))),-1)))</f>
        <v>137</v>
      </c>
      <c r="F723" s="23"/>
      <c r="G723" s="26"/>
      <c r="H723" s="26"/>
      <c r="I723" s="31"/>
      <c r="J723" s="26"/>
      <c r="K723" s="51"/>
      <c r="L723" s="26"/>
      <c r="M723" s="26" t="s">
        <v>882</v>
      </c>
      <c r="N723" s="39">
        <v>1</v>
      </c>
      <c r="O723" s="26">
        <v>32</v>
      </c>
      <c r="P723" s="26" t="s">
        <v>90</v>
      </c>
      <c r="Q723" s="49">
        <v>75000</v>
      </c>
      <c r="R723" s="52"/>
      <c r="S723" s="39"/>
      <c r="T723" s="53"/>
      <c r="U723" s="53"/>
      <c r="V723" s="54"/>
      <c r="W723" s="37"/>
      <c r="X723" s="54">
        <f>IF(NOTA[[#This Row],[HARGA/ CTN]]="",NOTA[[#This Row],[JUMLAH_H]],NOTA[[#This Row],[HARGA/ CTN]]*IF(NOTA[[#This Row],[C]]="",0,NOTA[[#This Row],[C]]))</f>
        <v>2400000</v>
      </c>
      <c r="Y723" s="54">
        <f>IF(NOTA[[#This Row],[JUMLAH]]="","",NOTA[[#This Row],[JUMLAH]]*NOTA[[#This Row],[DISC 1]])</f>
        <v>0</v>
      </c>
      <c r="Z723" s="54">
        <f>IF(NOTA[[#This Row],[JUMLAH]]="","",(NOTA[[#This Row],[JUMLAH]]-NOTA[[#This Row],[DISC 1-]])*NOTA[[#This Row],[DISC 2]])</f>
        <v>0</v>
      </c>
      <c r="AA723" s="54">
        <f>IF(NOTA[[#This Row],[JUMLAH]]="","",NOTA[[#This Row],[DISC 1-]]+NOTA[[#This Row],[DISC 2-]])</f>
        <v>0</v>
      </c>
      <c r="AB723" s="54">
        <f>IF(NOTA[[#This Row],[JUMLAH]]="","",NOTA[[#This Row],[JUMLAH]]-NOTA[[#This Row],[DISC]])</f>
        <v>2400000</v>
      </c>
      <c r="AC7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7408000</v>
      </c>
      <c r="AE72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23" s="54">
        <f>IF(OR(NOTA[[#This Row],[QTY]]="",NOTA[[#This Row],[HARGA SATUAN]]="",),"",NOTA[[#This Row],[QTY]]*NOTA[[#This Row],[HARGA SATUAN]])</f>
        <v>2400000</v>
      </c>
      <c r="AG723" s="51">
        <f ca="1">IF(NOTA[ID_H]="","",INDEX(NOTA[TANGGAL],MATCH(,INDIRECT(ADDRESS(ROW(NOTA[TANGGAL]),COLUMN(NOTA[TANGGAL]))&amp;":"&amp;ADDRESS(ROW(),COLUMN(NOTA[TANGGAL]))),-1)))</f>
        <v>44952</v>
      </c>
      <c r="AH723" s="49" t="str">
        <f ca="1">IF(NOTA[[#This Row],[NAMA BARANG]]="","",INDEX(NOTA[SUPPLIER],MATCH(,INDIRECT(ADDRESS(ROW(NOTA[ID]),COLUMN(NOTA[ID]))&amp;":"&amp;ADDRESS(ROW(),COLUMN(NOTA[ID]))),-1)))</f>
        <v>HONGSIAN</v>
      </c>
      <c r="AI723" s="49" t="str">
        <f ca="1">IF(NOTA[[#This Row],[ID_H]]="","",IF(NOTA[[#This Row],[FAKTUR]]="",INDIRECT(ADDRESS(ROW()-1,COLUMN())),NOTA[[#This Row],[FAKTUR]]))</f>
        <v>UNTANA</v>
      </c>
      <c r="AJ723" s="38" t="str">
        <f ca="1">IF(NOTA[[#This Row],[ID]]="","",COUNTIF(NOTA[ID_H],NOTA[[#This Row],[ID_H]]))</f>
        <v/>
      </c>
      <c r="AK723" s="38" t="str">
        <f ca="1">IF(NOTA[[#This Row],[TGL.NOTA]]="",IF(NOTA[[#This Row],[SUPPLIER_H]]="","",AK722),MONTH(NOTA[[#This Row],[TGL.NOTA]]))</f>
        <v/>
      </c>
      <c r="AL723" s="38" t="str">
        <f>LOWER(SUBSTITUTE(SUBSTITUTE(SUBSTITUTE(SUBSTITUTE(SUBSTITUTE(SUBSTITUTE(SUBSTITUTE(SUBSTITUTE(SUBSTITUTE(NOTA[NAMA BARANG]," ",),".",""),"-",""),"(",""),")",""),",",""),"/",""),"""",""),"+",""))</f>
        <v>pcaseresth761</v>
      </c>
      <c r="AM723" s="38" t="str">
        <f>IF(NOTA[C]="",NOTA[[#This Row],[CONCAT1]]&amp;NOTA[[#This Row],[HARGA SATUAN]],NOTA[[#This Row],[CONCAT1]]&amp;NOTA[[#This Row],[HARGA/ CTN_H]]&amp;NOTA[[#This Row],[DISC 1]]&amp;NOTA[[#This Row],[DISC 2]])</f>
        <v>pcaseresth7612400000</v>
      </c>
      <c r="AN723" s="184">
        <f>IF(NOTA[[#This Row],[CONCAT1]]="","",MATCH(NOTA[[#This Row],[CONCAT1]],[1]!db[NB NOTA_C],0)+1)</f>
        <v>1594</v>
      </c>
    </row>
    <row r="724" spans="1:40" ht="20.100000000000001" customHeight="1" x14ac:dyDescent="0.25">
      <c r="A7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0" t="str">
        <f>IF(NOTA[[#This Row],[CEK_EXP]]&lt;D723,"err","")</f>
        <v/>
      </c>
      <c r="D724" s="50">
        <f>IF(NOTA[[#This Row],[TANGGAL]]="",D723,NOTA[[#This Row],[TANGGAL]])</f>
        <v>44952</v>
      </c>
      <c r="E724" s="50" t="str">
        <f ca="1">IF(NOTA[[#This Row],[NAMA BARANG]]="","",INDEX(NOTA[ID],MATCH(,INDIRECT(ADDRESS(ROW(NOTA[ID]),COLUMN(NOTA[ID]))&amp;":"&amp;ADDRESS(ROW(),COLUMN(NOTA[ID]))),-1)))</f>
        <v/>
      </c>
      <c r="F724" s="23"/>
      <c r="G724" s="26"/>
      <c r="H724" s="26"/>
      <c r="I724" s="31"/>
      <c r="J724" s="26"/>
      <c r="K724" s="51"/>
      <c r="L724" s="26"/>
      <c r="M724" s="26"/>
      <c r="N724" s="39"/>
      <c r="O724" s="26"/>
      <c r="P724" s="26"/>
      <c r="Q724" s="49"/>
      <c r="R724" s="52"/>
      <c r="S724" s="39"/>
      <c r="T724" s="53"/>
      <c r="U724" s="53"/>
      <c r="V724" s="54"/>
      <c r="W724" s="37"/>
      <c r="X724" s="54" t="str">
        <f>IF(NOTA[[#This Row],[HARGA/ CTN]]="",NOTA[[#This Row],[JUMLAH_H]],NOTA[[#This Row],[HARGA/ CTN]]*IF(NOTA[[#This Row],[C]]="",0,NOTA[[#This Row],[C]]))</f>
        <v/>
      </c>
      <c r="Y724" s="54" t="str">
        <f>IF(NOTA[[#This Row],[JUMLAH]]="","",NOTA[[#This Row],[JUMLAH]]*NOTA[[#This Row],[DISC 1]])</f>
        <v/>
      </c>
      <c r="Z724" s="54" t="str">
        <f>IF(NOTA[[#This Row],[JUMLAH]]="","",(NOTA[[#This Row],[JUMLAH]]-NOTA[[#This Row],[DISC 1-]])*NOTA[[#This Row],[DISC 2]])</f>
        <v/>
      </c>
      <c r="AA724" s="54" t="str">
        <f>IF(NOTA[[#This Row],[JUMLAH]]="","",NOTA[[#This Row],[DISC 1-]]+NOTA[[#This Row],[DISC 2-]])</f>
        <v/>
      </c>
      <c r="AB724" s="54" t="str">
        <f>IF(NOTA[[#This Row],[JUMLAH]]="","",NOTA[[#This Row],[JUMLAH]]-NOTA[[#This Row],[DISC]])</f>
        <v/>
      </c>
      <c r="AC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54" t="str">
        <f>IF(OR(NOTA[[#This Row],[QTY]]="",NOTA[[#This Row],[HARGA SATUAN]]="",),"",NOTA[[#This Row],[QTY]]*NOTA[[#This Row],[HARGA SATUAN]])</f>
        <v/>
      </c>
      <c r="AG724" s="51" t="str">
        <f ca="1">IF(NOTA[ID_H]="","",INDEX(NOTA[TANGGAL],MATCH(,INDIRECT(ADDRESS(ROW(NOTA[TANGGAL]),COLUMN(NOTA[TANGGAL]))&amp;":"&amp;ADDRESS(ROW(),COLUMN(NOTA[TANGGAL]))),-1)))</f>
        <v/>
      </c>
      <c r="AH724" s="49" t="str">
        <f ca="1">IF(NOTA[[#This Row],[NAMA BARANG]]="","",INDEX(NOTA[SUPPLIER],MATCH(,INDIRECT(ADDRESS(ROW(NOTA[ID]),COLUMN(NOTA[ID]))&amp;":"&amp;ADDRESS(ROW(),COLUMN(NOTA[ID]))),-1)))</f>
        <v/>
      </c>
      <c r="AI724" s="49" t="str">
        <f ca="1">IF(NOTA[[#This Row],[ID_H]]="","",IF(NOTA[[#This Row],[FAKTUR]]="",INDIRECT(ADDRESS(ROW()-1,COLUMN())),NOTA[[#This Row],[FAKTUR]]))</f>
        <v/>
      </c>
      <c r="AJ724" s="38" t="str">
        <f ca="1">IF(NOTA[[#This Row],[ID]]="","",COUNTIF(NOTA[ID_H],NOTA[[#This Row],[ID_H]]))</f>
        <v/>
      </c>
      <c r="AK724" s="38" t="str">
        <f ca="1">IF(NOTA[[#This Row],[TGL.NOTA]]="",IF(NOTA[[#This Row],[SUPPLIER_H]]="","",AK723),MONTH(NOTA[[#This Row],[TGL.NOTA]]))</f>
        <v/>
      </c>
      <c r="AL724" s="38" t="str">
        <f>LOWER(SUBSTITUTE(SUBSTITUTE(SUBSTITUTE(SUBSTITUTE(SUBSTITUTE(SUBSTITUTE(SUBSTITUTE(SUBSTITUTE(SUBSTITUTE(NOTA[NAMA BARANG]," ",),".",""),"-",""),"(",""),")",""),",",""),"/",""),"""",""),"+",""))</f>
        <v/>
      </c>
      <c r="AM724" s="38" t="str">
        <f>IF(NOTA[C]="",NOTA[[#This Row],[CONCAT1]]&amp;NOTA[[#This Row],[HARGA SATUAN]],NOTA[[#This Row],[CONCAT1]]&amp;NOTA[[#This Row],[HARGA/ CTN_H]]&amp;NOTA[[#This Row],[DISC 1]]&amp;NOTA[[#This Row],[DISC 2]])</f>
        <v/>
      </c>
      <c r="AN724" s="184" t="str">
        <f>IF(NOTA[[#This Row],[CONCAT1]]="","",MATCH(NOTA[[#This Row],[CONCAT1]],[1]!db[NB NOTA_C],0)+1)</f>
        <v/>
      </c>
    </row>
    <row r="725" spans="1:40" ht="20.100000000000001" customHeight="1" x14ac:dyDescent="0.25">
      <c r="A725" s="49">
        <f ca="1">IF(INDIRECT(ADDRESS(ROW()-1,COLUMN(NOTA[[#Headers],[ID]])))="ID",1,IF(NOTA[[#This Row],[FAKTUR]]="","",COUNT(INDIRECT(ADDRESS(ROW(NOTA[ID]),COLUMN(NOTA[ID]))&amp;":"&amp;ADDRESS(ROW()-1,COLUMN(NOTA[ID]))))+1))</f>
        <v>138</v>
      </c>
      <c r="B7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DR(_2701_-14</v>
      </c>
      <c r="C725" s="50" t="str">
        <f>IF(NOTA[[#This Row],[CEK_EXP]]&lt;D724,"err","")</f>
        <v/>
      </c>
      <c r="D725" s="50">
        <f>IF(NOTA[[#This Row],[TANGGAL]]="",D724,NOTA[[#This Row],[TANGGAL]])</f>
        <v>44953</v>
      </c>
      <c r="E725" s="50">
        <f ca="1">IF(NOTA[[#This Row],[NAMA BARANG]]="","",INDEX(NOTA[ID],MATCH(,INDIRECT(ADDRESS(ROW(NOTA[ID]),COLUMN(NOTA[ID]))&amp;":"&amp;ADDRESS(ROW(),COLUMN(NOTA[ID]))),-1)))</f>
        <v>138</v>
      </c>
      <c r="F725" s="23">
        <v>44953</v>
      </c>
      <c r="G725" s="26" t="s">
        <v>884</v>
      </c>
      <c r="H725" s="26" t="s">
        <v>87</v>
      </c>
      <c r="I725" s="31"/>
      <c r="J725" s="26"/>
      <c r="K725" s="51"/>
      <c r="L725" s="26"/>
      <c r="M725" s="26" t="s">
        <v>886</v>
      </c>
      <c r="N725" s="39">
        <v>10</v>
      </c>
      <c r="O725" s="26">
        <f>200</f>
        <v>200</v>
      </c>
      <c r="P725" s="26" t="s">
        <v>90</v>
      </c>
      <c r="Q725" s="49">
        <v>71000</v>
      </c>
      <c r="R725" s="52"/>
      <c r="S725" s="39" t="s">
        <v>892</v>
      </c>
      <c r="T725" s="53">
        <v>0.12</v>
      </c>
      <c r="U725" s="53"/>
      <c r="V725" s="54"/>
      <c r="W725" s="37"/>
      <c r="X725" s="54">
        <f>IF(NOTA[[#This Row],[HARGA/ CTN]]="",NOTA[[#This Row],[JUMLAH_H]],NOTA[[#This Row],[HARGA/ CTN]]*IF(NOTA[[#This Row],[C]]="",0,NOTA[[#This Row],[C]]))</f>
        <v>14200000</v>
      </c>
      <c r="Y725" s="54">
        <f>IF(NOTA[[#This Row],[JUMLAH]]="","",NOTA[[#This Row],[JUMLAH]]*NOTA[[#This Row],[DISC 1]])</f>
        <v>1704000</v>
      </c>
      <c r="Z725" s="54">
        <f>IF(NOTA[[#This Row],[JUMLAH]]="","",(NOTA[[#This Row],[JUMLAH]]-NOTA[[#This Row],[DISC 1-]])*NOTA[[#This Row],[DISC 2]])</f>
        <v>0</v>
      </c>
      <c r="AA725" s="54">
        <f>IF(NOTA[[#This Row],[JUMLAH]]="","",NOTA[[#This Row],[DISC 1-]]+NOTA[[#This Row],[DISC 2-]])</f>
        <v>1704000</v>
      </c>
      <c r="AB725" s="54">
        <f>IF(NOTA[[#This Row],[JUMLAH]]="","",NOTA[[#This Row],[JUMLAH]]-NOTA[[#This Row],[DISC]])</f>
        <v>12496000</v>
      </c>
      <c r="AC7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25" s="54">
        <f>IF(OR(NOTA[[#This Row],[QTY]]="",NOTA[[#This Row],[HARGA SATUAN]]="",),"",NOTA[[#This Row],[QTY]]*NOTA[[#This Row],[HARGA SATUAN]])</f>
        <v>14200000</v>
      </c>
      <c r="AG725" s="51">
        <f ca="1">IF(NOTA[ID_H]="","",INDEX(NOTA[TANGGAL],MATCH(,INDIRECT(ADDRESS(ROW(NOTA[TANGGAL]),COLUMN(NOTA[TANGGAL]))&amp;":"&amp;ADDRESS(ROW(),COLUMN(NOTA[TANGGAL]))),-1)))</f>
        <v>44953</v>
      </c>
      <c r="AH725" s="49" t="str">
        <f ca="1">IF(NOTA[[#This Row],[NAMA BARANG]]="","",INDEX(NOTA[SUPPLIER],MATCH(,INDIRECT(ADDRESS(ROW(NOTA[ID]),COLUMN(NOTA[ID]))&amp;":"&amp;ADDRESS(ROW(),COLUMN(NOTA[ID]))),-1)))</f>
        <v>DR (SS) ORI</v>
      </c>
      <c r="AI725" s="49" t="str">
        <f ca="1">IF(NOTA[[#This Row],[ID_H]]="","",IF(NOTA[[#This Row],[FAKTUR]]="",INDIRECT(ADDRESS(ROW()-1,COLUMN())),NOTA[[#This Row],[FAKTUR]]))</f>
        <v>UNTANA</v>
      </c>
      <c r="AJ725" s="38">
        <f ca="1">IF(NOTA[[#This Row],[ID]]="","",COUNTIF(NOTA[ID_H],NOTA[[#This Row],[ID_H]]))</f>
        <v>14</v>
      </c>
      <c r="AK725" s="38" t="str">
        <f ca="1">IF(NOTA[[#This Row],[TGL.NOTA]]="",IF(NOTA[[#This Row],[SUPPLIER_H]]="","",AK724),MONTH(NOTA[[#This Row],[TGL.NOTA]]))</f>
        <v/>
      </c>
      <c r="AL72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M725" s="38" t="str">
        <f>IF(NOTA[C]="",NOTA[[#This Row],[CONCAT1]]&amp;NOTA[[#This Row],[HARGA SATUAN]],NOTA[[#This Row],[CONCAT1]]&amp;NOTA[[#This Row],[HARGA/ CTN_H]]&amp;NOTA[[#This Row],[DISC 1]]&amp;NOTA[[#This Row],[DISC 2]])</f>
        <v>guntingjuniorj500junior14200000.12</v>
      </c>
      <c r="AN725" s="184">
        <f>IF(NOTA[[#This Row],[CONCAT1]]="","",MATCH(NOTA[[#This Row],[CONCAT1]],[1]!db[NB NOTA_C],0)+1)</f>
        <v>956</v>
      </c>
    </row>
    <row r="726" spans="1:40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0" t="str">
        <f>IF(NOTA[[#This Row],[CEK_EXP]]&lt;D725,"err","")</f>
        <v/>
      </c>
      <c r="D726" s="50">
        <f>IF(NOTA[[#This Row],[TANGGAL]]="",D725,NOTA[[#This Row],[TANGGAL]])</f>
        <v>44953</v>
      </c>
      <c r="E726" s="50">
        <f ca="1">IF(NOTA[[#This Row],[NAMA BARANG]]="","",INDEX(NOTA[ID],MATCH(,INDIRECT(ADDRESS(ROW(NOTA[ID]),COLUMN(NOTA[ID]))&amp;":"&amp;ADDRESS(ROW(),COLUMN(NOTA[ID]))),-1)))</f>
        <v>138</v>
      </c>
      <c r="F726" s="23"/>
      <c r="G726" s="26"/>
      <c r="H726" s="26"/>
      <c r="I726" s="31"/>
      <c r="J726" s="26"/>
      <c r="K726" s="51"/>
      <c r="L726" s="26"/>
      <c r="M726" s="26" t="s">
        <v>885</v>
      </c>
      <c r="N726" s="39">
        <v>5</v>
      </c>
      <c r="O726" s="26">
        <v>120</v>
      </c>
      <c r="P726" s="26" t="s">
        <v>90</v>
      </c>
      <c r="Q726" s="49">
        <v>52000</v>
      </c>
      <c r="R726" s="52"/>
      <c r="S726" s="39" t="s">
        <v>893</v>
      </c>
      <c r="T726" s="53">
        <v>0.12</v>
      </c>
      <c r="U726" s="53"/>
      <c r="V726" s="54"/>
      <c r="W726" s="37"/>
      <c r="X726" s="54">
        <f>IF(NOTA[[#This Row],[HARGA/ CTN]]="",NOTA[[#This Row],[JUMLAH_H]],NOTA[[#This Row],[HARGA/ CTN]]*IF(NOTA[[#This Row],[C]]="",0,NOTA[[#This Row],[C]]))</f>
        <v>6240000</v>
      </c>
      <c r="Y726" s="54">
        <f>IF(NOTA[[#This Row],[JUMLAH]]="","",NOTA[[#This Row],[JUMLAH]]*NOTA[[#This Row],[DISC 1]])</f>
        <v>748800</v>
      </c>
      <c r="Z726" s="54">
        <f>IF(NOTA[[#This Row],[JUMLAH]]="","",(NOTA[[#This Row],[JUMLAH]]-NOTA[[#This Row],[DISC 1-]])*NOTA[[#This Row],[DISC 2]])</f>
        <v>0</v>
      </c>
      <c r="AA726" s="54">
        <f>IF(NOTA[[#This Row],[JUMLAH]]="","",NOTA[[#This Row],[DISC 1-]]+NOTA[[#This Row],[DISC 2-]])</f>
        <v>748800</v>
      </c>
      <c r="AB726" s="54">
        <f>IF(NOTA[[#This Row],[JUMLAH]]="","",NOTA[[#This Row],[JUMLAH]]-NOTA[[#This Row],[DISC]])</f>
        <v>5491200</v>
      </c>
      <c r="AC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726" s="54">
        <f>IF(OR(NOTA[[#This Row],[QTY]]="",NOTA[[#This Row],[HARGA SATUAN]]="",),"",NOTA[[#This Row],[QTY]]*NOTA[[#This Row],[HARGA SATUAN]])</f>
        <v>6240000</v>
      </c>
      <c r="AG726" s="51">
        <f ca="1">IF(NOTA[ID_H]="","",INDEX(NOTA[TANGGAL],MATCH(,INDIRECT(ADDRESS(ROW(NOTA[TANGGAL]),COLUMN(NOTA[TANGGAL]))&amp;":"&amp;ADDRESS(ROW(),COLUMN(NOTA[TANGGAL]))),-1)))</f>
        <v>44953</v>
      </c>
      <c r="AH726" s="49" t="str">
        <f ca="1">IF(NOTA[[#This Row],[NAMA BARANG]]="","",INDEX(NOTA[SUPPLIER],MATCH(,INDIRECT(ADDRESS(ROW(NOTA[ID]),COLUMN(NOTA[ID]))&amp;":"&amp;ADDRESS(ROW(),COLUMN(NOTA[ID]))),-1)))</f>
        <v>DR (SS) ORI</v>
      </c>
      <c r="AI726" s="49" t="str">
        <f ca="1">IF(NOTA[[#This Row],[ID_H]]="","",IF(NOTA[[#This Row],[FAKTUR]]="",INDIRECT(ADDRESS(ROW()-1,COLUMN())),NOTA[[#This Row],[FAKTUR]]))</f>
        <v>UNTANA</v>
      </c>
      <c r="AJ726" s="38" t="str">
        <f ca="1">IF(NOTA[[#This Row],[ID]]="","",COUNTIF(NOTA[ID_H],NOTA[[#This Row],[ID_H]]))</f>
        <v/>
      </c>
      <c r="AK726" s="38" t="str">
        <f ca="1">IF(NOTA[[#This Row],[TGL.NOTA]]="",IF(NOTA[[#This Row],[SUPPLIER_H]]="","",AK725),MONTH(NOTA[[#This Row],[TGL.NOTA]]))</f>
        <v/>
      </c>
      <c r="AL72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M726" s="38" t="str">
        <f>IF(NOTA[C]="",NOTA[[#This Row],[CONCAT1]]&amp;NOTA[[#This Row],[HARGA SATUAN]],NOTA[[#This Row],[CONCAT1]]&amp;NOTA[[#This Row],[HARGA/ CTN_H]]&amp;NOTA[[#This Row],[DISC 1]]&amp;NOTA[[#This Row],[DISC 2]])</f>
        <v>guntingjuniorj400junior12480000.12</v>
      </c>
      <c r="AN726" s="184">
        <f>IF(NOTA[[#This Row],[CONCAT1]]="","",MATCH(NOTA[[#This Row],[CONCAT1]],[1]!db[NB NOTA_C],0)+1)</f>
        <v>955</v>
      </c>
    </row>
    <row r="727" spans="1:40" ht="20.100000000000001" customHeight="1" x14ac:dyDescent="0.25">
      <c r="A7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0" t="str">
        <f>IF(NOTA[[#This Row],[CEK_EXP]]&lt;D726,"err","")</f>
        <v/>
      </c>
      <c r="D727" s="50">
        <f>IF(NOTA[[#This Row],[TANGGAL]]="",D726,NOTA[[#This Row],[TANGGAL]])</f>
        <v>44953</v>
      </c>
      <c r="E727" s="50">
        <f ca="1">IF(NOTA[[#This Row],[NAMA BARANG]]="","",INDEX(NOTA[ID],MATCH(,INDIRECT(ADDRESS(ROW(NOTA[ID]),COLUMN(NOTA[ID]))&amp;":"&amp;ADDRESS(ROW(),COLUMN(NOTA[ID]))),-1)))</f>
        <v>138</v>
      </c>
      <c r="F727" s="23"/>
      <c r="G727" s="26"/>
      <c r="H727" s="26"/>
      <c r="I727" s="31"/>
      <c r="J727" s="26"/>
      <c r="K727" s="51"/>
      <c r="L727" s="26"/>
      <c r="M727" s="26" t="s">
        <v>887</v>
      </c>
      <c r="N727" s="39">
        <v>5</v>
      </c>
      <c r="O727" s="26">
        <v>120</v>
      </c>
      <c r="P727" s="26" t="s">
        <v>90</v>
      </c>
      <c r="Q727" s="49">
        <v>46000</v>
      </c>
      <c r="R727" s="52"/>
      <c r="S727" s="39" t="s">
        <v>893</v>
      </c>
      <c r="T727" s="53">
        <v>0.12</v>
      </c>
      <c r="U727" s="53"/>
      <c r="V727" s="54"/>
      <c r="W727" s="37"/>
      <c r="X727" s="54">
        <f>IF(NOTA[[#This Row],[HARGA/ CTN]]="",NOTA[[#This Row],[JUMLAH_H]],NOTA[[#This Row],[HARGA/ CTN]]*IF(NOTA[[#This Row],[C]]="",0,NOTA[[#This Row],[C]]))</f>
        <v>5520000</v>
      </c>
      <c r="Y727" s="54">
        <f>IF(NOTA[[#This Row],[JUMLAH]]="","",NOTA[[#This Row],[JUMLAH]]*NOTA[[#This Row],[DISC 1]])</f>
        <v>662400</v>
      </c>
      <c r="Z727" s="54">
        <f>IF(NOTA[[#This Row],[JUMLAH]]="","",(NOTA[[#This Row],[JUMLAH]]-NOTA[[#This Row],[DISC 1-]])*NOTA[[#This Row],[DISC 2]])</f>
        <v>0</v>
      </c>
      <c r="AA727" s="54">
        <f>IF(NOTA[[#This Row],[JUMLAH]]="","",NOTA[[#This Row],[DISC 1-]]+NOTA[[#This Row],[DISC 2-]])</f>
        <v>662400</v>
      </c>
      <c r="AB727" s="54">
        <f>IF(NOTA[[#This Row],[JUMLAH]]="","",NOTA[[#This Row],[JUMLAH]]-NOTA[[#This Row],[DISC]])</f>
        <v>4857600</v>
      </c>
      <c r="AC7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27" s="54">
        <f>IF(OR(NOTA[[#This Row],[QTY]]="",NOTA[[#This Row],[HARGA SATUAN]]="",),"",NOTA[[#This Row],[QTY]]*NOTA[[#This Row],[HARGA SATUAN]])</f>
        <v>5520000</v>
      </c>
      <c r="AG727" s="51">
        <f ca="1">IF(NOTA[ID_H]="","",INDEX(NOTA[TANGGAL],MATCH(,INDIRECT(ADDRESS(ROW(NOTA[TANGGAL]),COLUMN(NOTA[TANGGAL]))&amp;":"&amp;ADDRESS(ROW(),COLUMN(NOTA[TANGGAL]))),-1)))</f>
        <v>44953</v>
      </c>
      <c r="AH727" s="49" t="str">
        <f ca="1">IF(NOTA[[#This Row],[NAMA BARANG]]="","",INDEX(NOTA[SUPPLIER],MATCH(,INDIRECT(ADDRESS(ROW(NOTA[ID]),COLUMN(NOTA[ID]))&amp;":"&amp;ADDRESS(ROW(),COLUMN(NOTA[ID]))),-1)))</f>
        <v>DR (SS) ORI</v>
      </c>
      <c r="AI727" s="49" t="str">
        <f ca="1">IF(NOTA[[#This Row],[ID_H]]="","",IF(NOTA[[#This Row],[FAKTUR]]="",INDIRECT(ADDRESS(ROW()-1,COLUMN())),NOTA[[#This Row],[FAKTUR]]))</f>
        <v>UNTANA</v>
      </c>
      <c r="AJ727" s="38" t="str">
        <f ca="1">IF(NOTA[[#This Row],[ID]]="","",COUNTIF(NOTA[ID_H],NOTA[[#This Row],[ID_H]]))</f>
        <v/>
      </c>
      <c r="AK727" s="38" t="str">
        <f ca="1">IF(NOTA[[#This Row],[TGL.NOTA]]="",IF(NOTA[[#This Row],[SUPPLIER_H]]="","",AK726),MONTH(NOTA[[#This Row],[TGL.NOTA]]))</f>
        <v/>
      </c>
      <c r="AL72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M727" s="38" t="str">
        <f>IF(NOTA[C]="",NOTA[[#This Row],[CONCAT1]]&amp;NOTA[[#This Row],[HARGA SATUAN]],NOTA[[#This Row],[CONCAT1]]&amp;NOTA[[#This Row],[HARGA/ CTN_H]]&amp;NOTA[[#This Row],[DISC 1]]&amp;NOTA[[#This Row],[DISC 2]])</f>
        <v>guntingjuniorj300junior11040000.12</v>
      </c>
      <c r="AN727" s="184">
        <f>IF(NOTA[[#This Row],[CONCAT1]]="","",MATCH(NOTA[[#This Row],[CONCAT1]],[1]!db[NB NOTA_C],0)+1)</f>
        <v>954</v>
      </c>
    </row>
    <row r="728" spans="1:40" ht="20.100000000000001" customHeight="1" x14ac:dyDescent="0.25">
      <c r="A7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0" t="str">
        <f>IF(NOTA[[#This Row],[CEK_EXP]]&lt;D727,"err","")</f>
        <v/>
      </c>
      <c r="D728" s="50">
        <f>IF(NOTA[[#This Row],[TANGGAL]]="",D727,NOTA[[#This Row],[TANGGAL]])</f>
        <v>44953</v>
      </c>
      <c r="E728" s="50">
        <f ca="1">IF(NOTA[[#This Row],[NAMA BARANG]]="","",INDEX(NOTA[ID],MATCH(,INDIRECT(ADDRESS(ROW(NOTA[ID]),COLUMN(NOTA[ID]))&amp;":"&amp;ADDRESS(ROW(),COLUMN(NOTA[ID]))),-1)))</f>
        <v>138</v>
      </c>
      <c r="F728" s="23"/>
      <c r="G728" s="26"/>
      <c r="H728" s="26"/>
      <c r="I728" s="31"/>
      <c r="J728" s="26"/>
      <c r="K728" s="51"/>
      <c r="L728" s="26"/>
      <c r="M728" s="26" t="s">
        <v>888</v>
      </c>
      <c r="N728" s="39">
        <v>5</v>
      </c>
      <c r="O728" s="26">
        <v>240</v>
      </c>
      <c r="P728" s="26" t="s">
        <v>90</v>
      </c>
      <c r="Q728" s="49">
        <v>38000</v>
      </c>
      <c r="R728" s="52"/>
      <c r="S728" s="39" t="s">
        <v>105</v>
      </c>
      <c r="T728" s="53">
        <v>0.12</v>
      </c>
      <c r="U728" s="53"/>
      <c r="V728" s="54"/>
      <c r="W728" s="37"/>
      <c r="X728" s="54">
        <f>IF(NOTA[[#This Row],[HARGA/ CTN]]="",NOTA[[#This Row],[JUMLAH_H]],NOTA[[#This Row],[HARGA/ CTN]]*IF(NOTA[[#This Row],[C]]="",0,NOTA[[#This Row],[C]]))</f>
        <v>9120000</v>
      </c>
      <c r="Y728" s="54">
        <f>IF(NOTA[[#This Row],[JUMLAH]]="","",NOTA[[#This Row],[JUMLAH]]*NOTA[[#This Row],[DISC 1]])</f>
        <v>1094400</v>
      </c>
      <c r="Z728" s="54">
        <f>IF(NOTA[[#This Row],[JUMLAH]]="","",(NOTA[[#This Row],[JUMLAH]]-NOTA[[#This Row],[DISC 1-]])*NOTA[[#This Row],[DISC 2]])</f>
        <v>0</v>
      </c>
      <c r="AA728" s="54">
        <f>IF(NOTA[[#This Row],[JUMLAH]]="","",NOTA[[#This Row],[DISC 1-]]+NOTA[[#This Row],[DISC 2-]])</f>
        <v>1094400</v>
      </c>
      <c r="AB728" s="54">
        <f>IF(NOTA[[#This Row],[JUMLAH]]="","",NOTA[[#This Row],[JUMLAH]]-NOTA[[#This Row],[DISC]])</f>
        <v>8025600</v>
      </c>
      <c r="AC7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728" s="54">
        <f>IF(OR(NOTA[[#This Row],[QTY]]="",NOTA[[#This Row],[HARGA SATUAN]]="",),"",NOTA[[#This Row],[QTY]]*NOTA[[#This Row],[HARGA SATUAN]])</f>
        <v>9120000</v>
      </c>
      <c r="AG728" s="51">
        <f ca="1">IF(NOTA[ID_H]="","",INDEX(NOTA[TANGGAL],MATCH(,INDIRECT(ADDRESS(ROW(NOTA[TANGGAL]),COLUMN(NOTA[TANGGAL]))&amp;":"&amp;ADDRESS(ROW(),COLUMN(NOTA[TANGGAL]))),-1)))</f>
        <v>44953</v>
      </c>
      <c r="AH728" s="49" t="str">
        <f ca="1">IF(NOTA[[#This Row],[NAMA BARANG]]="","",INDEX(NOTA[SUPPLIER],MATCH(,INDIRECT(ADDRESS(ROW(NOTA[ID]),COLUMN(NOTA[ID]))&amp;":"&amp;ADDRESS(ROW(),COLUMN(NOTA[ID]))),-1)))</f>
        <v>DR (SS) ORI</v>
      </c>
      <c r="AI728" s="49" t="str">
        <f ca="1">IF(NOTA[[#This Row],[ID_H]]="","",IF(NOTA[[#This Row],[FAKTUR]]="",INDIRECT(ADDRESS(ROW()-1,COLUMN())),NOTA[[#This Row],[FAKTUR]]))</f>
        <v>UNTANA</v>
      </c>
      <c r="AJ728" s="38" t="str">
        <f ca="1">IF(NOTA[[#This Row],[ID]]="","",COUNTIF(NOTA[ID_H],NOTA[[#This Row],[ID_H]]))</f>
        <v/>
      </c>
      <c r="AK728" s="38" t="str">
        <f ca="1">IF(NOTA[[#This Row],[TGL.NOTA]]="",IF(NOTA[[#This Row],[SUPPLIER_H]]="","",AK727),MONTH(NOTA[[#This Row],[TGL.NOTA]]))</f>
        <v/>
      </c>
      <c r="AL72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M728" s="38" t="str">
        <f>IF(NOTA[C]="",NOTA[[#This Row],[CONCAT1]]&amp;NOTA[[#This Row],[HARGA SATUAN]],NOTA[[#This Row],[CONCAT1]]&amp;NOTA[[#This Row],[HARGA/ CTN_H]]&amp;NOTA[[#This Row],[DISC 1]]&amp;NOTA[[#This Row],[DISC 2]])</f>
        <v>guntingjuniorj200junior18240000.12</v>
      </c>
      <c r="AN728" s="184">
        <f>IF(NOTA[[#This Row],[CONCAT1]]="","",MATCH(NOTA[[#This Row],[CONCAT1]],[1]!db[NB NOTA_C],0)+1)</f>
        <v>953</v>
      </c>
    </row>
    <row r="729" spans="1:40" ht="20.100000000000001" customHeight="1" x14ac:dyDescent="0.25">
      <c r="A7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0" t="str">
        <f>IF(NOTA[[#This Row],[CEK_EXP]]&lt;D728,"err","")</f>
        <v/>
      </c>
      <c r="D729" s="50">
        <f>IF(NOTA[[#This Row],[TANGGAL]]="",D728,NOTA[[#This Row],[TANGGAL]])</f>
        <v>44953</v>
      </c>
      <c r="E729" s="50">
        <f ca="1">IF(NOTA[[#This Row],[NAMA BARANG]]="","",INDEX(NOTA[ID],MATCH(,INDIRECT(ADDRESS(ROW(NOTA[ID]),COLUMN(NOTA[ID]))&amp;":"&amp;ADDRESS(ROW(),COLUMN(NOTA[ID]))),-1)))</f>
        <v>138</v>
      </c>
      <c r="F729" s="23"/>
      <c r="G729" s="26"/>
      <c r="H729" s="26"/>
      <c r="I729" s="31"/>
      <c r="J729" s="26"/>
      <c r="K729" s="51"/>
      <c r="L729" s="26"/>
      <c r="M729" s="26" t="s">
        <v>889</v>
      </c>
      <c r="N729" s="39">
        <v>10</v>
      </c>
      <c r="O729" s="26">
        <f>240</f>
        <v>240</v>
      </c>
      <c r="P729" s="26" t="s">
        <v>90</v>
      </c>
      <c r="Q729" s="49">
        <v>133000</v>
      </c>
      <c r="R729" s="52"/>
      <c r="S729" s="39" t="s">
        <v>892</v>
      </c>
      <c r="T729" s="53">
        <v>0.12</v>
      </c>
      <c r="U729" s="53">
        <v>0.12</v>
      </c>
      <c r="V729" s="54"/>
      <c r="W729" s="37"/>
      <c r="X729" s="54">
        <f>IF(NOTA[[#This Row],[HARGA/ CTN]]="",NOTA[[#This Row],[JUMLAH_H]],NOTA[[#This Row],[HARGA/ CTN]]*IF(NOTA[[#This Row],[C]]="",0,NOTA[[#This Row],[C]]))</f>
        <v>31920000</v>
      </c>
      <c r="Y729" s="54">
        <f>IF(NOTA[[#This Row],[JUMLAH]]="","",NOTA[[#This Row],[JUMLAH]]*NOTA[[#This Row],[DISC 1]])</f>
        <v>3830400</v>
      </c>
      <c r="Z729" s="54">
        <f>IF(NOTA[[#This Row],[JUMLAH]]="","",(NOTA[[#This Row],[JUMLAH]]-NOTA[[#This Row],[DISC 1-]])*NOTA[[#This Row],[DISC 2]])</f>
        <v>3370752</v>
      </c>
      <c r="AA729" s="54">
        <f>IF(NOTA[[#This Row],[JUMLAH]]="","",NOTA[[#This Row],[DISC 1-]]+NOTA[[#This Row],[DISC 2-]])</f>
        <v>7201152</v>
      </c>
      <c r="AB729" s="54">
        <f>IF(NOTA[[#This Row],[JUMLAH]]="","",NOTA[[#This Row],[JUMLAH]]-NOTA[[#This Row],[DISC]])</f>
        <v>24718848</v>
      </c>
      <c r="AC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49">
        <f>IF(NOTA[[#This Row],[NAMA BARANG]]="","",IF(NOTA[[#This Row],[JUMLAH_H]]="",NOTA[[#This Row],[HARGA/ CTN]],NOTA[[#This Row],[QTY]]*NOTA[[#This Row],[HARGA SATUAN]]/IF(ISNUMBER(NOTA[[#This Row],[C]]),NOTA[[#This Row],[C]],1)))</f>
        <v>3192000</v>
      </c>
      <c r="AF729" s="54">
        <f>IF(OR(NOTA[[#This Row],[QTY]]="",NOTA[[#This Row],[HARGA SATUAN]]="",),"",NOTA[[#This Row],[QTY]]*NOTA[[#This Row],[HARGA SATUAN]])</f>
        <v>31920000</v>
      </c>
      <c r="AG729" s="51">
        <f ca="1">IF(NOTA[ID_H]="","",INDEX(NOTA[TANGGAL],MATCH(,INDIRECT(ADDRESS(ROW(NOTA[TANGGAL]),COLUMN(NOTA[TANGGAL]))&amp;":"&amp;ADDRESS(ROW(),COLUMN(NOTA[TANGGAL]))),-1)))</f>
        <v>44953</v>
      </c>
      <c r="AH729" s="49" t="str">
        <f ca="1">IF(NOTA[[#This Row],[NAMA BARANG]]="","",INDEX(NOTA[SUPPLIER],MATCH(,INDIRECT(ADDRESS(ROW(NOTA[ID]),COLUMN(NOTA[ID]))&amp;":"&amp;ADDRESS(ROW(),COLUMN(NOTA[ID]))),-1)))</f>
        <v>DR (SS) ORI</v>
      </c>
      <c r="AI729" s="49" t="str">
        <f ca="1">IF(NOTA[[#This Row],[ID_H]]="","",IF(NOTA[[#This Row],[FAKTUR]]="",INDIRECT(ADDRESS(ROW()-1,COLUMN())),NOTA[[#This Row],[FAKTUR]]))</f>
        <v>UNTANA</v>
      </c>
      <c r="AJ729" s="38" t="str">
        <f ca="1">IF(NOTA[[#This Row],[ID]]="","",COUNTIF(NOTA[ID_H],NOTA[[#This Row],[ID_H]]))</f>
        <v/>
      </c>
      <c r="AK729" s="38" t="str">
        <f ca="1">IF(NOTA[[#This Row],[TGL.NOTA]]="",IF(NOTA[[#This Row],[SUPPLIER_H]]="","",AK728),MONTH(NOTA[[#This Row],[TGL.NOTA]]))</f>
        <v/>
      </c>
      <c r="AL729" s="38" t="str">
        <f>LOWER(SUBSTITUTE(SUBSTITUTE(SUBSTITUTE(SUBSTITUTE(SUBSTITUTE(SUBSTITUTE(SUBSTITUTE(SUBSTITUTE(SUBSTITUTE(NOTA[NAMA BARANG]," ",),".",""),"-",""),"(",""),")",""),",",""),"/",""),"""",""),"+",""))</f>
        <v>guntingidealk500</v>
      </c>
      <c r="AM729" s="38" t="str">
        <f>IF(NOTA[C]="",NOTA[[#This Row],[CONCAT1]]&amp;NOTA[[#This Row],[HARGA SATUAN]],NOTA[[#This Row],[CONCAT1]]&amp;NOTA[[#This Row],[HARGA/ CTN_H]]&amp;NOTA[[#This Row],[DISC 1]]&amp;NOTA[[#This Row],[DISC 2]])</f>
        <v>guntingidealk50031920000.120.12</v>
      </c>
      <c r="AN729" s="184">
        <f>IF(NOTA[[#This Row],[CONCAT1]]="","",MATCH(NOTA[[#This Row],[CONCAT1]],[1]!db[NB NOTA_C],0)+1)</f>
        <v>951</v>
      </c>
    </row>
    <row r="730" spans="1:40" ht="20.100000000000001" customHeight="1" x14ac:dyDescent="0.25">
      <c r="A7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0" t="str">
        <f>IF(NOTA[[#This Row],[CEK_EXP]]&lt;D729,"err","")</f>
        <v/>
      </c>
      <c r="D730" s="50">
        <f>IF(NOTA[[#This Row],[TANGGAL]]="",D729,NOTA[[#This Row],[TANGGAL]])</f>
        <v>44953</v>
      </c>
      <c r="E730" s="50">
        <f ca="1">IF(NOTA[[#This Row],[NAMA BARANG]]="","",INDEX(NOTA[ID],MATCH(,INDIRECT(ADDRESS(ROW(NOTA[ID]),COLUMN(NOTA[ID]))&amp;":"&amp;ADDRESS(ROW(),COLUMN(NOTA[ID]))),-1)))</f>
        <v>138</v>
      </c>
      <c r="F730" s="23"/>
      <c r="G730" s="26"/>
      <c r="H730" s="26"/>
      <c r="I730" s="31"/>
      <c r="J730" s="26"/>
      <c r="K730" s="51"/>
      <c r="L730" s="26"/>
      <c r="M730" s="26" t="s">
        <v>890</v>
      </c>
      <c r="N730" s="39">
        <v>12</v>
      </c>
      <c r="O730" s="26">
        <f>24*12</f>
        <v>288</v>
      </c>
      <c r="P730" s="26" t="s">
        <v>90</v>
      </c>
      <c r="Q730" s="49">
        <v>87000</v>
      </c>
      <c r="R730" s="52"/>
      <c r="S730" s="39" t="s">
        <v>893</v>
      </c>
      <c r="T730" s="53">
        <v>0.12</v>
      </c>
      <c r="U730" s="53">
        <v>0.12</v>
      </c>
      <c r="V730" s="54"/>
      <c r="W730" s="37"/>
      <c r="X730" s="54">
        <f>IF(NOTA[[#This Row],[HARGA/ CTN]]="",NOTA[[#This Row],[JUMLAH_H]],NOTA[[#This Row],[HARGA/ CTN]]*IF(NOTA[[#This Row],[C]]="",0,NOTA[[#This Row],[C]]))</f>
        <v>25056000</v>
      </c>
      <c r="Y730" s="54">
        <f>IF(NOTA[[#This Row],[JUMLAH]]="","",NOTA[[#This Row],[JUMLAH]]*NOTA[[#This Row],[DISC 1]])</f>
        <v>3006720</v>
      </c>
      <c r="Z730" s="54">
        <f>IF(NOTA[[#This Row],[JUMLAH]]="","",(NOTA[[#This Row],[JUMLAH]]-NOTA[[#This Row],[DISC 1-]])*NOTA[[#This Row],[DISC 2]])</f>
        <v>2645913.6000000001</v>
      </c>
      <c r="AA730" s="54">
        <f>IF(NOTA[[#This Row],[JUMLAH]]="","",NOTA[[#This Row],[DISC 1-]]+NOTA[[#This Row],[DISC 2-]])</f>
        <v>5652633.5999999996</v>
      </c>
      <c r="AB730" s="54">
        <f>IF(NOTA[[#This Row],[JUMLAH]]="","",NOTA[[#This Row],[JUMLAH]]-NOTA[[#This Row],[DISC]])</f>
        <v>19403366.399999999</v>
      </c>
      <c r="AC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30" s="54">
        <f>IF(OR(NOTA[[#This Row],[QTY]]="",NOTA[[#This Row],[HARGA SATUAN]]="",),"",NOTA[[#This Row],[QTY]]*NOTA[[#This Row],[HARGA SATUAN]])</f>
        <v>25056000</v>
      </c>
      <c r="AG730" s="51">
        <f ca="1">IF(NOTA[ID_H]="","",INDEX(NOTA[TANGGAL],MATCH(,INDIRECT(ADDRESS(ROW(NOTA[TANGGAL]),COLUMN(NOTA[TANGGAL]))&amp;":"&amp;ADDRESS(ROW(),COLUMN(NOTA[TANGGAL]))),-1)))</f>
        <v>44953</v>
      </c>
      <c r="AH730" s="49" t="str">
        <f ca="1">IF(NOTA[[#This Row],[NAMA BARANG]]="","",INDEX(NOTA[SUPPLIER],MATCH(,INDIRECT(ADDRESS(ROW(NOTA[ID]),COLUMN(NOTA[ID]))&amp;":"&amp;ADDRESS(ROW(),COLUMN(NOTA[ID]))),-1)))</f>
        <v>DR (SS) ORI</v>
      </c>
      <c r="AI730" s="49" t="str">
        <f ca="1">IF(NOTA[[#This Row],[ID_H]]="","",IF(NOTA[[#This Row],[FAKTUR]]="",INDIRECT(ADDRESS(ROW()-1,COLUMN())),NOTA[[#This Row],[FAKTUR]]))</f>
        <v>UNTANA</v>
      </c>
      <c r="AJ730" s="38" t="str">
        <f ca="1">IF(NOTA[[#This Row],[ID]]="","",COUNTIF(NOTA[ID_H],NOTA[[#This Row],[ID_H]]))</f>
        <v/>
      </c>
      <c r="AK730" s="38" t="str">
        <f ca="1">IF(NOTA[[#This Row],[TGL.NOTA]]="",IF(NOTA[[#This Row],[SUPPLIER_H]]="","",AK729),MONTH(NOTA[[#This Row],[TGL.NOTA]]))</f>
        <v/>
      </c>
      <c r="AL730" s="38" t="str">
        <f>LOWER(SUBSTITUTE(SUBSTITUTE(SUBSTITUTE(SUBSTITUTE(SUBSTITUTE(SUBSTITUTE(SUBSTITUTE(SUBSTITUTE(SUBSTITUTE(NOTA[NAMA BARANG]," ",),".",""),"-",""),"(",""),")",""),",",""),"/",""),"""",""),"+",""))</f>
        <v>guntingidealk300</v>
      </c>
      <c r="AM730" s="38" t="str">
        <f>IF(NOTA[C]="",NOTA[[#This Row],[CONCAT1]]&amp;NOTA[[#This Row],[HARGA SATUAN]],NOTA[[#This Row],[CONCAT1]]&amp;NOTA[[#This Row],[HARGA/ CTN_H]]&amp;NOTA[[#This Row],[DISC 1]]&amp;NOTA[[#This Row],[DISC 2]])</f>
        <v>guntingidealk30020880000.120.12</v>
      </c>
      <c r="AN730" s="184">
        <f>IF(NOTA[[#This Row],[CONCAT1]]="","",MATCH(NOTA[[#This Row],[CONCAT1]],[1]!db[NB NOTA_C],0)+1)</f>
        <v>950</v>
      </c>
    </row>
    <row r="731" spans="1:40" ht="20.100000000000001" customHeight="1" x14ac:dyDescent="0.25">
      <c r="A7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0" t="str">
        <f>IF(NOTA[[#This Row],[CEK_EXP]]&lt;D730,"err","")</f>
        <v/>
      </c>
      <c r="D731" s="50">
        <f>IF(NOTA[[#This Row],[TANGGAL]]="",D730,NOTA[[#This Row],[TANGGAL]])</f>
        <v>44953</v>
      </c>
      <c r="E731" s="50">
        <f ca="1">IF(NOTA[[#This Row],[NAMA BARANG]]="","",INDEX(NOTA[ID],MATCH(,INDIRECT(ADDRESS(ROW(NOTA[ID]),COLUMN(NOTA[ID]))&amp;":"&amp;ADDRESS(ROW(),COLUMN(NOTA[ID]))),-1)))</f>
        <v>138</v>
      </c>
      <c r="F731" s="23"/>
      <c r="G731" s="26"/>
      <c r="H731" s="26"/>
      <c r="I731" s="31"/>
      <c r="J731" s="26"/>
      <c r="K731" s="51"/>
      <c r="L731" s="26"/>
      <c r="M731" s="26" t="s">
        <v>891</v>
      </c>
      <c r="N731" s="39"/>
      <c r="O731" s="26">
        <v>60</v>
      </c>
      <c r="P731" s="26" t="s">
        <v>90</v>
      </c>
      <c r="Q731" s="49">
        <v>29000</v>
      </c>
      <c r="R731" s="52"/>
      <c r="S731" s="39" t="s">
        <v>91</v>
      </c>
      <c r="T731" s="53"/>
      <c r="U731" s="53"/>
      <c r="V731" s="54"/>
      <c r="W731" s="37" t="s">
        <v>211</v>
      </c>
      <c r="X731" s="54">
        <f>IF(NOTA[[#This Row],[HARGA/ CTN]]="",NOTA[[#This Row],[JUMLAH_H]],NOTA[[#This Row],[HARGA/ CTN]]*IF(NOTA[[#This Row],[C]]="",0,NOTA[[#This Row],[C]]))</f>
        <v>1740000</v>
      </c>
      <c r="Y731" s="54">
        <f>IF(NOTA[[#This Row],[JUMLAH]]="","",NOTA[[#This Row],[JUMLAH]]*NOTA[[#This Row],[DISC 1]])</f>
        <v>0</v>
      </c>
      <c r="Z731" s="54">
        <f>IF(NOTA[[#This Row],[JUMLAH]]="","",(NOTA[[#This Row],[JUMLAH]]-NOTA[[#This Row],[DISC 1-]])*NOTA[[#This Row],[DISC 2]])</f>
        <v>0</v>
      </c>
      <c r="AA731" s="54">
        <f>IF(NOTA[[#This Row],[JUMLAH]]="","",NOTA[[#This Row],[DISC 1-]]+NOTA[[#This Row],[DISC 2-]])</f>
        <v>0</v>
      </c>
      <c r="AB731" s="54">
        <f>IF(NOTA[[#This Row],[JUMLAH]]="","",NOTA[[#This Row],[JUMLAH]]-NOTA[[#This Row],[DISC]])</f>
        <v>1740000</v>
      </c>
      <c r="AC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731" s="54">
        <f>IF(OR(NOTA[[#This Row],[QTY]]="",NOTA[[#This Row],[HARGA SATUAN]]="",),"",NOTA[[#This Row],[QTY]]*NOTA[[#This Row],[HARGA SATUAN]])</f>
        <v>1740000</v>
      </c>
      <c r="AG731" s="51">
        <f ca="1">IF(NOTA[ID_H]="","",INDEX(NOTA[TANGGAL],MATCH(,INDIRECT(ADDRESS(ROW(NOTA[TANGGAL]),COLUMN(NOTA[TANGGAL]))&amp;":"&amp;ADDRESS(ROW(),COLUMN(NOTA[TANGGAL]))),-1)))</f>
        <v>44953</v>
      </c>
      <c r="AH731" s="49" t="str">
        <f ca="1">IF(NOTA[[#This Row],[NAMA BARANG]]="","",INDEX(NOTA[SUPPLIER],MATCH(,INDIRECT(ADDRESS(ROW(NOTA[ID]),COLUMN(NOTA[ID]))&amp;":"&amp;ADDRESS(ROW(),COLUMN(NOTA[ID]))),-1)))</f>
        <v>DR (SS) ORI</v>
      </c>
      <c r="AI731" s="49" t="str">
        <f ca="1">IF(NOTA[[#This Row],[ID_H]]="","",IF(NOTA[[#This Row],[FAKTUR]]="",INDIRECT(ADDRESS(ROW()-1,COLUMN())),NOTA[[#This Row],[FAKTUR]]))</f>
        <v>UNTANA</v>
      </c>
      <c r="AJ731" s="38" t="str">
        <f ca="1">IF(NOTA[[#This Row],[ID]]="","",COUNTIF(NOTA[ID_H],NOTA[[#This Row],[ID_H]]))</f>
        <v/>
      </c>
      <c r="AK731" s="38" t="str">
        <f ca="1">IF(NOTA[[#This Row],[TGL.NOTA]]="",IF(NOTA[[#This Row],[SUPPLIER_H]]="","",AK730),MONTH(NOTA[[#This Row],[TGL.NOTA]]))</f>
        <v/>
      </c>
      <c r="AL731" s="38" t="str">
        <f>LOWER(SUBSTITUTE(SUBSTITUTE(SUBSTITUTE(SUBSTITUTE(SUBSTITUTE(SUBSTITUTE(SUBSTITUTE(SUBSTITUTE(SUBSTITUTE(NOTA[NAMA BARANG]," ",),".",""),"-",""),"(",""),")",""),",",""),"/",""),"""",""),"+",""))</f>
        <v>guntingtrendss</v>
      </c>
      <c r="AM731" s="38" t="str">
        <f>IF(NOTA[C]="",NOTA[[#This Row],[CONCAT1]]&amp;NOTA[[#This Row],[HARGA SATUAN]],NOTA[[#This Row],[CONCAT1]]&amp;NOTA[[#This Row],[HARGA/ CTN_H]]&amp;NOTA[[#This Row],[DISC 1]]&amp;NOTA[[#This Row],[DISC 2]])</f>
        <v>guntingtrendss29000</v>
      </c>
      <c r="AN731" s="184">
        <f>IF(NOTA[[#This Row],[CONCAT1]]="","",MATCH(NOTA[[#This Row],[CONCAT1]],[1]!db[NB NOTA_C],0)+1)</f>
        <v>957</v>
      </c>
    </row>
    <row r="732" spans="1:40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Row],[CEK_EXP]]&lt;D731,"err","")</f>
        <v/>
      </c>
      <c r="D732" s="50">
        <f>IF(NOTA[[#This Row],[TANGGAL]]="",D731,NOTA[[#This Row],[TANGGAL]])</f>
        <v>44953</v>
      </c>
      <c r="E732" s="50">
        <f ca="1">IF(NOTA[[#This Row],[NAMA BARANG]]="","",INDEX(NOTA[ID],MATCH(,INDIRECT(ADDRESS(ROW(NOTA[ID]),COLUMN(NOTA[ID]))&amp;":"&amp;ADDRESS(ROW(),COLUMN(NOTA[ID]))),-1)))</f>
        <v>138</v>
      </c>
      <c r="F732" s="23"/>
      <c r="G732" s="26"/>
      <c r="H732" s="26"/>
      <c r="I732" s="31"/>
      <c r="J732" s="26"/>
      <c r="K732" s="51"/>
      <c r="L732" s="26"/>
      <c r="M732" s="26" t="s">
        <v>891</v>
      </c>
      <c r="N732" s="39">
        <v>12</v>
      </c>
      <c r="O732" s="26">
        <f>12*60</f>
        <v>720</v>
      </c>
      <c r="P732" s="26" t="s">
        <v>90</v>
      </c>
      <c r="Q732" s="49">
        <v>29000</v>
      </c>
      <c r="R732" s="52"/>
      <c r="S732" s="39" t="s">
        <v>91</v>
      </c>
      <c r="T732" s="53">
        <v>0.12</v>
      </c>
      <c r="U732" s="53">
        <v>0.12</v>
      </c>
      <c r="V732" s="54"/>
      <c r="W732" s="37"/>
      <c r="X732" s="54">
        <f>IF(NOTA[[#This Row],[HARGA/ CTN]]="",NOTA[[#This Row],[JUMLAH_H]],NOTA[[#This Row],[HARGA/ CTN]]*IF(NOTA[[#This Row],[C]]="",0,NOTA[[#This Row],[C]]))</f>
        <v>20880000</v>
      </c>
      <c r="Y732" s="54">
        <f>IF(NOTA[[#This Row],[JUMLAH]]="","",NOTA[[#This Row],[JUMLAH]]*NOTA[[#This Row],[DISC 1]])</f>
        <v>2505600</v>
      </c>
      <c r="Z732" s="54">
        <f>IF(NOTA[[#This Row],[JUMLAH]]="","",(NOTA[[#This Row],[JUMLAH]]-NOTA[[#This Row],[DISC 1-]])*NOTA[[#This Row],[DISC 2]])</f>
        <v>2204928</v>
      </c>
      <c r="AA732" s="54">
        <f>IF(NOTA[[#This Row],[JUMLAH]]="","",NOTA[[#This Row],[DISC 1-]]+NOTA[[#This Row],[DISC 2-]])</f>
        <v>4710528</v>
      </c>
      <c r="AB732" s="54">
        <f>IF(NOTA[[#This Row],[JUMLAH]]="","",NOTA[[#This Row],[JUMLAH]]-NOTA[[#This Row],[DISC]])</f>
        <v>16169472</v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732" s="54">
        <f>IF(OR(NOTA[[#This Row],[QTY]]="",NOTA[[#This Row],[HARGA SATUAN]]="",),"",NOTA[[#This Row],[QTY]]*NOTA[[#This Row],[HARGA SATUAN]])</f>
        <v>20880000</v>
      </c>
      <c r="AG732" s="51">
        <f ca="1">IF(NOTA[ID_H]="","",INDEX(NOTA[TANGGAL],MATCH(,INDIRECT(ADDRESS(ROW(NOTA[TANGGAL]),COLUMN(NOTA[TANGGAL]))&amp;":"&amp;ADDRESS(ROW(),COLUMN(NOTA[TANGGAL]))),-1)))</f>
        <v>44953</v>
      </c>
      <c r="AH732" s="49" t="str">
        <f ca="1">IF(NOTA[[#This Row],[NAMA BARANG]]="","",INDEX(NOTA[SUPPLIER],MATCH(,INDIRECT(ADDRESS(ROW(NOTA[ID]),COLUMN(NOTA[ID]))&amp;":"&amp;ADDRESS(ROW(),COLUMN(NOTA[ID]))),-1)))</f>
        <v>DR (SS) ORI</v>
      </c>
      <c r="AI732" s="49" t="str">
        <f ca="1">IF(NOTA[[#This Row],[ID_H]]="","",IF(NOTA[[#This Row],[FAKTUR]]="",INDIRECT(ADDRESS(ROW()-1,COLUMN())),NOTA[[#This Row],[FAKTUR]]))</f>
        <v>UNTANA</v>
      </c>
      <c r="AJ732" s="38" t="str">
        <f ca="1">IF(NOTA[[#This Row],[ID]]="","",COUNTIF(NOTA[ID_H],NOTA[[#This Row],[ID_H]]))</f>
        <v/>
      </c>
      <c r="AK732" s="38" t="str">
        <f ca="1">IF(NOTA[[#This Row],[TGL.NOTA]]="",IF(NOTA[[#This Row],[SUPPLIER_H]]="","",AK731),MONTH(NOTA[[#This Row],[TGL.NOTA]]))</f>
        <v/>
      </c>
      <c r="AL732" s="38" t="str">
        <f>LOWER(SUBSTITUTE(SUBSTITUTE(SUBSTITUTE(SUBSTITUTE(SUBSTITUTE(SUBSTITUTE(SUBSTITUTE(SUBSTITUTE(SUBSTITUTE(NOTA[NAMA BARANG]," ",),".",""),"-",""),"(",""),")",""),",",""),"/",""),"""",""),"+",""))</f>
        <v>guntingtrendss</v>
      </c>
      <c r="AM732" s="38" t="str">
        <f>IF(NOTA[C]="",NOTA[[#This Row],[CONCAT1]]&amp;NOTA[[#This Row],[HARGA SATUAN]],NOTA[[#This Row],[CONCAT1]]&amp;NOTA[[#This Row],[HARGA/ CTN_H]]&amp;NOTA[[#This Row],[DISC 1]]&amp;NOTA[[#This Row],[DISC 2]])</f>
        <v>guntingtrendss17400000.120.12</v>
      </c>
      <c r="AN732" s="184">
        <f>IF(NOTA[[#This Row],[CONCAT1]]="","",MATCH(NOTA[[#This Row],[CONCAT1]],[1]!db[NB NOTA_C],0)+1)</f>
        <v>957</v>
      </c>
    </row>
    <row r="733" spans="1:40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Row],[CEK_EXP]]&lt;D732,"err","")</f>
        <v/>
      </c>
      <c r="D733" s="50">
        <f>IF(NOTA[[#This Row],[TANGGAL]]="",D732,NOTA[[#This Row],[TANGGAL]])</f>
        <v>44953</v>
      </c>
      <c r="E733" s="50">
        <f ca="1">IF(NOTA[[#This Row],[NAMA BARANG]]="","",INDEX(NOTA[ID],MATCH(,INDIRECT(ADDRESS(ROW(NOTA[ID]),COLUMN(NOTA[ID]))&amp;":"&amp;ADDRESS(ROW(),COLUMN(NOTA[ID]))),-1)))</f>
        <v>138</v>
      </c>
      <c r="F733" s="23"/>
      <c r="G733" s="26"/>
      <c r="H733" s="26"/>
      <c r="I733" s="31"/>
      <c r="J733" s="26"/>
      <c r="K733" s="51"/>
      <c r="L733" s="26"/>
      <c r="M733" s="26" t="s">
        <v>890</v>
      </c>
      <c r="N733" s="39">
        <v>1</v>
      </c>
      <c r="O733" s="26">
        <v>24</v>
      </c>
      <c r="P733" s="26" t="s">
        <v>90</v>
      </c>
      <c r="Q733" s="49">
        <v>87000</v>
      </c>
      <c r="R733" s="52"/>
      <c r="S733" s="39" t="s">
        <v>893</v>
      </c>
      <c r="T733" s="53"/>
      <c r="U733" s="53"/>
      <c r="V733" s="54"/>
      <c r="W733" s="37" t="s">
        <v>211</v>
      </c>
      <c r="X733" s="54">
        <f>IF(NOTA[[#This Row],[HARGA/ CTN]]="",NOTA[[#This Row],[JUMLAH_H]],NOTA[[#This Row],[HARGA/ CTN]]*IF(NOTA[[#This Row],[C]]="",0,NOTA[[#This Row],[C]]))</f>
        <v>2088000</v>
      </c>
      <c r="Y733" s="54">
        <f>IF(NOTA[[#This Row],[JUMLAH]]="","",NOTA[[#This Row],[JUMLAH]]*NOTA[[#This Row],[DISC 1]])</f>
        <v>0</v>
      </c>
      <c r="Z733" s="54">
        <f>IF(NOTA[[#This Row],[JUMLAH]]="","",(NOTA[[#This Row],[JUMLAH]]-NOTA[[#This Row],[DISC 1-]])*NOTA[[#This Row],[DISC 2]])</f>
        <v>0</v>
      </c>
      <c r="AA733" s="54">
        <f>IF(NOTA[[#This Row],[JUMLAH]]="","",NOTA[[#This Row],[DISC 1-]]+NOTA[[#This Row],[DISC 2-]])</f>
        <v>0</v>
      </c>
      <c r="AB733" s="54">
        <f>IF(NOTA[[#This Row],[JUMLAH]]="","",NOTA[[#This Row],[JUMLAH]]-NOTA[[#This Row],[DISC]])</f>
        <v>2088000</v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33" s="54">
        <f>IF(OR(NOTA[[#This Row],[QTY]]="",NOTA[[#This Row],[HARGA SATUAN]]="",),"",NOTA[[#This Row],[QTY]]*NOTA[[#This Row],[HARGA SATUAN]])</f>
        <v>2088000</v>
      </c>
      <c r="AG733" s="51">
        <f ca="1">IF(NOTA[ID_H]="","",INDEX(NOTA[TANGGAL],MATCH(,INDIRECT(ADDRESS(ROW(NOTA[TANGGAL]),COLUMN(NOTA[TANGGAL]))&amp;":"&amp;ADDRESS(ROW(),COLUMN(NOTA[TANGGAL]))),-1)))</f>
        <v>44953</v>
      </c>
      <c r="AH733" s="49" t="str">
        <f ca="1">IF(NOTA[[#This Row],[NAMA BARANG]]="","",INDEX(NOTA[SUPPLIER],MATCH(,INDIRECT(ADDRESS(ROW(NOTA[ID]),COLUMN(NOTA[ID]))&amp;":"&amp;ADDRESS(ROW(),COLUMN(NOTA[ID]))),-1)))</f>
        <v>DR (SS) ORI</v>
      </c>
      <c r="AI733" s="49" t="str">
        <f ca="1">IF(NOTA[[#This Row],[ID_H]]="","",IF(NOTA[[#This Row],[FAKTUR]]="",INDIRECT(ADDRESS(ROW()-1,COLUMN())),NOTA[[#This Row],[FAKTUR]]))</f>
        <v>UNTANA</v>
      </c>
      <c r="AJ733" s="38" t="str">
        <f ca="1">IF(NOTA[[#This Row],[ID]]="","",COUNTIF(NOTA[ID_H],NOTA[[#This Row],[ID_H]]))</f>
        <v/>
      </c>
      <c r="AK733" s="38" t="str">
        <f ca="1">IF(NOTA[[#This Row],[TGL.NOTA]]="",IF(NOTA[[#This Row],[SUPPLIER_H]]="","",AK732),MONTH(NOTA[[#This Row],[TGL.NOTA]]))</f>
        <v/>
      </c>
      <c r="AL733" s="38" t="str">
        <f>LOWER(SUBSTITUTE(SUBSTITUTE(SUBSTITUTE(SUBSTITUTE(SUBSTITUTE(SUBSTITUTE(SUBSTITUTE(SUBSTITUTE(SUBSTITUTE(NOTA[NAMA BARANG]," ",),".",""),"-",""),"(",""),")",""),",",""),"/",""),"""",""),"+",""))</f>
        <v>guntingidealk300</v>
      </c>
      <c r="AM733" s="38" t="str">
        <f>IF(NOTA[C]="",NOTA[[#This Row],[CONCAT1]]&amp;NOTA[[#This Row],[HARGA SATUAN]],NOTA[[#This Row],[CONCAT1]]&amp;NOTA[[#This Row],[HARGA/ CTN_H]]&amp;NOTA[[#This Row],[DISC 1]]&amp;NOTA[[#This Row],[DISC 2]])</f>
        <v>guntingidealk3002088000</v>
      </c>
      <c r="AN733" s="184">
        <f>IF(NOTA[[#This Row],[CONCAT1]]="","",MATCH(NOTA[[#This Row],[CONCAT1]],[1]!db[NB NOTA_C],0)+1)</f>
        <v>950</v>
      </c>
    </row>
    <row r="734" spans="1:40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Row],[CEK_EXP]]&lt;D733,"err","")</f>
        <v/>
      </c>
      <c r="D734" s="50">
        <f>IF(NOTA[[#This Row],[TANGGAL]]="",D733,NOTA[[#This Row],[TANGGAL]])</f>
        <v>44953</v>
      </c>
      <c r="E734" s="50">
        <f ca="1">IF(NOTA[[#This Row],[NAMA BARANG]]="","",INDEX(NOTA[ID],MATCH(,INDIRECT(ADDRESS(ROW(NOTA[ID]),COLUMN(NOTA[ID]))&amp;":"&amp;ADDRESS(ROW(),COLUMN(NOTA[ID]))),-1)))</f>
        <v>138</v>
      </c>
      <c r="F734" s="23"/>
      <c r="G734" s="26"/>
      <c r="H734" s="26"/>
      <c r="I734" s="31"/>
      <c r="J734" s="26"/>
      <c r="K734" s="51"/>
      <c r="L734" s="26"/>
      <c r="M734" s="26" t="s">
        <v>889</v>
      </c>
      <c r="N734" s="39"/>
      <c r="O734" s="26">
        <v>20</v>
      </c>
      <c r="P734" s="26" t="s">
        <v>90</v>
      </c>
      <c r="Q734" s="49">
        <v>133000</v>
      </c>
      <c r="R734" s="52"/>
      <c r="S734" s="39" t="s">
        <v>892</v>
      </c>
      <c r="T734" s="53"/>
      <c r="U734" s="53"/>
      <c r="V734" s="54"/>
      <c r="W734" s="37" t="s">
        <v>211</v>
      </c>
      <c r="X734" s="54">
        <f>IF(NOTA[[#This Row],[HARGA/ CTN]]="",NOTA[[#This Row],[JUMLAH_H]],NOTA[[#This Row],[HARGA/ CTN]]*IF(NOTA[[#This Row],[C]]="",0,NOTA[[#This Row],[C]]))</f>
        <v>2660000</v>
      </c>
      <c r="Y734" s="54">
        <f>IF(NOTA[[#This Row],[JUMLAH]]="","",NOTA[[#This Row],[JUMLAH]]*NOTA[[#This Row],[DISC 1]])</f>
        <v>0</v>
      </c>
      <c r="Z734" s="54">
        <f>IF(NOTA[[#This Row],[JUMLAH]]="","",(NOTA[[#This Row],[JUMLAH]]-NOTA[[#This Row],[DISC 1-]])*NOTA[[#This Row],[DISC 2]])</f>
        <v>0</v>
      </c>
      <c r="AA734" s="54">
        <f>IF(NOTA[[#This Row],[JUMLAH]]="","",NOTA[[#This Row],[DISC 1-]]+NOTA[[#This Row],[DISC 2-]])</f>
        <v>0</v>
      </c>
      <c r="AB734" s="54">
        <f>IF(NOTA[[#This Row],[JUMLAH]]="","",NOTA[[#This Row],[JUMLAH]]-NOTA[[#This Row],[DISC]])</f>
        <v>2660000</v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49">
        <f>IF(NOTA[[#This Row],[NAMA BARANG]]="","",IF(NOTA[[#This Row],[JUMLAH_H]]="",NOTA[[#This Row],[HARGA/ CTN]],NOTA[[#This Row],[QTY]]*NOTA[[#This Row],[HARGA SATUAN]]/IF(ISNUMBER(NOTA[[#This Row],[C]]),NOTA[[#This Row],[C]],1)))</f>
        <v>2660000</v>
      </c>
      <c r="AF734" s="54">
        <f>IF(OR(NOTA[[#This Row],[QTY]]="",NOTA[[#This Row],[HARGA SATUAN]]="",),"",NOTA[[#This Row],[QTY]]*NOTA[[#This Row],[HARGA SATUAN]])</f>
        <v>2660000</v>
      </c>
      <c r="AG734" s="51">
        <f ca="1">IF(NOTA[ID_H]="","",INDEX(NOTA[TANGGAL],MATCH(,INDIRECT(ADDRESS(ROW(NOTA[TANGGAL]),COLUMN(NOTA[TANGGAL]))&amp;":"&amp;ADDRESS(ROW(),COLUMN(NOTA[TANGGAL]))),-1)))</f>
        <v>44953</v>
      </c>
      <c r="AH734" s="49" t="str">
        <f ca="1">IF(NOTA[[#This Row],[NAMA BARANG]]="","",INDEX(NOTA[SUPPLIER],MATCH(,INDIRECT(ADDRESS(ROW(NOTA[ID]),COLUMN(NOTA[ID]))&amp;":"&amp;ADDRESS(ROW(),COLUMN(NOTA[ID]))),-1)))</f>
        <v>DR (SS) ORI</v>
      </c>
      <c r="AI734" s="49" t="str">
        <f ca="1">IF(NOTA[[#This Row],[ID_H]]="","",IF(NOTA[[#This Row],[FAKTUR]]="",INDIRECT(ADDRESS(ROW()-1,COLUMN())),NOTA[[#This Row],[FAKTUR]]))</f>
        <v>UNTANA</v>
      </c>
      <c r="AJ734" s="38" t="str">
        <f ca="1">IF(NOTA[[#This Row],[ID]]="","",COUNTIF(NOTA[ID_H],NOTA[[#This Row],[ID_H]]))</f>
        <v/>
      </c>
      <c r="AK734" s="38" t="str">
        <f ca="1">IF(NOTA[[#This Row],[TGL.NOTA]]="",IF(NOTA[[#This Row],[SUPPLIER_H]]="","",AK733),MONTH(NOTA[[#This Row],[TGL.NOTA]]))</f>
        <v/>
      </c>
      <c r="AL734" s="38" t="str">
        <f>LOWER(SUBSTITUTE(SUBSTITUTE(SUBSTITUTE(SUBSTITUTE(SUBSTITUTE(SUBSTITUTE(SUBSTITUTE(SUBSTITUTE(SUBSTITUTE(NOTA[NAMA BARANG]," ",),".",""),"-",""),"(",""),")",""),",",""),"/",""),"""",""),"+",""))</f>
        <v>guntingidealk500</v>
      </c>
      <c r="AM734" s="38" t="str">
        <f>IF(NOTA[C]="",NOTA[[#This Row],[CONCAT1]]&amp;NOTA[[#This Row],[HARGA SATUAN]],NOTA[[#This Row],[CONCAT1]]&amp;NOTA[[#This Row],[HARGA/ CTN_H]]&amp;NOTA[[#This Row],[DISC 1]]&amp;NOTA[[#This Row],[DISC 2]])</f>
        <v>guntingidealk500133000</v>
      </c>
      <c r="AN734" s="184">
        <f>IF(NOTA[[#This Row],[CONCAT1]]="","",MATCH(NOTA[[#This Row],[CONCAT1]],[1]!db[NB NOTA_C],0)+1)</f>
        <v>951</v>
      </c>
    </row>
    <row r="735" spans="1:40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Row],[CEK_EXP]]&lt;D734,"err","")</f>
        <v/>
      </c>
      <c r="D735" s="50">
        <f>IF(NOTA[[#This Row],[TANGGAL]]="",D734,NOTA[[#This Row],[TANGGAL]])</f>
        <v>44953</v>
      </c>
      <c r="E735" s="50">
        <f ca="1">IF(NOTA[[#This Row],[NAMA BARANG]]="","",INDEX(NOTA[ID],MATCH(,INDIRECT(ADDRESS(ROW(NOTA[ID]),COLUMN(NOTA[ID]))&amp;":"&amp;ADDRESS(ROW(),COLUMN(NOTA[ID]))),-1)))</f>
        <v>138</v>
      </c>
      <c r="F735" s="23"/>
      <c r="G735" s="26"/>
      <c r="H735" s="26"/>
      <c r="I735" s="31"/>
      <c r="J735" s="26"/>
      <c r="K735" s="51"/>
      <c r="L735" s="26"/>
      <c r="M735" s="26" t="s">
        <v>954</v>
      </c>
      <c r="N735" s="39">
        <v>3</v>
      </c>
      <c r="O735" s="26">
        <v>180</v>
      </c>
      <c r="P735" s="26" t="s">
        <v>90</v>
      </c>
      <c r="Q735" s="49">
        <v>33000</v>
      </c>
      <c r="R735" s="52"/>
      <c r="S735" s="39" t="s">
        <v>91</v>
      </c>
      <c r="T735" s="53"/>
      <c r="U735" s="53"/>
      <c r="V735" s="54"/>
      <c r="W735" s="37" t="s">
        <v>211</v>
      </c>
      <c r="X735" s="54">
        <f>IF(NOTA[[#This Row],[HARGA/ CTN]]="",NOTA[[#This Row],[JUMLAH_H]],NOTA[[#This Row],[HARGA/ CTN]]*IF(NOTA[[#This Row],[C]]="",0,NOTA[[#This Row],[C]]))</f>
        <v>5940000</v>
      </c>
      <c r="Y735" s="54">
        <f>IF(NOTA[[#This Row],[JUMLAH]]="","",NOTA[[#This Row],[JUMLAH]]*NOTA[[#This Row],[DISC 1]])</f>
        <v>0</v>
      </c>
      <c r="Z735" s="54">
        <f>IF(NOTA[[#This Row],[JUMLAH]]="","",(NOTA[[#This Row],[JUMLAH]]-NOTA[[#This Row],[DISC 1-]])*NOTA[[#This Row],[DISC 2]])</f>
        <v>0</v>
      </c>
      <c r="AA735" s="54">
        <f>IF(NOTA[[#This Row],[JUMLAH]]="","",NOTA[[#This Row],[DISC 1-]]+NOTA[[#This Row],[DISC 2-]])</f>
        <v>0</v>
      </c>
      <c r="AB735" s="54">
        <f>IF(NOTA[[#This Row],[JUMLAH]]="","",NOTA[[#This Row],[JUMLAH]]-NOTA[[#This Row],[DISC]])</f>
        <v>5940000</v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35" s="54">
        <f>IF(OR(NOTA[[#This Row],[QTY]]="",NOTA[[#This Row],[HARGA SATUAN]]="",),"",NOTA[[#This Row],[QTY]]*NOTA[[#This Row],[HARGA SATUAN]])</f>
        <v>5940000</v>
      </c>
      <c r="AG735" s="51">
        <f ca="1">IF(NOTA[ID_H]="","",INDEX(NOTA[TANGGAL],MATCH(,INDIRECT(ADDRESS(ROW(NOTA[TANGGAL]),COLUMN(NOTA[TANGGAL]))&amp;":"&amp;ADDRESS(ROW(),COLUMN(NOTA[TANGGAL]))),-1)))</f>
        <v>44953</v>
      </c>
      <c r="AH735" s="49" t="str">
        <f ca="1">IF(NOTA[[#This Row],[NAMA BARANG]]="","",INDEX(NOTA[SUPPLIER],MATCH(,INDIRECT(ADDRESS(ROW(NOTA[ID]),COLUMN(NOTA[ID]))&amp;":"&amp;ADDRESS(ROW(),COLUMN(NOTA[ID]))),-1)))</f>
        <v>DR (SS) ORI</v>
      </c>
      <c r="AI735" s="49" t="str">
        <f ca="1">IF(NOTA[[#This Row],[ID_H]]="","",IF(NOTA[[#This Row],[FAKTUR]]="",INDIRECT(ADDRESS(ROW()-1,COLUMN())),NOTA[[#This Row],[FAKTUR]]))</f>
        <v>UNTANA</v>
      </c>
      <c r="AJ735" s="38" t="str">
        <f ca="1">IF(NOTA[[#This Row],[ID]]="","",COUNTIF(NOTA[ID_H],NOTA[[#This Row],[ID_H]]))</f>
        <v/>
      </c>
      <c r="AK735" s="38" t="str">
        <f ca="1">IF(NOTA[[#This Row],[TGL.NOTA]]="",IF(NOTA[[#This Row],[SUPPLIER_H]]="","",AK734),MONTH(NOTA[[#This Row],[TGL.NOTA]]))</f>
        <v/>
      </c>
      <c r="AL735" s="38" t="str">
        <f>LOWER(SUBSTITUTE(SUBSTITUTE(SUBSTITUTE(SUBSTITUTE(SUBSTITUTE(SUBSTITUTE(SUBSTITUTE(SUBSTITUTE(SUBSTITUTE(NOTA[NAMA BARANG]," ",),".",""),"-",""),"(",""),")",""),",",""),"/",""),"""",""),"+",""))</f>
        <v>cuttertaco88besar</v>
      </c>
      <c r="AM735" s="38" t="str">
        <f>IF(NOTA[C]="",NOTA[[#This Row],[CONCAT1]]&amp;NOTA[[#This Row],[HARGA SATUAN]],NOTA[[#This Row],[CONCAT1]]&amp;NOTA[[#This Row],[HARGA/ CTN_H]]&amp;NOTA[[#This Row],[DISC 1]]&amp;NOTA[[#This Row],[DISC 2]])</f>
        <v>cuttertaco88besar1980000</v>
      </c>
      <c r="AN735" s="184">
        <f>IF(NOTA[[#This Row],[CONCAT1]]="","",MATCH(NOTA[[#This Row],[CONCAT1]],[1]!db[NB NOTA_C],0)+1)</f>
        <v>577</v>
      </c>
    </row>
    <row r="736" spans="1:40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Row],[CEK_EXP]]&lt;D735,"err","")</f>
        <v/>
      </c>
      <c r="D736" s="50">
        <f>IF(NOTA[[#This Row],[TANGGAL]]="",D735,NOTA[[#This Row],[TANGGAL]])</f>
        <v>44953</v>
      </c>
      <c r="E736" s="50">
        <f ca="1">IF(NOTA[[#This Row],[NAMA BARANG]]="","",INDEX(NOTA[ID],MATCH(,INDIRECT(ADDRESS(ROW(NOTA[ID]),COLUMN(NOTA[ID]))&amp;":"&amp;ADDRESS(ROW(),COLUMN(NOTA[ID]))),-1)))</f>
        <v>138</v>
      </c>
      <c r="F736" s="23"/>
      <c r="G736" s="26"/>
      <c r="H736" s="26"/>
      <c r="I736" s="31"/>
      <c r="J736" s="26"/>
      <c r="K736" s="51"/>
      <c r="L736" s="26"/>
      <c r="M736" s="26" t="s">
        <v>954</v>
      </c>
      <c r="N736" s="39">
        <v>24</v>
      </c>
      <c r="O736" s="26">
        <f>60*24</f>
        <v>1440</v>
      </c>
      <c r="P736" s="26" t="s">
        <v>90</v>
      </c>
      <c r="Q736" s="49">
        <v>33000</v>
      </c>
      <c r="R736" s="52"/>
      <c r="S736" s="39" t="s">
        <v>91</v>
      </c>
      <c r="T736" s="53">
        <v>0.12</v>
      </c>
      <c r="U736" s="53">
        <v>0.12</v>
      </c>
      <c r="V736" s="54"/>
      <c r="W736" s="37"/>
      <c r="X736" s="54">
        <f>IF(NOTA[[#This Row],[HARGA/ CTN]]="",NOTA[[#This Row],[JUMLAH_H]],NOTA[[#This Row],[HARGA/ CTN]]*IF(NOTA[[#This Row],[C]]="",0,NOTA[[#This Row],[C]]))</f>
        <v>47520000</v>
      </c>
      <c r="Y736" s="54">
        <f>IF(NOTA[[#This Row],[JUMLAH]]="","",NOTA[[#This Row],[JUMLAH]]*NOTA[[#This Row],[DISC 1]])</f>
        <v>5702400</v>
      </c>
      <c r="Z736" s="54">
        <f>IF(NOTA[[#This Row],[JUMLAH]]="","",(NOTA[[#This Row],[JUMLAH]]-NOTA[[#This Row],[DISC 1-]])*NOTA[[#This Row],[DISC 2]])</f>
        <v>5018112</v>
      </c>
      <c r="AA736" s="54">
        <f>IF(NOTA[[#This Row],[JUMLAH]]="","",NOTA[[#This Row],[DISC 1-]]+NOTA[[#This Row],[DISC 2-]])</f>
        <v>10720512</v>
      </c>
      <c r="AB736" s="54">
        <f>IF(NOTA[[#This Row],[JUMLAH]]="","",NOTA[[#This Row],[JUMLAH]]-NOTA[[#This Row],[DISC]])</f>
        <v>36799488</v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36" s="54">
        <f>IF(OR(NOTA[[#This Row],[QTY]]="",NOTA[[#This Row],[HARGA SATUAN]]="",),"",NOTA[[#This Row],[QTY]]*NOTA[[#This Row],[HARGA SATUAN]])</f>
        <v>47520000</v>
      </c>
      <c r="AG736" s="51">
        <f ca="1">IF(NOTA[ID_H]="","",INDEX(NOTA[TANGGAL],MATCH(,INDIRECT(ADDRESS(ROW(NOTA[TANGGAL]),COLUMN(NOTA[TANGGAL]))&amp;":"&amp;ADDRESS(ROW(),COLUMN(NOTA[TANGGAL]))),-1)))</f>
        <v>44953</v>
      </c>
      <c r="AH736" s="49" t="str">
        <f ca="1">IF(NOTA[[#This Row],[NAMA BARANG]]="","",INDEX(NOTA[SUPPLIER],MATCH(,INDIRECT(ADDRESS(ROW(NOTA[ID]),COLUMN(NOTA[ID]))&amp;":"&amp;ADDRESS(ROW(),COLUMN(NOTA[ID]))),-1)))</f>
        <v>DR (SS) ORI</v>
      </c>
      <c r="AI736" s="49" t="str">
        <f ca="1">IF(NOTA[[#This Row],[ID_H]]="","",IF(NOTA[[#This Row],[FAKTUR]]="",INDIRECT(ADDRESS(ROW()-1,COLUMN())),NOTA[[#This Row],[FAKTUR]]))</f>
        <v>UNTANA</v>
      </c>
      <c r="AJ736" s="38" t="str">
        <f ca="1">IF(NOTA[[#This Row],[ID]]="","",COUNTIF(NOTA[ID_H],NOTA[[#This Row],[ID_H]]))</f>
        <v/>
      </c>
      <c r="AK736" s="38" t="str">
        <f ca="1">IF(NOTA[[#This Row],[TGL.NOTA]]="",IF(NOTA[[#This Row],[SUPPLIER_H]]="","",AK735),MONTH(NOTA[[#This Row],[TGL.NOTA]]))</f>
        <v/>
      </c>
      <c r="AL736" s="38" t="str">
        <f>LOWER(SUBSTITUTE(SUBSTITUTE(SUBSTITUTE(SUBSTITUTE(SUBSTITUTE(SUBSTITUTE(SUBSTITUTE(SUBSTITUTE(SUBSTITUTE(NOTA[NAMA BARANG]," ",),".",""),"-",""),"(",""),")",""),",",""),"/",""),"""",""),"+",""))</f>
        <v>cuttertaco88besar</v>
      </c>
      <c r="AM736" s="38" t="str">
        <f>IF(NOTA[C]="",NOTA[[#This Row],[CONCAT1]]&amp;NOTA[[#This Row],[HARGA SATUAN]],NOTA[[#This Row],[CONCAT1]]&amp;NOTA[[#This Row],[HARGA/ CTN_H]]&amp;NOTA[[#This Row],[DISC 1]]&amp;NOTA[[#This Row],[DISC 2]])</f>
        <v>cuttertaco88besar19800000.120.12</v>
      </c>
      <c r="AN736" s="184">
        <f>IF(NOTA[[#This Row],[CONCAT1]]="","",MATCH(NOTA[[#This Row],[CONCAT1]],[1]!db[NB NOTA_C],0)+1)</f>
        <v>577</v>
      </c>
    </row>
    <row r="737" spans="1:40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Row],[CEK_EXP]]&lt;D736,"err","")</f>
        <v/>
      </c>
      <c r="D737" s="50">
        <f>IF(NOTA[[#This Row],[TANGGAL]]="",D736,NOTA[[#This Row],[TANGGAL]])</f>
        <v>44953</v>
      </c>
      <c r="E737" s="50">
        <f ca="1">IF(NOTA[[#This Row],[NAMA BARANG]]="","",INDEX(NOTA[ID],MATCH(,INDIRECT(ADDRESS(ROW(NOTA[ID]),COLUMN(NOTA[ID]))&amp;":"&amp;ADDRESS(ROW(),COLUMN(NOTA[ID]))),-1)))</f>
        <v>138</v>
      </c>
      <c r="F737" s="23"/>
      <c r="G737" s="26"/>
      <c r="H737" s="26"/>
      <c r="I737" s="31"/>
      <c r="J737" s="26"/>
      <c r="K737" s="51"/>
      <c r="L737" s="26"/>
      <c r="M737" s="26" t="s">
        <v>953</v>
      </c>
      <c r="N737" s="39">
        <v>24</v>
      </c>
      <c r="O737" s="26">
        <f>120*24</f>
        <v>2880</v>
      </c>
      <c r="P737" s="26" t="s">
        <v>90</v>
      </c>
      <c r="Q737" s="49">
        <v>23000</v>
      </c>
      <c r="R737" s="52"/>
      <c r="S737" s="39" t="s">
        <v>188</v>
      </c>
      <c r="T737" s="53">
        <v>0.12</v>
      </c>
      <c r="U737" s="53">
        <v>0.12</v>
      </c>
      <c r="V737" s="54"/>
      <c r="W737" s="37"/>
      <c r="X737" s="54">
        <f>IF(NOTA[[#This Row],[HARGA/ CTN]]="",NOTA[[#This Row],[JUMLAH_H]],NOTA[[#This Row],[HARGA/ CTN]]*IF(NOTA[[#This Row],[C]]="",0,NOTA[[#This Row],[C]]))</f>
        <v>66240000</v>
      </c>
      <c r="Y737" s="54">
        <f>IF(NOTA[[#This Row],[JUMLAH]]="","",NOTA[[#This Row],[JUMLAH]]*NOTA[[#This Row],[DISC 1]])</f>
        <v>7948800</v>
      </c>
      <c r="Z737" s="54">
        <f>IF(NOTA[[#This Row],[JUMLAH]]="","",(NOTA[[#This Row],[JUMLAH]]-NOTA[[#This Row],[DISC 1-]])*NOTA[[#This Row],[DISC 2]])</f>
        <v>6994944</v>
      </c>
      <c r="AA737" s="54">
        <f>IF(NOTA[[#This Row],[JUMLAH]]="","",NOTA[[#This Row],[DISC 1-]]+NOTA[[#This Row],[DISC 2-]])</f>
        <v>14943744</v>
      </c>
      <c r="AB737" s="54">
        <f>IF(NOTA[[#This Row],[JUMLAH]]="","",NOTA[[#This Row],[JUMLAH]]-NOTA[[#This Row],[DISC]])</f>
        <v>51296256</v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F737" s="54">
        <f>IF(OR(NOTA[[#This Row],[QTY]]="",NOTA[[#This Row],[HARGA SATUAN]]="",),"",NOTA[[#This Row],[QTY]]*NOTA[[#This Row],[HARGA SATUAN]])</f>
        <v>66240000</v>
      </c>
      <c r="AG737" s="51">
        <f ca="1">IF(NOTA[ID_H]="","",INDEX(NOTA[TANGGAL],MATCH(,INDIRECT(ADDRESS(ROW(NOTA[TANGGAL]),COLUMN(NOTA[TANGGAL]))&amp;":"&amp;ADDRESS(ROW(),COLUMN(NOTA[TANGGAL]))),-1)))</f>
        <v>44953</v>
      </c>
      <c r="AH737" s="49" t="str">
        <f ca="1">IF(NOTA[[#This Row],[NAMA BARANG]]="","",INDEX(NOTA[SUPPLIER],MATCH(,INDIRECT(ADDRESS(ROW(NOTA[ID]),COLUMN(NOTA[ID]))&amp;":"&amp;ADDRESS(ROW(),COLUMN(NOTA[ID]))),-1)))</f>
        <v>DR (SS) ORI</v>
      </c>
      <c r="AI737" s="49" t="str">
        <f ca="1">IF(NOTA[[#This Row],[ID_H]]="","",IF(NOTA[[#This Row],[FAKTUR]]="",INDIRECT(ADDRESS(ROW()-1,COLUMN())),NOTA[[#This Row],[FAKTUR]]))</f>
        <v>UNTANA</v>
      </c>
      <c r="AJ737" s="38" t="str">
        <f ca="1">IF(NOTA[[#This Row],[ID]]="","",COUNTIF(NOTA[ID_H],NOTA[[#This Row],[ID_H]]))</f>
        <v/>
      </c>
      <c r="AK737" s="38" t="str">
        <f ca="1">IF(NOTA[[#This Row],[TGL.NOTA]]="",IF(NOTA[[#This Row],[SUPPLIER_H]]="","",AK736),MONTH(NOTA[[#This Row],[TGL.NOTA]]))</f>
        <v/>
      </c>
      <c r="AL737" s="38" t="str">
        <f>LOWER(SUBSTITUTE(SUBSTITUTE(SUBSTITUTE(SUBSTITUTE(SUBSTITUTE(SUBSTITUTE(SUBSTITUTE(SUBSTITUTE(SUBSTITUTE(NOTA[NAMA BARANG]," ",),".",""),"-",""),"(",""),")",""),",",""),"/",""),"""",""),"+",""))</f>
        <v>cuttertaco78kecil</v>
      </c>
      <c r="AM737" s="38" t="str">
        <f>IF(NOTA[C]="",NOTA[[#This Row],[CONCAT1]]&amp;NOTA[[#This Row],[HARGA SATUAN]],NOTA[[#This Row],[CONCAT1]]&amp;NOTA[[#This Row],[HARGA/ CTN_H]]&amp;NOTA[[#This Row],[DISC 1]]&amp;NOTA[[#This Row],[DISC 2]])</f>
        <v>cuttertaco78kecil27600000.120.12</v>
      </c>
      <c r="AN737" s="184">
        <f>IF(NOTA[[#This Row],[CONCAT1]]="","",MATCH(NOTA[[#This Row],[CONCAT1]],[1]!db[NB NOTA_C],0)+1)</f>
        <v>576</v>
      </c>
    </row>
    <row r="738" spans="1:40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Row],[CEK_EXP]]&lt;D737,"err","")</f>
        <v/>
      </c>
      <c r="D738" s="50">
        <f>IF(NOTA[[#This Row],[TANGGAL]]="",D737,NOTA[[#This Row],[TANGGAL]])</f>
        <v>44953</v>
      </c>
      <c r="E738" s="50">
        <f ca="1">IF(NOTA[[#This Row],[NAMA BARANG]]="","",INDEX(NOTA[ID],MATCH(,INDIRECT(ADDRESS(ROW(NOTA[ID]),COLUMN(NOTA[ID]))&amp;":"&amp;ADDRESS(ROW(),COLUMN(NOTA[ID]))),-1)))</f>
        <v>138</v>
      </c>
      <c r="F738" s="23"/>
      <c r="G738" s="26"/>
      <c r="H738" s="26"/>
      <c r="I738" s="31"/>
      <c r="J738" s="26"/>
      <c r="K738" s="51"/>
      <c r="L738" s="26"/>
      <c r="M738" s="26" t="s">
        <v>953</v>
      </c>
      <c r="N738" s="39"/>
      <c r="O738" s="26">
        <v>120</v>
      </c>
      <c r="P738" s="26" t="s">
        <v>90</v>
      </c>
      <c r="Q738" s="49">
        <v>23000</v>
      </c>
      <c r="R738" s="52"/>
      <c r="S738" s="39" t="s">
        <v>188</v>
      </c>
      <c r="T738" s="53"/>
      <c r="U738" s="53"/>
      <c r="V738" s="54"/>
      <c r="W738" s="37" t="s">
        <v>211</v>
      </c>
      <c r="X738" s="54">
        <f>IF(NOTA[[#This Row],[HARGA/ CTN]]="",NOTA[[#This Row],[JUMLAH_H]],NOTA[[#This Row],[HARGA/ CTN]]*IF(NOTA[[#This Row],[C]]="",0,NOTA[[#This Row],[C]]))</f>
        <v>2760000</v>
      </c>
      <c r="Y738" s="54">
        <f>IF(NOTA[[#This Row],[JUMLAH]]="","",NOTA[[#This Row],[JUMLAH]]*NOTA[[#This Row],[DISC 1]])</f>
        <v>0</v>
      </c>
      <c r="Z738" s="54">
        <f>IF(NOTA[[#This Row],[JUMLAH]]="","",(NOTA[[#This Row],[JUMLAH]]-NOTA[[#This Row],[DISC 1-]])*NOTA[[#This Row],[DISC 2]])</f>
        <v>0</v>
      </c>
      <c r="AA738" s="54">
        <f>IF(NOTA[[#This Row],[JUMLAH]]="","",NOTA[[#This Row],[DISC 1-]]+NOTA[[#This Row],[DISC 2-]])</f>
        <v>0</v>
      </c>
      <c r="AB738" s="54">
        <f>IF(NOTA[[#This Row],[JUMLAH]]="","",NOTA[[#This Row],[JUMLAH]]-NOTA[[#This Row],[DISC]])</f>
        <v>2760000</v>
      </c>
      <c r="AC7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47438169.600000001</v>
      </c>
      <c r="AD7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194445830.40000001</v>
      </c>
      <c r="AE738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F738" s="54">
        <f>IF(OR(NOTA[[#This Row],[QTY]]="",NOTA[[#This Row],[HARGA SATUAN]]="",),"",NOTA[[#This Row],[QTY]]*NOTA[[#This Row],[HARGA SATUAN]])</f>
        <v>2760000</v>
      </c>
      <c r="AG738" s="51">
        <f ca="1">IF(NOTA[ID_H]="","",INDEX(NOTA[TANGGAL],MATCH(,INDIRECT(ADDRESS(ROW(NOTA[TANGGAL]),COLUMN(NOTA[TANGGAL]))&amp;":"&amp;ADDRESS(ROW(),COLUMN(NOTA[TANGGAL]))),-1)))</f>
        <v>44953</v>
      </c>
      <c r="AH738" s="49" t="str">
        <f ca="1">IF(NOTA[[#This Row],[NAMA BARANG]]="","",INDEX(NOTA[SUPPLIER],MATCH(,INDIRECT(ADDRESS(ROW(NOTA[ID]),COLUMN(NOTA[ID]))&amp;":"&amp;ADDRESS(ROW(),COLUMN(NOTA[ID]))),-1)))</f>
        <v>DR (SS) ORI</v>
      </c>
      <c r="AI738" s="49" t="str">
        <f ca="1">IF(NOTA[[#This Row],[ID_H]]="","",IF(NOTA[[#This Row],[FAKTUR]]="",INDIRECT(ADDRESS(ROW()-1,COLUMN())),NOTA[[#This Row],[FAKTUR]]))</f>
        <v>UNTANA</v>
      </c>
      <c r="AJ738" s="38" t="str">
        <f ca="1">IF(NOTA[[#This Row],[ID]]="","",COUNTIF(NOTA[ID_H],NOTA[[#This Row],[ID_H]]))</f>
        <v/>
      </c>
      <c r="AK738" s="38" t="str">
        <f ca="1">IF(NOTA[[#This Row],[TGL.NOTA]]="",IF(NOTA[[#This Row],[SUPPLIER_H]]="","",AK737),MONTH(NOTA[[#This Row],[TGL.NOTA]]))</f>
        <v/>
      </c>
      <c r="AL738" s="38" t="str">
        <f>LOWER(SUBSTITUTE(SUBSTITUTE(SUBSTITUTE(SUBSTITUTE(SUBSTITUTE(SUBSTITUTE(SUBSTITUTE(SUBSTITUTE(SUBSTITUTE(NOTA[NAMA BARANG]," ",),".",""),"-",""),"(",""),")",""),",",""),"/",""),"""",""),"+",""))</f>
        <v>cuttertaco78kecil</v>
      </c>
      <c r="AM738" s="38" t="str">
        <f>IF(NOTA[C]="",NOTA[[#This Row],[CONCAT1]]&amp;NOTA[[#This Row],[HARGA SATUAN]],NOTA[[#This Row],[CONCAT1]]&amp;NOTA[[#This Row],[HARGA/ CTN_H]]&amp;NOTA[[#This Row],[DISC 1]]&amp;NOTA[[#This Row],[DISC 2]])</f>
        <v>cuttertaco78kecil23000</v>
      </c>
      <c r="AN738" s="184">
        <f>IF(NOTA[[#This Row],[CONCAT1]]="","",MATCH(NOTA[[#This Row],[CONCAT1]],[1]!db[NB NOTA_C],0)+1)</f>
        <v>576</v>
      </c>
    </row>
    <row r="739" spans="1:40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Row],[CEK_EXP]]&lt;D738,"err","")</f>
        <v/>
      </c>
      <c r="D739" s="50">
        <f>IF(NOTA[[#This Row],[TANGGAL]]="",D738,NOTA[[#This Row],[TANGGAL]])</f>
        <v>44953</v>
      </c>
      <c r="E739" s="50" t="str">
        <f ca="1">IF(NOTA[[#This Row],[NAMA BARANG]]="","",INDEX(NOTA[ID],MATCH(,INDIRECT(ADDRESS(ROW(NOTA[ID]),COLUMN(NOTA[ID]))&amp;":"&amp;ADDRESS(ROW(),COLUMN(NOTA[ID]))),-1)))</f>
        <v/>
      </c>
      <c r="F739" s="23"/>
      <c r="G739" s="26"/>
      <c r="H739" s="26"/>
      <c r="I739" s="31"/>
      <c r="J739" s="26"/>
      <c r="K739" s="51"/>
      <c r="L739" s="26"/>
      <c r="M739" s="26"/>
      <c r="N739" s="39"/>
      <c r="O739" s="26"/>
      <c r="P739" s="26"/>
      <c r="Q739" s="49"/>
      <c r="R739" s="52"/>
      <c r="S739" s="39"/>
      <c r="T739" s="53"/>
      <c r="U739" s="53"/>
      <c r="V739" s="54"/>
      <c r="W739" s="37"/>
      <c r="X739" s="54" t="str">
        <f>IF(NOTA[[#This Row],[HARGA/ CTN]]="",NOTA[[#This Row],[JUMLAH_H]],NOTA[[#This Row],[HARGA/ CTN]]*IF(NOTA[[#This Row],[C]]="",0,NOTA[[#This Row],[C]]))</f>
        <v/>
      </c>
      <c r="Y739" s="54" t="str">
        <f>IF(NOTA[[#This Row],[JUMLAH]]="","",NOTA[[#This Row],[JUMLAH]]*NOTA[[#This Row],[DISC 1]])</f>
        <v/>
      </c>
      <c r="Z739" s="54" t="str">
        <f>IF(NOTA[[#This Row],[JUMLAH]]="","",(NOTA[[#This Row],[JUMLAH]]-NOTA[[#This Row],[DISC 1-]])*NOTA[[#This Row],[DISC 2]])</f>
        <v/>
      </c>
      <c r="AA739" s="54" t="str">
        <f>IF(NOTA[[#This Row],[JUMLAH]]="","",NOTA[[#This Row],[DISC 1-]]+NOTA[[#This Row],[DISC 2-]])</f>
        <v/>
      </c>
      <c r="AB739" s="54" t="str">
        <f>IF(NOTA[[#This Row],[JUMLAH]]="","",NOTA[[#This Row],[JUMLAH]]-NOTA[[#This Row],[DISC]])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54" t="str">
        <f>IF(OR(NOTA[[#This Row],[QTY]]="",NOTA[[#This Row],[HARGA SATUAN]]="",),"",NOTA[[#This Row],[QTY]]*NOTA[[#This Row],[HARGA SATUAN]])</f>
        <v/>
      </c>
      <c r="AG739" s="51" t="str">
        <f ca="1">IF(NOTA[ID_H]="","",INDEX(NOTA[TANGGAL],MATCH(,INDIRECT(ADDRESS(ROW(NOTA[TANGGAL]),COLUMN(NOTA[TANGGAL]))&amp;":"&amp;ADDRESS(ROW(),COLUMN(NOTA[TANGGAL]))),-1)))</f>
        <v/>
      </c>
      <c r="AH739" s="49" t="str">
        <f ca="1">IF(NOTA[[#This Row],[NAMA BARANG]]="","",INDEX(NOTA[SUPPLIER],MATCH(,INDIRECT(ADDRESS(ROW(NOTA[ID]),COLUMN(NOTA[ID]))&amp;":"&amp;ADDRESS(ROW(),COLUMN(NOTA[ID]))),-1)))</f>
        <v/>
      </c>
      <c r="AI739" s="49" t="str">
        <f ca="1">IF(NOTA[[#This Row],[ID_H]]="","",IF(NOTA[[#This Row],[FAKTUR]]="",INDIRECT(ADDRESS(ROW()-1,COLUMN())),NOTA[[#This Row],[FAKTUR]]))</f>
        <v/>
      </c>
      <c r="AJ739" s="38" t="str">
        <f ca="1">IF(NOTA[[#This Row],[ID]]="","",COUNTIF(NOTA[ID_H],NOTA[[#This Row],[ID_H]]))</f>
        <v/>
      </c>
      <c r="AK739" s="38" t="str">
        <f ca="1">IF(NOTA[[#This Row],[TGL.NOTA]]="",IF(NOTA[[#This Row],[SUPPLIER_H]]="","",AK738),MONTH(NOTA[[#This Row],[TGL.NOTA]]))</f>
        <v/>
      </c>
      <c r="AL739" s="38" t="str">
        <f>LOWER(SUBSTITUTE(SUBSTITUTE(SUBSTITUTE(SUBSTITUTE(SUBSTITUTE(SUBSTITUTE(SUBSTITUTE(SUBSTITUTE(SUBSTITUTE(NOTA[NAMA BARANG]," ",),".",""),"-",""),"(",""),")",""),",",""),"/",""),"""",""),"+",""))</f>
        <v/>
      </c>
      <c r="AM739" s="38" t="str">
        <f>IF(NOTA[C]="",NOTA[[#This Row],[CONCAT1]]&amp;NOTA[[#This Row],[HARGA SATUAN]],NOTA[[#This Row],[CONCAT1]]&amp;NOTA[[#This Row],[HARGA/ CTN_H]]&amp;NOTA[[#This Row],[DISC 1]]&amp;NOTA[[#This Row],[DISC 2]])</f>
        <v/>
      </c>
      <c r="AN739" s="184" t="str">
        <f>IF(NOTA[[#This Row],[CONCAT1]]="","",MATCH(NOTA[[#This Row],[CONCAT1]],[1]!db[NB NOTA_C],0)+1)</f>
        <v/>
      </c>
    </row>
    <row r="740" spans="1:40" ht="20.100000000000001" customHeight="1" x14ac:dyDescent="0.25">
      <c r="A740" s="49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SAM_2701_231-1</v>
      </c>
      <c r="C740" s="50" t="str">
        <f>IF(NOTA[[#This Row],[CEK_EXP]]&lt;D739,"err","")</f>
        <v/>
      </c>
      <c r="D740" s="50">
        <f>IF(NOTA[[#This Row],[TANGGAL]]="",D739,NOTA[[#This Row],[TANGGAL]])</f>
        <v>44953</v>
      </c>
      <c r="E740" s="50">
        <f ca="1">IF(NOTA[[#This Row],[NAMA BARANG]]="","",INDEX(NOTA[ID],MATCH(,INDIRECT(ADDRESS(ROW(NOTA[ID]),COLUMN(NOTA[ID]))&amp;":"&amp;ADDRESS(ROW(),COLUMN(NOTA[ID]))),-1)))</f>
        <v>139</v>
      </c>
      <c r="F740" s="23"/>
      <c r="G740" s="26" t="s">
        <v>57</v>
      </c>
      <c r="H740" s="26" t="s">
        <v>24</v>
      </c>
      <c r="I740" s="31" t="s">
        <v>845</v>
      </c>
      <c r="J740" s="26"/>
      <c r="K740" s="51">
        <v>44940</v>
      </c>
      <c r="L740" s="26"/>
      <c r="M740" s="26" t="s">
        <v>846</v>
      </c>
      <c r="N740" s="39">
        <v>3</v>
      </c>
      <c r="O740" s="26">
        <v>576</v>
      </c>
      <c r="P740" s="26" t="s">
        <v>104</v>
      </c>
      <c r="Q740" s="49">
        <v>9500</v>
      </c>
      <c r="R740" s="52"/>
      <c r="S740" s="39" t="s">
        <v>106</v>
      </c>
      <c r="T740" s="53">
        <v>0.05</v>
      </c>
      <c r="U740" s="53"/>
      <c r="V740" s="54"/>
      <c r="W740" s="37"/>
      <c r="X740" s="54">
        <f>IF(NOTA[[#This Row],[HARGA/ CTN]]="",NOTA[[#This Row],[JUMLAH_H]],NOTA[[#This Row],[HARGA/ CTN]]*IF(NOTA[[#This Row],[C]]="",0,NOTA[[#This Row],[C]]))</f>
        <v>5472000</v>
      </c>
      <c r="Y740" s="54">
        <f>IF(NOTA[[#This Row],[JUMLAH]]="","",NOTA[[#This Row],[JUMLAH]]*NOTA[[#This Row],[DISC 1]])</f>
        <v>273600</v>
      </c>
      <c r="Z740" s="54">
        <f>IF(NOTA[[#This Row],[JUMLAH]]="","",(NOTA[[#This Row],[JUMLAH]]-NOTA[[#This Row],[DISC 1-]])*NOTA[[#This Row],[DISC 2]])</f>
        <v>0</v>
      </c>
      <c r="AA740" s="54">
        <f>IF(NOTA[[#This Row],[JUMLAH]]="","",NOTA[[#This Row],[DISC 1-]]+NOTA[[#This Row],[DISC 2-]])</f>
        <v>273600</v>
      </c>
      <c r="AB740" s="54">
        <f>IF(NOTA[[#This Row],[JUMLAH]]="","",NOTA[[#This Row],[JUMLAH]]-NOTA[[#This Row],[DISC]])</f>
        <v>5198400</v>
      </c>
      <c r="AC7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273600</v>
      </c>
      <c r="AD7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5198400</v>
      </c>
      <c r="AE74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740" s="54">
        <f>IF(OR(NOTA[[#This Row],[QTY]]="",NOTA[[#This Row],[HARGA SATUAN]]="",),"",NOTA[[#This Row],[QTY]]*NOTA[[#This Row],[HARGA SATUAN]])</f>
        <v>5472000</v>
      </c>
      <c r="AG740" s="51">
        <f ca="1">IF(NOTA[ID_H]="","",INDEX(NOTA[TANGGAL],MATCH(,INDIRECT(ADDRESS(ROW(NOTA[TANGGAL]),COLUMN(NOTA[TANGGAL]))&amp;":"&amp;ADDRESS(ROW(),COLUMN(NOTA[TANGGAL]))),-1)))</f>
        <v>44953</v>
      </c>
      <c r="AH740" s="49" t="str">
        <f ca="1">IF(NOTA[[#This Row],[NAMA BARANG]]="","",INDEX(NOTA[SUPPLIER],MATCH(,INDIRECT(ADDRESS(ROW(NOTA[ID]),COLUMN(NOTA[ID]))&amp;":"&amp;ADDRESS(ROW(),COLUMN(NOTA[ID]))),-1)))</f>
        <v>SAMUDERA ANGKASA JAYA</v>
      </c>
      <c r="AI740" s="49" t="str">
        <f ca="1">IF(NOTA[[#This Row],[ID_H]]="","",IF(NOTA[[#This Row],[FAKTUR]]="",INDIRECT(ADDRESS(ROW()-1,COLUMN())),NOTA[[#This Row],[FAKTUR]]))</f>
        <v>ARTO MORO</v>
      </c>
      <c r="AJ740" s="38">
        <f ca="1">IF(NOTA[[#This Row],[ID]]="","",COUNTIF(NOTA[ID_H],NOTA[[#This Row],[ID_H]]))</f>
        <v>1</v>
      </c>
      <c r="AK740" s="38">
        <f>IF(NOTA[[#This Row],[TGL.NOTA]]="",IF(NOTA[[#This Row],[SUPPLIER_H]]="","",AK710),MONTH(NOTA[[#This Row],[TGL.NOTA]]))</f>
        <v>1</v>
      </c>
      <c r="AL740" s="38" t="str">
        <f>LOWER(SUBSTITUTE(SUBSTITUTE(SUBSTITUTE(SUBSTITUTE(SUBSTITUTE(SUBSTITUTE(SUBSTITUTE(SUBSTITUTE(SUBSTITUTE(NOTA[NAMA BARANG]," ",),".",""),"-",""),"(",""),")",""),",",""),"/",""),"""",""),"+",""))</f>
        <v>pcmagc175822*75</v>
      </c>
      <c r="AM740" s="38" t="str">
        <f>IF(NOTA[C]="",NOTA[[#This Row],[CONCAT1]]&amp;NOTA[[#This Row],[HARGA SATUAN]],NOTA[[#This Row],[CONCAT1]]&amp;NOTA[[#This Row],[HARGA/ CTN_H]]&amp;NOTA[[#This Row],[DISC 1]]&amp;NOTA[[#This Row],[DISC 2]])</f>
        <v>pcmagc175822*7518240000.05</v>
      </c>
      <c r="AN740" s="184">
        <f>IF(NOTA[[#This Row],[CONCAT1]]="","",MATCH(NOTA[[#This Row],[CONCAT1]],[1]!db[NB NOTA_C],0)+1)</f>
        <v>1598</v>
      </c>
    </row>
    <row r="741" spans="1:40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Row],[CEK_EXP]]&lt;D740,"err","")</f>
        <v/>
      </c>
      <c r="D741" s="50">
        <f>IF(NOTA[[#This Row],[TANGGAL]]="",D740,NOTA[[#This Row],[TANGGAL]])</f>
        <v>44953</v>
      </c>
      <c r="E741" s="50" t="str">
        <f ca="1">IF(NOTA[[#This Row],[NAMA BARANG]]="","",INDEX(NOTA[ID],MATCH(,INDIRECT(ADDRESS(ROW(NOTA[ID]),COLUMN(NOTA[ID]))&amp;":"&amp;ADDRESS(ROW(),COLUMN(NOTA[ID]))),-1)))</f>
        <v/>
      </c>
      <c r="F741" s="23"/>
      <c r="G741" s="26"/>
      <c r="H741" s="26"/>
      <c r="I741" s="31"/>
      <c r="J741" s="26"/>
      <c r="K741" s="51"/>
      <c r="L741" s="26"/>
      <c r="M741" s="26"/>
      <c r="N741" s="39"/>
      <c r="O741" s="26"/>
      <c r="P741" s="26"/>
      <c r="Q741" s="49"/>
      <c r="R741" s="52"/>
      <c r="S741" s="39"/>
      <c r="T741" s="53"/>
      <c r="U741" s="53"/>
      <c r="V741" s="54"/>
      <c r="W741" s="37"/>
      <c r="X741" s="54" t="str">
        <f>IF(NOTA[[#This Row],[HARGA/ CTN]]="",NOTA[[#This Row],[JUMLAH_H]],NOTA[[#This Row],[HARGA/ CTN]]*IF(NOTA[[#This Row],[C]]="",0,NOTA[[#This Row],[C]]))</f>
        <v/>
      </c>
      <c r="Y741" s="54" t="str">
        <f>IF(NOTA[[#This Row],[JUMLAH]]="","",NOTA[[#This Row],[JUMLAH]]*NOTA[[#This Row],[DISC 1]])</f>
        <v/>
      </c>
      <c r="Z741" s="54" t="str">
        <f>IF(NOTA[[#This Row],[JUMLAH]]="","",(NOTA[[#This Row],[JUMLAH]]-NOTA[[#This Row],[DISC 1-]])*NOTA[[#This Row],[DISC 2]])</f>
        <v/>
      </c>
      <c r="AA741" s="54" t="str">
        <f>IF(NOTA[[#This Row],[JUMLAH]]="","",NOTA[[#This Row],[DISC 1-]]+NOTA[[#This Row],[DISC 2-]])</f>
        <v/>
      </c>
      <c r="AB741" s="54" t="str">
        <f>IF(NOTA[[#This Row],[JUMLAH]]="","",NOTA[[#This Row],[JUMLAH]]-NOTA[[#This Row],[DISC]])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54" t="str">
        <f>IF(OR(NOTA[[#This Row],[QTY]]="",NOTA[[#This Row],[HARGA SATUAN]]="",),"",NOTA[[#This Row],[QTY]]*NOTA[[#This Row],[HARGA SATUAN]])</f>
        <v/>
      </c>
      <c r="AG741" s="51" t="str">
        <f ca="1">IF(NOTA[ID_H]="","",INDEX(NOTA[TANGGAL],MATCH(,INDIRECT(ADDRESS(ROW(NOTA[TANGGAL]),COLUMN(NOTA[TANGGAL]))&amp;":"&amp;ADDRESS(ROW(),COLUMN(NOTA[TANGGAL]))),-1)))</f>
        <v/>
      </c>
      <c r="AH741" s="49" t="str">
        <f ca="1">IF(NOTA[[#This Row],[NAMA BARANG]]="","",INDEX(NOTA[SUPPLIER],MATCH(,INDIRECT(ADDRESS(ROW(NOTA[ID]),COLUMN(NOTA[ID]))&amp;":"&amp;ADDRESS(ROW(),COLUMN(NOTA[ID]))),-1)))</f>
        <v/>
      </c>
      <c r="AI741" s="49" t="str">
        <f ca="1">IF(NOTA[[#This Row],[ID_H]]="","",IF(NOTA[[#This Row],[FAKTUR]]="",INDIRECT(ADDRESS(ROW()-1,COLUMN())),NOTA[[#This Row],[FAKTUR]]))</f>
        <v/>
      </c>
      <c r="AJ741" s="38" t="str">
        <f ca="1">IF(NOTA[[#This Row],[ID]]="","",COUNTIF(NOTA[ID_H],NOTA[[#This Row],[ID_H]]))</f>
        <v/>
      </c>
      <c r="AK741" s="38" t="str">
        <f ca="1">IF(NOTA[[#This Row],[TGL.NOTA]]="",IF(NOTA[[#This Row],[SUPPLIER_H]]="","",AK740),MONTH(NOTA[[#This Row],[TGL.NOTA]]))</f>
        <v/>
      </c>
      <c r="AL741" s="38" t="str">
        <f>LOWER(SUBSTITUTE(SUBSTITUTE(SUBSTITUTE(SUBSTITUTE(SUBSTITUTE(SUBSTITUTE(SUBSTITUTE(SUBSTITUTE(SUBSTITUTE(NOTA[NAMA BARANG]," ",),".",""),"-",""),"(",""),")",""),",",""),"/",""),"""",""),"+",""))</f>
        <v/>
      </c>
      <c r="AM741" s="38" t="str">
        <f>IF(NOTA[C]="",NOTA[[#This Row],[CONCAT1]]&amp;NOTA[[#This Row],[HARGA SATUAN]],NOTA[[#This Row],[CONCAT1]]&amp;NOTA[[#This Row],[HARGA/ CTN_H]]&amp;NOTA[[#This Row],[DISC 1]]&amp;NOTA[[#This Row],[DISC 2]])</f>
        <v/>
      </c>
      <c r="AN741" s="184" t="str">
        <f>IF(NOTA[[#This Row],[CONCAT1]]="","",MATCH(NOTA[[#This Row],[CONCAT1]],[1]!db[NB NOTA_C],0)+1)</f>
        <v/>
      </c>
    </row>
    <row r="742" spans="1:40" ht="20.100000000000001" customHeight="1" x14ac:dyDescent="0.25">
      <c r="A742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SAL_2701_958-2</v>
      </c>
      <c r="C742" s="50" t="str">
        <f>IF(NOTA[[#This Row],[CEK_EXP]]&lt;D741,"err","")</f>
        <v/>
      </c>
      <c r="D742" s="50">
        <f>IF(NOTA[[#This Row],[TANGGAL]]="",D741,NOTA[[#This Row],[TANGGAL]])</f>
        <v>44953</v>
      </c>
      <c r="E742" s="50">
        <f ca="1">IF(NOTA[[#This Row],[NAMA BARANG]]="","",INDEX(NOTA[ID],MATCH(,INDIRECT(ADDRESS(ROW(NOTA[ID]),COLUMN(NOTA[ID]))&amp;":"&amp;ADDRESS(ROW(),COLUMN(NOTA[ID]))),-1)))</f>
        <v>140</v>
      </c>
      <c r="F742" s="23"/>
      <c r="G742" s="26" t="s">
        <v>883</v>
      </c>
      <c r="H742" s="26" t="s">
        <v>87</v>
      </c>
      <c r="I742" s="31" t="s">
        <v>850</v>
      </c>
      <c r="J742" s="26"/>
      <c r="K742" s="51">
        <v>44942</v>
      </c>
      <c r="L742" s="26"/>
      <c r="M742" s="26" t="s">
        <v>851</v>
      </c>
      <c r="N742" s="39">
        <v>30</v>
      </c>
      <c r="O742" s="26">
        <v>1500</v>
      </c>
      <c r="P742" s="26" t="s">
        <v>104</v>
      </c>
      <c r="Q742" s="49">
        <v>28500</v>
      </c>
      <c r="R742" s="52"/>
      <c r="S742" s="39"/>
      <c r="T742" s="53"/>
      <c r="U742" s="53"/>
      <c r="V742" s="54"/>
      <c r="W742" s="37"/>
      <c r="X742" s="54">
        <f>IF(NOTA[[#This Row],[HARGA/ CTN]]="",NOTA[[#This Row],[JUMLAH_H]],NOTA[[#This Row],[HARGA/ CTN]]*IF(NOTA[[#This Row],[C]]="",0,NOTA[[#This Row],[C]]))</f>
        <v>42750000</v>
      </c>
      <c r="Y742" s="54">
        <f>IF(NOTA[[#This Row],[JUMLAH]]="","",NOTA[[#This Row],[JUMLAH]]*NOTA[[#This Row],[DISC 1]])</f>
        <v>0</v>
      </c>
      <c r="Z742" s="54">
        <f>IF(NOTA[[#This Row],[JUMLAH]]="","",(NOTA[[#This Row],[JUMLAH]]-NOTA[[#This Row],[DISC 1-]])*NOTA[[#This Row],[DISC 2]])</f>
        <v>0</v>
      </c>
      <c r="AA742" s="54">
        <f>IF(NOTA[[#This Row],[JUMLAH]]="","",NOTA[[#This Row],[DISC 1-]]+NOTA[[#This Row],[DISC 2-]])</f>
        <v>0</v>
      </c>
      <c r="AB742" s="54">
        <f>IF(NOTA[[#This Row],[JUMLAH]]="","",NOTA[[#This Row],[JUMLAH]]-NOTA[[#This Row],[DISC]])</f>
        <v>42750000</v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49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F742" s="54">
        <f>IF(OR(NOTA[[#This Row],[QTY]]="",NOTA[[#This Row],[HARGA SATUAN]]="",),"",NOTA[[#This Row],[QTY]]*NOTA[[#This Row],[HARGA SATUAN]])</f>
        <v>42750000</v>
      </c>
      <c r="AG742" s="51">
        <f ca="1">IF(NOTA[ID_H]="","",INDEX(NOTA[TANGGAL],MATCH(,INDIRECT(ADDRESS(ROW(NOTA[TANGGAL]),COLUMN(NOTA[TANGGAL]))&amp;":"&amp;ADDRESS(ROW(),COLUMN(NOTA[TANGGAL]))),-1)))</f>
        <v>44953</v>
      </c>
      <c r="AH742" s="49" t="str">
        <f ca="1">IF(NOTA[[#This Row],[NAMA BARANG]]="","",INDEX(NOTA[SUPPLIER],MATCH(,INDIRECT(ADDRESS(ROW(NOTA[ID]),COLUMN(NOTA[ID]))&amp;":"&amp;ADDRESS(ROW(),COLUMN(NOTA[ID]))),-1)))</f>
        <v>SALIKAH</v>
      </c>
      <c r="AI742" s="49" t="str">
        <f ca="1">IF(NOTA[[#This Row],[ID_H]]="","",IF(NOTA[[#This Row],[FAKTUR]]="",INDIRECT(ADDRESS(ROW()-1,COLUMN())),NOTA[[#This Row],[FAKTUR]]))</f>
        <v>UNTANA</v>
      </c>
      <c r="AJ742" s="38">
        <f ca="1">IF(NOTA[[#This Row],[ID]]="","",COUNTIF(NOTA[ID_H],NOTA[[#This Row],[ID_H]]))</f>
        <v>2</v>
      </c>
      <c r="AK742" s="38">
        <f>IF(NOTA[[#This Row],[TGL.NOTA]]="",IF(NOTA[[#This Row],[SUPPLIER_H]]="","",AK770),MONTH(NOTA[[#This Row],[TGL.NOTA]]))</f>
        <v>1</v>
      </c>
      <c r="AL742" s="38" t="str">
        <f>LOWER(SUBSTITUTE(SUBSTITUTE(SUBSTITUTE(SUBSTITUTE(SUBSTITUTE(SUBSTITUTE(SUBSTITUTE(SUBSTITUTE(SUBSTITUTE(NOTA[NAMA BARANG]," ",),".",""),"-",""),"(",""),")",""),",",""),"/",""),"""",""),"+",""))</f>
        <v>sulingyamaha</v>
      </c>
      <c r="AM742" s="38" t="str">
        <f>IF(NOTA[C]="",NOTA[[#This Row],[CONCAT1]]&amp;NOTA[[#This Row],[HARGA SATUAN]],NOTA[[#This Row],[CONCAT1]]&amp;NOTA[[#This Row],[HARGA/ CTN_H]]&amp;NOTA[[#This Row],[DISC 1]]&amp;NOTA[[#This Row],[DISC 2]])</f>
        <v>sulingyamaha1425000</v>
      </c>
      <c r="AN742" s="184">
        <f>IF(NOTA[[#This Row],[CONCAT1]]="","",MATCH(NOTA[[#This Row],[CONCAT1]],[1]!db[NB NOTA_C],0)+1)</f>
        <v>2001</v>
      </c>
    </row>
    <row r="743" spans="1:40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Row],[CEK_EXP]]&lt;D742,"err","")</f>
        <v/>
      </c>
      <c r="D743" s="50">
        <f>IF(NOTA[[#This Row],[TANGGAL]]="",D742,NOTA[[#This Row],[TANGGAL]])</f>
        <v>44953</v>
      </c>
      <c r="E743" s="50">
        <f ca="1">IF(NOTA[[#This Row],[NAMA BARANG]]="","",INDEX(NOTA[ID],MATCH(,INDIRECT(ADDRESS(ROW(NOTA[ID]),COLUMN(NOTA[ID]))&amp;":"&amp;ADDRESS(ROW(),COLUMN(NOTA[ID]))),-1)))</f>
        <v>140</v>
      </c>
      <c r="F743" s="23"/>
      <c r="G743" s="26"/>
      <c r="H743" s="26"/>
      <c r="I743" s="31"/>
      <c r="J743" s="26"/>
      <c r="K743" s="51"/>
      <c r="L743" s="26"/>
      <c r="M743" s="26" t="s">
        <v>852</v>
      </c>
      <c r="N743" s="39">
        <v>10</v>
      </c>
      <c r="O743" s="26">
        <v>100</v>
      </c>
      <c r="P743" s="26" t="s">
        <v>104</v>
      </c>
      <c r="Q743" s="49">
        <v>115000</v>
      </c>
      <c r="R743" s="52"/>
      <c r="S743" s="39"/>
      <c r="T743" s="53"/>
      <c r="U743" s="53"/>
      <c r="V743" s="54"/>
      <c r="W743" s="37"/>
      <c r="X743" s="54">
        <f>IF(NOTA[[#This Row],[HARGA/ CTN]]="",NOTA[[#This Row],[JUMLAH_H]],NOTA[[#This Row],[HARGA/ CTN]]*IF(NOTA[[#This Row],[C]]="",0,NOTA[[#This Row],[C]]))</f>
        <v>11500000</v>
      </c>
      <c r="Y743" s="54">
        <f>IF(NOTA[[#This Row],[JUMLAH]]="","",NOTA[[#This Row],[JUMLAH]]*NOTA[[#This Row],[DISC 1]])</f>
        <v>0</v>
      </c>
      <c r="Z743" s="54">
        <f>IF(NOTA[[#This Row],[JUMLAH]]="","",(NOTA[[#This Row],[JUMLAH]]-NOTA[[#This Row],[DISC 1-]])*NOTA[[#This Row],[DISC 2]])</f>
        <v>0</v>
      </c>
      <c r="AA743" s="54">
        <f>IF(NOTA[[#This Row],[JUMLAH]]="","",NOTA[[#This Row],[DISC 1-]]+NOTA[[#This Row],[DISC 2-]])</f>
        <v>0</v>
      </c>
      <c r="AB743" s="54">
        <f>IF(NOTA[[#This Row],[JUMLAH]]="","",NOTA[[#This Row],[JUMLAH]]-NOTA[[#This Row],[DISC]])</f>
        <v>11500000</v>
      </c>
      <c r="AC7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54250000</v>
      </c>
      <c r="AE743" s="49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43" s="54">
        <f>IF(OR(NOTA[[#This Row],[QTY]]="",NOTA[[#This Row],[HARGA SATUAN]]="",),"",NOTA[[#This Row],[QTY]]*NOTA[[#This Row],[HARGA SATUAN]])</f>
        <v>11500000</v>
      </c>
      <c r="AG743" s="51">
        <f ca="1">IF(NOTA[ID_H]="","",INDEX(NOTA[TANGGAL],MATCH(,INDIRECT(ADDRESS(ROW(NOTA[TANGGAL]),COLUMN(NOTA[TANGGAL]))&amp;":"&amp;ADDRESS(ROW(),COLUMN(NOTA[TANGGAL]))),-1)))</f>
        <v>44953</v>
      </c>
      <c r="AH743" s="49" t="str">
        <f ca="1">IF(NOTA[[#This Row],[NAMA BARANG]]="","",INDEX(NOTA[SUPPLIER],MATCH(,INDIRECT(ADDRESS(ROW(NOTA[ID]),COLUMN(NOTA[ID]))&amp;":"&amp;ADDRESS(ROW(),COLUMN(NOTA[ID]))),-1)))</f>
        <v>SALIKAH</v>
      </c>
      <c r="AI743" s="49" t="str">
        <f ca="1">IF(NOTA[[#This Row],[ID_H]]="","",IF(NOTA[[#This Row],[FAKTUR]]="",INDIRECT(ADDRESS(ROW()-1,COLUMN())),NOTA[[#This Row],[FAKTUR]]))</f>
        <v>UNTANA</v>
      </c>
      <c r="AJ743" s="38" t="str">
        <f ca="1">IF(NOTA[[#This Row],[ID]]="","",COUNTIF(NOTA[ID_H],NOTA[[#This Row],[ID_H]]))</f>
        <v/>
      </c>
      <c r="AK743" s="38">
        <f ca="1">IF(NOTA[[#This Row],[TGL.NOTA]]="",IF(NOTA[[#This Row],[SUPPLIER_H]]="","",AK742),MONTH(NOTA[[#This Row],[TGL.NOTA]]))</f>
        <v>1</v>
      </c>
      <c r="AL743" s="38" t="str">
        <f>LOWER(SUBSTITUTE(SUBSTITUTE(SUBSTITUTE(SUBSTITUTE(SUBSTITUTE(SUBSTITUTE(SUBSTITUTE(SUBSTITUTE(SUBSTITUTE(NOTA[NAMA BARANG]," ",),".",""),"-",""),"(",""),")",""),",",""),"/",""),"""",""),"+",""))</f>
        <v>pianikadhboxpremium</v>
      </c>
      <c r="AM743" s="38" t="str">
        <f>IF(NOTA[C]="",NOTA[[#This Row],[CONCAT1]]&amp;NOTA[[#This Row],[HARGA SATUAN]],NOTA[[#This Row],[CONCAT1]]&amp;NOTA[[#This Row],[HARGA/ CTN_H]]&amp;NOTA[[#This Row],[DISC 1]]&amp;NOTA[[#This Row],[DISC 2]])</f>
        <v>pianikadhboxpremium1150000</v>
      </c>
      <c r="AN743" s="184">
        <f>IF(NOTA[[#This Row],[CONCAT1]]="","",MATCH(NOTA[[#This Row],[CONCAT1]],[1]!db[NB NOTA_C],0)+1)</f>
        <v>1861</v>
      </c>
    </row>
    <row r="744" spans="1:40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Row],[CEK_EXP]]&lt;D743,"err","")</f>
        <v/>
      </c>
      <c r="D744" s="58">
        <f>IF(NOTA[[#This Row],[TANGGAL]]="",D743,NOTA[[#This Row],[TANGGAL]])</f>
        <v>44953</v>
      </c>
      <c r="E744" s="58" t="str">
        <f ca="1">IF(NOTA[[#This Row],[NAMA BARANG]]="","",INDEX(NOTA[ID],MATCH(,INDIRECT(ADDRESS(ROW(NOTA[ID]),COLUMN(NOTA[ID]))&amp;":"&amp;ADDRESS(ROW(),COLUMN(NOTA[ID]))),-1)))</f>
        <v/>
      </c>
      <c r="F744" s="61"/>
      <c r="G744" s="62"/>
      <c r="H744" s="62"/>
      <c r="I744" s="107"/>
      <c r="J744" s="62"/>
      <c r="K744" s="60"/>
      <c r="L744" s="62"/>
      <c r="M744" s="26"/>
      <c r="N744" s="63"/>
      <c r="O744" s="62"/>
      <c r="P744" s="62"/>
      <c r="Q744" s="57"/>
      <c r="R744" s="64"/>
      <c r="S744" s="39"/>
      <c r="T744" s="117"/>
      <c r="U744" s="117"/>
      <c r="V744" s="59"/>
      <c r="W744" s="37"/>
      <c r="X744" s="59" t="str">
        <f>IF(NOTA[[#This Row],[HARGA/ CTN]]="",NOTA[[#This Row],[JUMLAH_H]],NOTA[[#This Row],[HARGA/ CTN]]*IF(NOTA[[#This Row],[C]]="",0,NOTA[[#This Row],[C]]))</f>
        <v/>
      </c>
      <c r="Y744" s="59" t="str">
        <f>IF(NOTA[[#This Row],[JUMLAH]]="","",NOTA[[#This Row],[JUMLAH]]*NOTA[[#This Row],[DISC 1]])</f>
        <v/>
      </c>
      <c r="Z744" s="59" t="str">
        <f>IF(NOTA[[#This Row],[JUMLAH]]="","",(NOTA[[#This Row],[JUMLAH]]-NOTA[[#This Row],[DISC 1-]])*NOTA[[#This Row],[DISC 2]])</f>
        <v/>
      </c>
      <c r="AA744" s="59" t="str">
        <f>IF(NOTA[[#This Row],[JUMLAH]]="","",NOTA[[#This Row],[DISC 1-]]+NOTA[[#This Row],[DISC 2-]])</f>
        <v/>
      </c>
      <c r="AB744" s="59" t="str">
        <f>IF(NOTA[[#This Row],[JUMLAH]]="","",NOTA[[#This Row],[JUMLAH]]-NOTA[[#This Row],[DISC]])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59" t="str">
        <f>IF(OR(NOTA[[#This Row],[QTY]]="",NOTA[[#This Row],[HARGA SATUAN]]="",),"",NOTA[[#This Row],[QTY]]*NOTA[[#This Row],[HARGA SATUAN]])</f>
        <v/>
      </c>
      <c r="AG744" s="60" t="str">
        <f ca="1">IF(NOTA[ID_H]="","",INDEX(NOTA[TANGGAL],MATCH(,INDIRECT(ADDRESS(ROW(NOTA[TANGGAL]),COLUMN(NOTA[TANGGAL]))&amp;":"&amp;ADDRESS(ROW(),COLUMN(NOTA[TANGGAL]))),-1)))</f>
        <v/>
      </c>
      <c r="AH744" s="57" t="str">
        <f ca="1">IF(NOTA[[#This Row],[NAMA BARANG]]="","",INDEX(NOTA[SUPPLIER],MATCH(,INDIRECT(ADDRESS(ROW(NOTA[ID]),COLUMN(NOTA[ID]))&amp;":"&amp;ADDRESS(ROW(),COLUMN(NOTA[ID]))),-1)))</f>
        <v/>
      </c>
      <c r="AI744" s="57" t="str">
        <f ca="1">IF(NOTA[[#This Row],[ID_H]]="","",IF(NOTA[[#This Row],[FAKTUR]]="",INDIRECT(ADDRESS(ROW()-1,COLUMN())),NOTA[[#This Row],[FAKTUR]]))</f>
        <v/>
      </c>
      <c r="AJ744" s="38" t="str">
        <f ca="1">IF(NOTA[[#This Row],[ID]]="","",COUNTIF(NOTA[ID_H],NOTA[[#This Row],[ID_H]]))</f>
        <v/>
      </c>
      <c r="AK744" s="38" t="str">
        <f ca="1">IF(NOTA[[#This Row],[TGL.NOTA]]="",IF(NOTA[[#This Row],[SUPPLIER_H]]="","",AK743),MONTH(NOTA[[#This Row],[TGL.NOTA]]))</f>
        <v/>
      </c>
      <c r="AL744" s="38" t="str">
        <f>LOWER(SUBSTITUTE(SUBSTITUTE(SUBSTITUTE(SUBSTITUTE(SUBSTITUTE(SUBSTITUTE(SUBSTITUTE(SUBSTITUTE(SUBSTITUTE(NOTA[NAMA BARANG]," ",),".",""),"-",""),"(",""),")",""),",",""),"/",""),"""",""),"+",""))</f>
        <v/>
      </c>
      <c r="AM744" s="38" t="str">
        <f>IF(NOTA[C]="",NOTA[[#This Row],[CONCAT1]]&amp;NOTA[[#This Row],[HARGA SATUAN]],NOTA[[#This Row],[CONCAT1]]&amp;NOTA[[#This Row],[HARGA/ CTN_H]]&amp;NOTA[[#This Row],[DISC 1]]&amp;NOTA[[#This Row],[DISC 2]])</f>
        <v/>
      </c>
      <c r="AN744" s="184" t="str">
        <f>IF(NOTA[[#This Row],[CONCAT1]]="","",MATCH(NOTA[[#This Row],[CONCAT1]],[1]!db[NB NOTA_C],0)+1)</f>
        <v/>
      </c>
    </row>
    <row r="745" spans="1:40" ht="20.100000000000001" customHeight="1" x14ac:dyDescent="0.25">
      <c r="A745" s="5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45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GUN_2701_157-4</v>
      </c>
      <c r="C745" s="58" t="str">
        <f>IF(NOTA[[#This Row],[CEK_EXP]]&lt;D744,"err","")</f>
        <v/>
      </c>
      <c r="D745" s="58">
        <f>IF(NOTA[[#This Row],[TANGGAL]]="",D744,NOTA[[#This Row],[TANGGAL]])</f>
        <v>44953</v>
      </c>
      <c r="E745" s="58">
        <f ca="1">IF(NOTA[[#This Row],[NAMA BARANG]]="","",INDEX(NOTA[ID],MATCH(,INDIRECT(ADDRESS(ROW(NOTA[ID]),COLUMN(NOTA[ID]))&amp;":"&amp;ADDRESS(ROW(),COLUMN(NOTA[ID]))),-1)))</f>
        <v>141</v>
      </c>
      <c r="F745" s="61"/>
      <c r="G745" s="26" t="s">
        <v>595</v>
      </c>
      <c r="H745" s="26" t="s">
        <v>87</v>
      </c>
      <c r="I745" s="31" t="s">
        <v>853</v>
      </c>
      <c r="J745" s="62"/>
      <c r="K745" s="60">
        <v>44950</v>
      </c>
      <c r="L745" s="62"/>
      <c r="M745" s="26" t="s">
        <v>855</v>
      </c>
      <c r="N745" s="63">
        <v>1</v>
      </c>
      <c r="O745" s="62">
        <v>12</v>
      </c>
      <c r="P745" s="26" t="s">
        <v>90</v>
      </c>
      <c r="Q745" s="57">
        <v>216000</v>
      </c>
      <c r="R745" s="64"/>
      <c r="S745" s="39"/>
      <c r="T745" s="117">
        <v>0.05</v>
      </c>
      <c r="U745" s="117">
        <v>0.1</v>
      </c>
      <c r="V745" s="59"/>
      <c r="W745" s="37"/>
      <c r="X745" s="59">
        <f>IF(NOTA[[#This Row],[HARGA/ CTN]]="",NOTA[[#This Row],[JUMLAH_H]],NOTA[[#This Row],[HARGA/ CTN]]*IF(NOTA[[#This Row],[C]]="",0,NOTA[[#This Row],[C]]))</f>
        <v>2592000</v>
      </c>
      <c r="Y745" s="59">
        <f>IF(NOTA[[#This Row],[JUMLAH]]="","",NOTA[[#This Row],[JUMLAH]]*NOTA[[#This Row],[DISC 1]])</f>
        <v>129600</v>
      </c>
      <c r="Z745" s="59">
        <f>IF(NOTA[[#This Row],[JUMLAH]]="","",(NOTA[[#This Row],[JUMLAH]]-NOTA[[#This Row],[DISC 1-]])*NOTA[[#This Row],[DISC 2]])</f>
        <v>246240</v>
      </c>
      <c r="AA745" s="59">
        <f>IF(NOTA[[#This Row],[JUMLAH]]="","",NOTA[[#This Row],[DISC 1-]]+NOTA[[#This Row],[DISC 2-]])</f>
        <v>375840</v>
      </c>
      <c r="AB745" s="59">
        <f>IF(NOTA[[#This Row],[JUMLAH]]="","",NOTA[[#This Row],[JUMLAH]]-NOTA[[#This Row],[DISC]])</f>
        <v>2216160</v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5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45" s="59">
        <f>IF(OR(NOTA[[#This Row],[QTY]]="",NOTA[[#This Row],[HARGA SATUAN]]="",),"",NOTA[[#This Row],[QTY]]*NOTA[[#This Row],[HARGA SATUAN]])</f>
        <v>2592000</v>
      </c>
      <c r="AG745" s="60">
        <f ca="1">IF(NOTA[ID_H]="","",INDEX(NOTA[TANGGAL],MATCH(,INDIRECT(ADDRESS(ROW(NOTA[TANGGAL]),COLUMN(NOTA[TANGGAL]))&amp;":"&amp;ADDRESS(ROW(),COLUMN(NOTA[TANGGAL]))),-1)))</f>
        <v>44953</v>
      </c>
      <c r="AH745" s="57" t="str">
        <f ca="1">IF(NOTA[[#This Row],[NAMA BARANG]]="","",INDEX(NOTA[SUPPLIER],MATCH(,INDIRECT(ADDRESS(ROW(NOTA[ID]),COLUMN(NOTA[ID]))&amp;":"&amp;ADDRESS(ROW(),COLUMN(NOTA[ID]))),-1)))</f>
        <v>GUNINDO</v>
      </c>
      <c r="AI745" s="57" t="str">
        <f ca="1">IF(NOTA[[#This Row],[ID_H]]="","",IF(NOTA[[#This Row],[FAKTUR]]="",INDIRECT(ADDRESS(ROW()-1,COLUMN())),NOTA[[#This Row],[FAKTUR]]))</f>
        <v>UNTANA</v>
      </c>
      <c r="AJ745" s="38">
        <f ca="1">IF(NOTA[[#This Row],[ID]]="","",COUNTIF(NOTA[ID_H],NOTA[[#This Row],[ID_H]]))</f>
        <v>4</v>
      </c>
      <c r="AK745" s="38">
        <f>IF(NOTA[[#This Row],[TGL.NOTA]]="",IF(NOTA[[#This Row],[SUPPLIER_H]]="","",AK744),MONTH(NOTA[[#This Row],[TGL.NOTA]]))</f>
        <v>1</v>
      </c>
      <c r="AL745" s="38" t="str">
        <f>LOWER(SUBSTITUTE(SUBSTITUTE(SUBSTITUTE(SUBSTITUTE(SUBSTITUTE(SUBSTITUTE(SUBSTITUTE(SUBSTITUTE(SUBSTITUTE(NOTA[NAMA BARANG]," ",),".",""),"-",""),"(",""),")",""),",",""),"/",""),"""",""),"+",""))</f>
        <v>sulinggds23solid</v>
      </c>
      <c r="AM745" s="38" t="str">
        <f>IF(NOTA[C]="",NOTA[[#This Row],[CONCAT1]]&amp;NOTA[[#This Row],[HARGA SATUAN]],NOTA[[#This Row],[CONCAT1]]&amp;NOTA[[#This Row],[HARGA/ CTN_H]]&amp;NOTA[[#This Row],[DISC 1]]&amp;NOTA[[#This Row],[DISC 2]])</f>
        <v>sulinggds23solid25920000.050.1</v>
      </c>
      <c r="AN745" s="184">
        <f>IF(NOTA[[#This Row],[CONCAT1]]="","",MATCH(NOTA[[#This Row],[CONCAT1]],[1]!db[NB NOTA_C],0)+1)</f>
        <v>1999</v>
      </c>
    </row>
    <row r="746" spans="1:40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Row],[CEK_EXP]]&lt;D745,"err","")</f>
        <v/>
      </c>
      <c r="D746" s="58">
        <f>IF(NOTA[[#This Row],[TANGGAL]]="",D745,NOTA[[#This Row],[TANGGAL]])</f>
        <v>44953</v>
      </c>
      <c r="E746" s="58">
        <f ca="1">IF(NOTA[[#This Row],[NAMA BARANG]]="","",INDEX(NOTA[ID],MATCH(,INDIRECT(ADDRESS(ROW(NOTA[ID]),COLUMN(NOTA[ID]))&amp;":"&amp;ADDRESS(ROW(),COLUMN(NOTA[ID]))),-1)))</f>
        <v>141</v>
      </c>
      <c r="F746" s="61"/>
      <c r="G746" s="62"/>
      <c r="H746" s="62"/>
      <c r="I746" s="107"/>
      <c r="J746" s="62"/>
      <c r="K746" s="60"/>
      <c r="L746" s="62"/>
      <c r="M746" s="26" t="s">
        <v>854</v>
      </c>
      <c r="N746" s="63">
        <v>1</v>
      </c>
      <c r="O746" s="62">
        <v>30</v>
      </c>
      <c r="P746" s="26" t="s">
        <v>90</v>
      </c>
      <c r="Q746" s="57">
        <v>70000</v>
      </c>
      <c r="R746" s="64"/>
      <c r="S746" s="39"/>
      <c r="T746" s="117">
        <v>0.05</v>
      </c>
      <c r="U746" s="117">
        <v>0.1</v>
      </c>
      <c r="V746" s="59"/>
      <c r="W746" s="37"/>
      <c r="X746" s="59">
        <f>IF(NOTA[[#This Row],[HARGA/ CTN]]="",NOTA[[#This Row],[JUMLAH_H]],NOTA[[#This Row],[HARGA/ CTN]]*IF(NOTA[[#This Row],[C]]="",0,NOTA[[#This Row],[C]]))</f>
        <v>2100000</v>
      </c>
      <c r="Y746" s="59">
        <f>IF(NOTA[[#This Row],[JUMLAH]]="","",NOTA[[#This Row],[JUMLAH]]*NOTA[[#This Row],[DISC 1]])</f>
        <v>105000</v>
      </c>
      <c r="Z746" s="59">
        <f>IF(NOTA[[#This Row],[JUMLAH]]="","",(NOTA[[#This Row],[JUMLAH]]-NOTA[[#This Row],[DISC 1-]])*NOTA[[#This Row],[DISC 2]])</f>
        <v>199500</v>
      </c>
      <c r="AA746" s="59">
        <f>IF(NOTA[[#This Row],[JUMLAH]]="","",NOTA[[#This Row],[DISC 1-]]+NOTA[[#This Row],[DISC 2-]])</f>
        <v>304500</v>
      </c>
      <c r="AB746" s="59">
        <f>IF(NOTA[[#This Row],[JUMLAH]]="","",NOTA[[#This Row],[JUMLAH]]-NOTA[[#This Row],[DISC]])</f>
        <v>1795500</v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5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46" s="59">
        <f>IF(OR(NOTA[[#This Row],[QTY]]="",NOTA[[#This Row],[HARGA SATUAN]]="",),"",NOTA[[#This Row],[QTY]]*NOTA[[#This Row],[HARGA SATUAN]])</f>
        <v>2100000</v>
      </c>
      <c r="AG746" s="60">
        <f ca="1">IF(NOTA[ID_H]="","",INDEX(NOTA[TANGGAL],MATCH(,INDIRECT(ADDRESS(ROW(NOTA[TANGGAL]),COLUMN(NOTA[TANGGAL]))&amp;":"&amp;ADDRESS(ROW(),COLUMN(NOTA[TANGGAL]))),-1)))</f>
        <v>44953</v>
      </c>
      <c r="AH746" s="57" t="str">
        <f ca="1">IF(NOTA[[#This Row],[NAMA BARANG]]="","",INDEX(NOTA[SUPPLIER],MATCH(,INDIRECT(ADDRESS(ROW(NOTA[ID]),COLUMN(NOTA[ID]))&amp;":"&amp;ADDRESS(ROW(),COLUMN(NOTA[ID]))),-1)))</f>
        <v>GUNINDO</v>
      </c>
      <c r="AI746" s="57" t="str">
        <f ca="1">IF(NOTA[[#This Row],[ID_H]]="","",IF(NOTA[[#This Row],[FAKTUR]]="",INDIRECT(ADDRESS(ROW()-1,COLUMN())),NOTA[[#This Row],[FAKTUR]]))</f>
        <v>UNTANA</v>
      </c>
      <c r="AJ746" s="38" t="str">
        <f ca="1">IF(NOTA[[#This Row],[ID]]="","",COUNTIF(NOTA[ID_H],NOTA[[#This Row],[ID_H]]))</f>
        <v/>
      </c>
      <c r="AK746" s="38">
        <f ca="1">IF(NOTA[[#This Row],[TGL.NOTA]]="",IF(NOTA[[#This Row],[SUPPLIER_H]]="","",AK745),MONTH(NOTA[[#This Row],[TGL.NOTA]]))</f>
        <v>1</v>
      </c>
      <c r="AL746" s="38" t="str">
        <f>LOWER(SUBSTITUTE(SUBSTITUTE(SUBSTITUTE(SUBSTITUTE(SUBSTITUTE(SUBSTITUTE(SUBSTITUTE(SUBSTITUTE(SUBSTITUTE(NOTA[NAMA BARANG]," ",),".",""),"-",""),"(",""),")",""),",",""),"/",""),"""",""),"+",""))</f>
        <v>hb65gunindo</v>
      </c>
      <c r="AM746" s="38" t="str">
        <f>IF(NOTA[C]="",NOTA[[#This Row],[CONCAT1]]&amp;NOTA[[#This Row],[HARGA SATUAN]],NOTA[[#This Row],[CONCAT1]]&amp;NOTA[[#This Row],[HARGA/ CTN_H]]&amp;NOTA[[#This Row],[DISC 1]]&amp;NOTA[[#This Row],[DISC 2]])</f>
        <v>hb65gunindo21000000.050.1</v>
      </c>
      <c r="AN746" s="184">
        <f>IF(NOTA[[#This Row],[CONCAT1]]="","",MATCH(NOTA[[#This Row],[CONCAT1]],[1]!db[NB NOTA_C],0)+1)</f>
        <v>962</v>
      </c>
    </row>
    <row r="747" spans="1:40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Row],[CEK_EXP]]&lt;D746,"err","")</f>
        <v/>
      </c>
      <c r="D747" s="58">
        <f>IF(NOTA[[#This Row],[TANGGAL]]="",D746,NOTA[[#This Row],[TANGGAL]])</f>
        <v>44953</v>
      </c>
      <c r="E747" s="58">
        <f ca="1">IF(NOTA[[#This Row],[NAMA BARANG]]="","",INDEX(NOTA[ID],MATCH(,INDIRECT(ADDRESS(ROW(NOTA[ID]),COLUMN(NOTA[ID]))&amp;":"&amp;ADDRESS(ROW(),COLUMN(NOTA[ID]))),-1)))</f>
        <v>141</v>
      </c>
      <c r="F747" s="61"/>
      <c r="G747" s="26"/>
      <c r="H747" s="26"/>
      <c r="I747" s="31"/>
      <c r="J747" s="62"/>
      <c r="K747" s="60"/>
      <c r="L747" s="62"/>
      <c r="M747" s="26" t="s">
        <v>856</v>
      </c>
      <c r="N747" s="63">
        <v>2</v>
      </c>
      <c r="O747" s="62">
        <v>120</v>
      </c>
      <c r="P747" s="26" t="s">
        <v>90</v>
      </c>
      <c r="Q747" s="57">
        <v>47500</v>
      </c>
      <c r="R747" s="64"/>
      <c r="S747" s="39"/>
      <c r="T747" s="117">
        <v>0.05</v>
      </c>
      <c r="U747" s="117">
        <v>0.1</v>
      </c>
      <c r="V747" s="59"/>
      <c r="W747" s="37"/>
      <c r="X747" s="59">
        <f>IF(NOTA[[#This Row],[HARGA/ CTN]]="",NOTA[[#This Row],[JUMLAH_H]],NOTA[[#This Row],[HARGA/ CTN]]*IF(NOTA[[#This Row],[C]]="",0,NOTA[[#This Row],[C]]))</f>
        <v>5700000</v>
      </c>
      <c r="Y747" s="59">
        <f>IF(NOTA[[#This Row],[JUMLAH]]="","",NOTA[[#This Row],[JUMLAH]]*NOTA[[#This Row],[DISC 1]])</f>
        <v>285000</v>
      </c>
      <c r="Z747" s="59">
        <f>IF(NOTA[[#This Row],[JUMLAH]]="","",(NOTA[[#This Row],[JUMLAH]]-NOTA[[#This Row],[DISC 1-]])*NOTA[[#This Row],[DISC 2]])</f>
        <v>541500</v>
      </c>
      <c r="AA747" s="59">
        <f>IF(NOTA[[#This Row],[JUMLAH]]="","",NOTA[[#This Row],[DISC 1-]]+NOTA[[#This Row],[DISC 2-]])</f>
        <v>826500</v>
      </c>
      <c r="AB747" s="59">
        <f>IF(NOTA[[#This Row],[JUMLAH]]="","",NOTA[[#This Row],[JUMLAH]]-NOTA[[#This Row],[DISC]])</f>
        <v>4873500</v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5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747" s="59">
        <f>IF(OR(NOTA[[#This Row],[QTY]]="",NOTA[[#This Row],[HARGA SATUAN]]="",),"",NOTA[[#This Row],[QTY]]*NOTA[[#This Row],[HARGA SATUAN]])</f>
        <v>5700000</v>
      </c>
      <c r="AG747" s="60">
        <f ca="1">IF(NOTA[ID_H]="","",INDEX(NOTA[TANGGAL],MATCH(,INDIRECT(ADDRESS(ROW(NOTA[TANGGAL]),COLUMN(NOTA[TANGGAL]))&amp;":"&amp;ADDRESS(ROW(),COLUMN(NOTA[TANGGAL]))),-1)))</f>
        <v>44953</v>
      </c>
      <c r="AH747" s="57" t="str">
        <f ca="1">IF(NOTA[[#This Row],[NAMA BARANG]]="","",INDEX(NOTA[SUPPLIER],MATCH(,INDIRECT(ADDRESS(ROW(NOTA[ID]),COLUMN(NOTA[ID]))&amp;":"&amp;ADDRESS(ROW(),COLUMN(NOTA[ID]))),-1)))</f>
        <v>GUNINDO</v>
      </c>
      <c r="AI747" s="57" t="str">
        <f ca="1">IF(NOTA[[#This Row],[ID_H]]="","",IF(NOTA[[#This Row],[FAKTUR]]="",INDIRECT(ADDRESS(ROW()-1,COLUMN())),NOTA[[#This Row],[FAKTUR]]))</f>
        <v>UNTANA</v>
      </c>
      <c r="AJ747" s="38" t="str">
        <f ca="1">IF(NOTA[[#This Row],[ID]]="","",COUNTIF(NOTA[ID_H],NOTA[[#This Row],[ID_H]]))</f>
        <v/>
      </c>
      <c r="AK747" s="38">
        <f ca="1">IF(NOTA[[#This Row],[TGL.NOTA]]="",IF(NOTA[[#This Row],[SUPPLIER_H]]="","",AK746),MONTH(NOTA[[#This Row],[TGL.NOTA]]))</f>
        <v>1</v>
      </c>
      <c r="AL747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M747" s="38" t="str">
        <f>IF(NOTA[C]="",NOTA[[#This Row],[CONCAT1]]&amp;NOTA[[#This Row],[HARGA SATUAN]],NOTA[[#This Row],[CONCAT1]]&amp;NOTA[[#This Row],[HARGA/ CTN_H]]&amp;NOTA[[#This Row],[DISC 1]]&amp;NOTA[[#This Row],[DISC 2]])</f>
        <v>cuttera18trans28500000.050.1</v>
      </c>
      <c r="AN747" s="184">
        <f>IF(NOTA[[#This Row],[CONCAT1]]="","",MATCH(NOTA[[#This Row],[CONCAT1]],[1]!db[NB NOTA_C],0)+1)</f>
        <v>558</v>
      </c>
    </row>
    <row r="748" spans="1:40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Row],[CEK_EXP]]&lt;D747,"err","")</f>
        <v/>
      </c>
      <c r="D748" s="58">
        <f>IF(NOTA[[#This Row],[TANGGAL]]="",D747,NOTA[[#This Row],[TANGGAL]])</f>
        <v>44953</v>
      </c>
      <c r="E748" s="58">
        <f ca="1">IF(NOTA[[#This Row],[NAMA BARANG]]="","",INDEX(NOTA[ID],MATCH(,INDIRECT(ADDRESS(ROW(NOTA[ID]),COLUMN(NOTA[ID]))&amp;":"&amp;ADDRESS(ROW(),COLUMN(NOTA[ID]))),-1)))</f>
        <v>141</v>
      </c>
      <c r="F748" s="61"/>
      <c r="G748" s="62"/>
      <c r="H748" s="62"/>
      <c r="I748" s="107"/>
      <c r="J748" s="62"/>
      <c r="K748" s="60"/>
      <c r="L748" s="62"/>
      <c r="M748" s="26" t="s">
        <v>857</v>
      </c>
      <c r="N748" s="63">
        <v>1</v>
      </c>
      <c r="O748" s="62">
        <v>20</v>
      </c>
      <c r="P748" s="26" t="s">
        <v>90</v>
      </c>
      <c r="Q748" s="57">
        <v>138600</v>
      </c>
      <c r="R748" s="64"/>
      <c r="S748" s="39"/>
      <c r="T748" s="117">
        <v>0.05</v>
      </c>
      <c r="U748" s="117">
        <v>0.1</v>
      </c>
      <c r="V748" s="59"/>
      <c r="W748" s="37"/>
      <c r="X748" s="59">
        <f>IF(NOTA[[#This Row],[HARGA/ CTN]]="",NOTA[[#This Row],[JUMLAH_H]],NOTA[[#This Row],[HARGA/ CTN]]*IF(NOTA[[#This Row],[C]]="",0,NOTA[[#This Row],[C]]))</f>
        <v>2772000</v>
      </c>
      <c r="Y748" s="59">
        <f>IF(NOTA[[#This Row],[JUMLAH]]="","",NOTA[[#This Row],[JUMLAH]]*NOTA[[#This Row],[DISC 1]])</f>
        <v>138600</v>
      </c>
      <c r="Z748" s="59">
        <f>IF(NOTA[[#This Row],[JUMLAH]]="","",(NOTA[[#This Row],[JUMLAH]]-NOTA[[#This Row],[DISC 1-]])*NOTA[[#This Row],[DISC 2]])</f>
        <v>263340</v>
      </c>
      <c r="AA748" s="59">
        <f>IF(NOTA[[#This Row],[JUMLAH]]="","",NOTA[[#This Row],[DISC 1-]]+NOTA[[#This Row],[DISC 2-]])</f>
        <v>401940</v>
      </c>
      <c r="AB748" s="59">
        <f>IF(NOTA[[#This Row],[JUMLAH]]="","",NOTA[[#This Row],[JUMLAH]]-NOTA[[#This Row],[DISC]])</f>
        <v>2370060</v>
      </c>
      <c r="AC748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1908780</v>
      </c>
      <c r="AD748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11255220</v>
      </c>
      <c r="AE748" s="5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748" s="59">
        <f>IF(OR(NOTA[[#This Row],[QTY]]="",NOTA[[#This Row],[HARGA SATUAN]]="",),"",NOTA[[#This Row],[QTY]]*NOTA[[#This Row],[HARGA SATUAN]])</f>
        <v>2772000</v>
      </c>
      <c r="AG748" s="60">
        <f ca="1">IF(NOTA[ID_H]="","",INDEX(NOTA[TANGGAL],MATCH(,INDIRECT(ADDRESS(ROW(NOTA[TANGGAL]),COLUMN(NOTA[TANGGAL]))&amp;":"&amp;ADDRESS(ROW(),COLUMN(NOTA[TANGGAL]))),-1)))</f>
        <v>44953</v>
      </c>
      <c r="AH748" s="57" t="str">
        <f ca="1">IF(NOTA[[#This Row],[NAMA BARANG]]="","",INDEX(NOTA[SUPPLIER],MATCH(,INDIRECT(ADDRESS(ROW(NOTA[ID]),COLUMN(NOTA[ID]))&amp;":"&amp;ADDRESS(ROW(),COLUMN(NOTA[ID]))),-1)))</f>
        <v>GUNINDO</v>
      </c>
      <c r="AI748" s="57" t="str">
        <f ca="1">IF(NOTA[[#This Row],[ID_H]]="","",IF(NOTA[[#This Row],[FAKTUR]]="",INDIRECT(ADDRESS(ROW()-1,COLUMN())),NOTA[[#This Row],[FAKTUR]]))</f>
        <v>UNTANA</v>
      </c>
      <c r="AJ748" s="38" t="str">
        <f ca="1">IF(NOTA[[#This Row],[ID]]="","",COUNTIF(NOTA[ID_H],NOTA[[#This Row],[ID_H]]))</f>
        <v/>
      </c>
      <c r="AK748" s="38">
        <f ca="1">IF(NOTA[[#This Row],[TGL.NOTA]]="",IF(NOTA[[#This Row],[SUPPLIER_H]]="","",AK747),MONTH(NOTA[[#This Row],[TGL.NOTA]]))</f>
        <v>1</v>
      </c>
      <c r="AL748" s="38" t="str">
        <f>LOWER(SUBSTITUTE(SUBSTITUTE(SUBSTITUTE(SUBSTITUTE(SUBSTITUTE(SUBSTITUTE(SUBSTITUTE(SUBSTITUTE(SUBSTITUTE(NOTA[NAMA BARANG]," ",),".",""),"-",""),"(",""),")",""),",",""),"/",""),"""",""),"+",""))</f>
        <v>hb75gunindo</v>
      </c>
      <c r="AM748" s="38" t="str">
        <f>IF(NOTA[C]="",NOTA[[#This Row],[CONCAT1]]&amp;NOTA[[#This Row],[HARGA SATUAN]],NOTA[[#This Row],[CONCAT1]]&amp;NOTA[[#This Row],[HARGA/ CTN_H]]&amp;NOTA[[#This Row],[DISC 1]]&amp;NOTA[[#This Row],[DISC 2]])</f>
        <v>hb75gunindo27720000.050.1</v>
      </c>
      <c r="AN748" s="184">
        <f>IF(NOTA[[#This Row],[CONCAT1]]="","",MATCH(NOTA[[#This Row],[CONCAT1]],[1]!db[NB NOTA_C],0)+1)</f>
        <v>964</v>
      </c>
    </row>
    <row r="749" spans="1:40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Row],[CEK_EXP]]&lt;D748,"err","")</f>
        <v/>
      </c>
      <c r="D749" s="58">
        <f>IF(NOTA[[#This Row],[TANGGAL]]="",D748,NOTA[[#This Row],[TANGGAL]])</f>
        <v>44953</v>
      </c>
      <c r="E749" s="58" t="str">
        <f ca="1">IF(NOTA[[#This Row],[NAMA BARANG]]="","",INDEX(NOTA[ID],MATCH(,INDIRECT(ADDRESS(ROW(NOTA[ID]),COLUMN(NOTA[ID]))&amp;":"&amp;ADDRESS(ROW(),COLUMN(NOTA[ID]))),-1)))</f>
        <v/>
      </c>
      <c r="F749" s="61"/>
      <c r="G749" s="62"/>
      <c r="H749" s="62"/>
      <c r="I749" s="107"/>
      <c r="J749" s="62"/>
      <c r="K749" s="60"/>
      <c r="L749" s="62"/>
      <c r="M749" s="26"/>
      <c r="N749" s="63"/>
      <c r="O749" s="62"/>
      <c r="P749" s="26"/>
      <c r="Q749" s="57"/>
      <c r="R749" s="64"/>
      <c r="S749" s="39"/>
      <c r="T749" s="117"/>
      <c r="U749" s="117"/>
      <c r="V749" s="59"/>
      <c r="W749" s="37"/>
      <c r="X749" s="59" t="str">
        <f>IF(NOTA[[#This Row],[HARGA/ CTN]]="",NOTA[[#This Row],[JUMLAH_H]],NOTA[[#This Row],[HARGA/ CTN]]*IF(NOTA[[#This Row],[C]]="",0,NOTA[[#This Row],[C]]))</f>
        <v/>
      </c>
      <c r="Y749" s="59" t="str">
        <f>IF(NOTA[[#This Row],[JUMLAH]]="","",NOTA[[#This Row],[JUMLAH]]*NOTA[[#This Row],[DISC 1]])</f>
        <v/>
      </c>
      <c r="Z749" s="59" t="str">
        <f>IF(NOTA[[#This Row],[JUMLAH]]="","",(NOTA[[#This Row],[JUMLAH]]-NOTA[[#This Row],[DISC 1-]])*NOTA[[#This Row],[DISC 2]])</f>
        <v/>
      </c>
      <c r="AA749" s="59" t="str">
        <f>IF(NOTA[[#This Row],[JUMLAH]]="","",NOTA[[#This Row],[DISC 1-]]+NOTA[[#This Row],[DISC 2-]])</f>
        <v/>
      </c>
      <c r="AB749" s="59" t="str">
        <f>IF(NOTA[[#This Row],[JUMLAH]]="","",NOTA[[#This Row],[JUMLAH]]-NOTA[[#This Row],[DISC]])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59" t="str">
        <f>IF(OR(NOTA[[#This Row],[QTY]]="",NOTA[[#This Row],[HARGA SATUAN]]="",),"",NOTA[[#This Row],[QTY]]*NOTA[[#This Row],[HARGA SATUAN]])</f>
        <v/>
      </c>
      <c r="AG749" s="60" t="str">
        <f ca="1">IF(NOTA[ID_H]="","",INDEX(NOTA[TANGGAL],MATCH(,INDIRECT(ADDRESS(ROW(NOTA[TANGGAL]),COLUMN(NOTA[TANGGAL]))&amp;":"&amp;ADDRESS(ROW(),COLUMN(NOTA[TANGGAL]))),-1)))</f>
        <v/>
      </c>
      <c r="AH749" s="57" t="str">
        <f ca="1">IF(NOTA[[#This Row],[NAMA BARANG]]="","",INDEX(NOTA[SUPPLIER],MATCH(,INDIRECT(ADDRESS(ROW(NOTA[ID]),COLUMN(NOTA[ID]))&amp;":"&amp;ADDRESS(ROW(),COLUMN(NOTA[ID]))),-1)))</f>
        <v/>
      </c>
      <c r="AI749" s="57" t="str">
        <f ca="1">IF(NOTA[[#This Row],[ID_H]]="","",IF(NOTA[[#This Row],[FAKTUR]]="",INDIRECT(ADDRESS(ROW()-1,COLUMN())),NOTA[[#This Row],[FAKTUR]]))</f>
        <v/>
      </c>
      <c r="AJ749" s="38" t="str">
        <f ca="1">IF(NOTA[[#This Row],[ID]]="","",COUNTIF(NOTA[ID_H],NOTA[[#This Row],[ID_H]]))</f>
        <v/>
      </c>
      <c r="AK749" s="38" t="str">
        <f ca="1">IF(NOTA[[#This Row],[TGL.NOTA]]="",IF(NOTA[[#This Row],[SUPPLIER_H]]="","",AK748),MONTH(NOTA[[#This Row],[TGL.NOTA]]))</f>
        <v/>
      </c>
      <c r="AL749" s="38" t="str">
        <f>LOWER(SUBSTITUTE(SUBSTITUTE(SUBSTITUTE(SUBSTITUTE(SUBSTITUTE(SUBSTITUTE(SUBSTITUTE(SUBSTITUTE(SUBSTITUTE(NOTA[NAMA BARANG]," ",),".",""),"-",""),"(",""),")",""),",",""),"/",""),"""",""),"+",""))</f>
        <v/>
      </c>
      <c r="AM749" s="38" t="str">
        <f>IF(NOTA[C]="",NOTA[[#This Row],[CONCAT1]]&amp;NOTA[[#This Row],[HARGA SATUAN]],NOTA[[#This Row],[CONCAT1]]&amp;NOTA[[#This Row],[HARGA/ CTN_H]]&amp;NOTA[[#This Row],[DISC 1]]&amp;NOTA[[#This Row],[DISC 2]])</f>
        <v/>
      </c>
      <c r="AN749" s="184" t="str">
        <f>IF(NOTA[[#This Row],[CONCAT1]]="","",MATCH(NOTA[[#This Row],[CONCAT1]],[1]!db[NB NOTA_C],0)+1)</f>
        <v/>
      </c>
    </row>
    <row r="750" spans="1:40" ht="20.100000000000001" customHeight="1" x14ac:dyDescent="0.25">
      <c r="A750" s="5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50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HAN_2701_292-2</v>
      </c>
      <c r="C750" s="58" t="str">
        <f>IF(NOTA[[#This Row],[CEK_EXP]]&lt;D749,"err","")</f>
        <v/>
      </c>
      <c r="D750" s="58">
        <f>IF(NOTA[[#This Row],[TANGGAL]]="",D749,NOTA[[#This Row],[TANGGAL]])</f>
        <v>44953</v>
      </c>
      <c r="E750" s="58">
        <f ca="1">IF(NOTA[[#This Row],[NAMA BARANG]]="","",INDEX(NOTA[ID],MATCH(,INDIRECT(ADDRESS(ROW(NOTA[ID]),COLUMN(NOTA[ID]))&amp;":"&amp;ADDRESS(ROW(),COLUMN(NOTA[ID]))),-1)))</f>
        <v>142</v>
      </c>
      <c r="F750" s="61"/>
      <c r="G750" s="26" t="s">
        <v>285</v>
      </c>
      <c r="H750" s="26" t="s">
        <v>87</v>
      </c>
      <c r="I750" s="31" t="s">
        <v>858</v>
      </c>
      <c r="J750" s="62"/>
      <c r="K750" s="60">
        <v>44953</v>
      </c>
      <c r="L750" s="62"/>
      <c r="M750" s="26" t="s">
        <v>848</v>
      </c>
      <c r="N750" s="63"/>
      <c r="O750" s="62">
        <v>4</v>
      </c>
      <c r="P750" s="26" t="s">
        <v>90</v>
      </c>
      <c r="Q750" s="57">
        <v>39000</v>
      </c>
      <c r="R750" s="64"/>
      <c r="S750" s="39"/>
      <c r="T750" s="117"/>
      <c r="U750" s="117"/>
      <c r="V750" s="59"/>
      <c r="W750" s="37"/>
      <c r="X750" s="59">
        <f>IF(NOTA[[#This Row],[HARGA/ CTN]]="",NOTA[[#This Row],[JUMLAH_H]],NOTA[[#This Row],[HARGA/ CTN]]*IF(NOTA[[#This Row],[C]]="",0,NOTA[[#This Row],[C]]))</f>
        <v>156000</v>
      </c>
      <c r="Y750" s="59">
        <f>IF(NOTA[[#This Row],[JUMLAH]]="","",NOTA[[#This Row],[JUMLAH]]*NOTA[[#This Row],[DISC 1]])</f>
        <v>0</v>
      </c>
      <c r="Z750" s="59">
        <f>IF(NOTA[[#This Row],[JUMLAH]]="","",(NOTA[[#This Row],[JUMLAH]]-NOTA[[#This Row],[DISC 1-]])*NOTA[[#This Row],[DISC 2]])</f>
        <v>0</v>
      </c>
      <c r="AA750" s="59">
        <f>IF(NOTA[[#This Row],[JUMLAH]]="","",NOTA[[#This Row],[DISC 1-]]+NOTA[[#This Row],[DISC 2-]])</f>
        <v>0</v>
      </c>
      <c r="AB750" s="59">
        <f>IF(NOTA[[#This Row],[JUMLAH]]="","",NOTA[[#This Row],[JUMLAH]]-NOTA[[#This Row],[DISC]])</f>
        <v>156000</v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57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50" s="59">
        <f>IF(OR(NOTA[[#This Row],[QTY]]="",NOTA[[#This Row],[HARGA SATUAN]]="",),"",NOTA[[#This Row],[QTY]]*NOTA[[#This Row],[HARGA SATUAN]])</f>
        <v>156000</v>
      </c>
      <c r="AG750" s="60">
        <f ca="1">IF(NOTA[ID_H]="","",INDEX(NOTA[TANGGAL],MATCH(,INDIRECT(ADDRESS(ROW(NOTA[TANGGAL]),COLUMN(NOTA[TANGGAL]))&amp;":"&amp;ADDRESS(ROW(),COLUMN(NOTA[TANGGAL]))),-1)))</f>
        <v>44953</v>
      </c>
      <c r="AH750" s="57" t="str">
        <f ca="1">IF(NOTA[[#This Row],[NAMA BARANG]]="","",INDEX(NOTA[SUPPLIER],MATCH(,INDIRECT(ADDRESS(ROW(NOTA[ID]),COLUMN(NOTA[ID]))&amp;":"&amp;ADDRESS(ROW(),COLUMN(NOTA[ID]))),-1)))</f>
        <v>HANSA</v>
      </c>
      <c r="AI750" s="57" t="str">
        <f ca="1">IF(NOTA[[#This Row],[ID_H]]="","",IF(NOTA[[#This Row],[FAKTUR]]="",INDIRECT(ADDRESS(ROW()-1,COLUMN())),NOTA[[#This Row],[FAKTUR]]))</f>
        <v>UNTANA</v>
      </c>
      <c r="AJ750" s="38">
        <f ca="1">IF(NOTA[[#This Row],[ID]]="","",COUNTIF(NOTA[ID_H],NOTA[[#This Row],[ID_H]]))</f>
        <v>2</v>
      </c>
      <c r="AK750" s="38">
        <f>IF(NOTA[[#This Row],[TGL.NOTA]]="",IF(NOTA[[#This Row],[SUPPLIER_H]]="","",AK749),MONTH(NOTA[[#This Row],[TGL.NOTA]]))</f>
        <v>1</v>
      </c>
      <c r="AL750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750" s="38" t="str">
        <f>IF(NOTA[C]="",NOTA[[#This Row],[CONCAT1]]&amp;NOTA[[#This Row],[HARGA SATUAN]],NOTA[[#This Row],[CONCAT1]]&amp;NOTA[[#This Row],[HARGA/ CTN_H]]&amp;NOTA[[#This Row],[DISC 1]]&amp;NOTA[[#This Row],[DISC 2]])</f>
        <v>lilinshintoeng12btg39000</v>
      </c>
      <c r="AN750" s="184">
        <f>IF(NOTA[[#This Row],[CONCAT1]]="","",MATCH(NOTA[[#This Row],[CONCAT1]],[1]!db[NB NOTA_C],0)+1)</f>
        <v>1396</v>
      </c>
    </row>
    <row r="751" spans="1:40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Row],[CEK_EXP]]&lt;D750,"err","")</f>
        <v/>
      </c>
      <c r="D751" s="58">
        <f>IF(NOTA[[#This Row],[TANGGAL]]="",D750,NOTA[[#This Row],[TANGGAL]])</f>
        <v>44953</v>
      </c>
      <c r="E751" s="58">
        <f ca="1">IF(NOTA[[#This Row],[NAMA BARANG]]="","",INDEX(NOTA[ID],MATCH(,INDIRECT(ADDRESS(ROW(NOTA[ID]),COLUMN(NOTA[ID]))&amp;":"&amp;ADDRESS(ROW(),COLUMN(NOTA[ID]))),-1)))</f>
        <v>142</v>
      </c>
      <c r="F751" s="61"/>
      <c r="G751" s="62"/>
      <c r="H751" s="62"/>
      <c r="I751" s="107"/>
      <c r="J751" s="62"/>
      <c r="K751" s="60"/>
      <c r="L751" s="62"/>
      <c r="M751" s="26" t="s">
        <v>637</v>
      </c>
      <c r="N751" s="63"/>
      <c r="O751" s="62">
        <v>4</v>
      </c>
      <c r="P751" s="26" t="s">
        <v>90</v>
      </c>
      <c r="Q751" s="57">
        <v>41000</v>
      </c>
      <c r="R751" s="64"/>
      <c r="S751" s="39"/>
      <c r="T751" s="117"/>
      <c r="U751" s="117"/>
      <c r="V751" s="59"/>
      <c r="W751" s="37"/>
      <c r="X751" s="59">
        <f>IF(NOTA[[#This Row],[HARGA/ CTN]]="",NOTA[[#This Row],[JUMLAH_H]],NOTA[[#This Row],[HARGA/ CTN]]*IF(NOTA[[#This Row],[C]]="",0,NOTA[[#This Row],[C]]))</f>
        <v>164000</v>
      </c>
      <c r="Y751" s="59">
        <f>IF(NOTA[[#This Row],[JUMLAH]]="","",NOTA[[#This Row],[JUMLAH]]*NOTA[[#This Row],[DISC 1]])</f>
        <v>0</v>
      </c>
      <c r="Z751" s="59">
        <f>IF(NOTA[[#This Row],[JUMLAH]]="","",(NOTA[[#This Row],[JUMLAH]]-NOTA[[#This Row],[DISC 1-]])*NOTA[[#This Row],[DISC 2]])</f>
        <v>0</v>
      </c>
      <c r="AA751" s="59">
        <f>IF(NOTA[[#This Row],[JUMLAH]]="","",NOTA[[#This Row],[DISC 1-]]+NOTA[[#This Row],[DISC 2-]])</f>
        <v>0</v>
      </c>
      <c r="AB751" s="59">
        <f>IF(NOTA[[#This Row],[JUMLAH]]="","",NOTA[[#This Row],[JUMLAH]]-NOTA[[#This Row],[DISC]])</f>
        <v>164000</v>
      </c>
      <c r="AC75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</v>
      </c>
      <c r="AE751" s="57">
        <f>IF(NOTA[[#This Row],[NAMA BARANG]]="","",IF(NOTA[[#This Row],[JUMLAH_H]]="",NOTA[[#This Row],[HARGA/ CTN]],NOTA[[#This Row],[QTY]]*NOTA[[#This Row],[HARGA SATUAN]]/IF(ISNUMBER(NOTA[[#This Row],[C]]),NOTA[[#This Row],[C]],1)))</f>
        <v>164000</v>
      </c>
      <c r="AF751" s="59">
        <f>IF(OR(NOTA[[#This Row],[QTY]]="",NOTA[[#This Row],[HARGA SATUAN]]="",),"",NOTA[[#This Row],[QTY]]*NOTA[[#This Row],[HARGA SATUAN]])</f>
        <v>164000</v>
      </c>
      <c r="AG751" s="60">
        <f ca="1">IF(NOTA[ID_H]="","",INDEX(NOTA[TANGGAL],MATCH(,INDIRECT(ADDRESS(ROW(NOTA[TANGGAL]),COLUMN(NOTA[TANGGAL]))&amp;":"&amp;ADDRESS(ROW(),COLUMN(NOTA[TANGGAL]))),-1)))</f>
        <v>44953</v>
      </c>
      <c r="AH751" s="57" t="str">
        <f ca="1">IF(NOTA[[#This Row],[NAMA BARANG]]="","",INDEX(NOTA[SUPPLIER],MATCH(,INDIRECT(ADDRESS(ROW(NOTA[ID]),COLUMN(NOTA[ID]))&amp;":"&amp;ADDRESS(ROW(),COLUMN(NOTA[ID]))),-1)))</f>
        <v>HANSA</v>
      </c>
      <c r="AI751" s="57" t="str">
        <f ca="1">IF(NOTA[[#This Row],[ID_H]]="","",IF(NOTA[[#This Row],[FAKTUR]]="",INDIRECT(ADDRESS(ROW()-1,COLUMN())),NOTA[[#This Row],[FAKTUR]]))</f>
        <v>UNTANA</v>
      </c>
      <c r="AJ751" s="38" t="str">
        <f ca="1">IF(NOTA[[#This Row],[ID]]="","",COUNTIF(NOTA[ID_H],NOTA[[#This Row],[ID_H]]))</f>
        <v/>
      </c>
      <c r="AK751" s="38">
        <f ca="1">IF(NOTA[[#This Row],[TGL.NOTA]]="",IF(NOTA[[#This Row],[SUPPLIER_H]]="","",AK750),MONTH(NOTA[[#This Row],[TGL.NOTA]]))</f>
        <v>1</v>
      </c>
      <c r="AL751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751" s="38" t="str">
        <f>IF(NOTA[C]="",NOTA[[#This Row],[CONCAT1]]&amp;NOTA[[#This Row],[HARGA SATUAN]],NOTA[[#This Row],[CONCAT1]]&amp;NOTA[[#This Row],[HARGA/ CTN_H]]&amp;NOTA[[#This Row],[DISC 1]]&amp;NOTA[[#This Row],[DISC 2]])</f>
        <v>lilinshintoeng24btg41000</v>
      </c>
      <c r="AN751" s="184">
        <f>IF(NOTA[[#This Row],[CONCAT1]]="","",MATCH(NOTA[[#This Row],[CONCAT1]],[1]!db[NB NOTA_C],0)+1)</f>
        <v>1397</v>
      </c>
    </row>
    <row r="752" spans="1:40" ht="20.100000000000001" customHeight="1" x14ac:dyDescent="0.25">
      <c r="A7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8" t="str">
        <f>IF(NOTA[[#This Row],[CEK_EXP]]&lt;D751,"err","")</f>
        <v/>
      </c>
      <c r="D752" s="58">
        <f>IF(NOTA[[#This Row],[TANGGAL]]="",D751,NOTA[[#This Row],[TANGGAL]])</f>
        <v>44953</v>
      </c>
      <c r="E752" s="58" t="str">
        <f ca="1">IF(NOTA[[#This Row],[NAMA BARANG]]="","",INDEX(NOTA[ID],MATCH(,INDIRECT(ADDRESS(ROW(NOTA[ID]),COLUMN(NOTA[ID]))&amp;":"&amp;ADDRESS(ROW(),COLUMN(NOTA[ID]))),-1)))</f>
        <v/>
      </c>
      <c r="F752" s="61"/>
      <c r="G752" s="62"/>
      <c r="H752" s="62"/>
      <c r="I752" s="107"/>
      <c r="J752" s="62"/>
      <c r="K752" s="60"/>
      <c r="L752" s="62"/>
      <c r="M752" s="26"/>
      <c r="N752" s="63"/>
      <c r="O752" s="62"/>
      <c r="P752" s="26"/>
      <c r="Q752" s="57"/>
      <c r="R752" s="64"/>
      <c r="S752" s="39"/>
      <c r="T752" s="117"/>
      <c r="U752" s="117"/>
      <c r="V752" s="59"/>
      <c r="W752" s="37"/>
      <c r="X752" s="59" t="str">
        <f>IF(NOTA[[#This Row],[HARGA/ CTN]]="",NOTA[[#This Row],[JUMLAH_H]],NOTA[[#This Row],[HARGA/ CTN]]*IF(NOTA[[#This Row],[C]]="",0,NOTA[[#This Row],[C]]))</f>
        <v/>
      </c>
      <c r="Y752" s="59" t="str">
        <f>IF(NOTA[[#This Row],[JUMLAH]]="","",NOTA[[#This Row],[JUMLAH]]*NOTA[[#This Row],[DISC 1]])</f>
        <v/>
      </c>
      <c r="Z752" s="59" t="str">
        <f>IF(NOTA[[#This Row],[JUMLAH]]="","",(NOTA[[#This Row],[JUMLAH]]-NOTA[[#This Row],[DISC 1-]])*NOTA[[#This Row],[DISC 2]])</f>
        <v/>
      </c>
      <c r="AA752" s="59" t="str">
        <f>IF(NOTA[[#This Row],[JUMLAH]]="","",NOTA[[#This Row],[DISC 1-]]+NOTA[[#This Row],[DISC 2-]])</f>
        <v/>
      </c>
      <c r="AB752" s="59" t="str">
        <f>IF(NOTA[[#This Row],[JUMLAH]]="","",NOTA[[#This Row],[JUMLAH]]-NOTA[[#This Row],[DISC]])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59" t="str">
        <f>IF(OR(NOTA[[#This Row],[QTY]]="",NOTA[[#This Row],[HARGA SATUAN]]="",),"",NOTA[[#This Row],[QTY]]*NOTA[[#This Row],[HARGA SATUAN]])</f>
        <v/>
      </c>
      <c r="AG752" s="60" t="str">
        <f ca="1">IF(NOTA[ID_H]="","",INDEX(NOTA[TANGGAL],MATCH(,INDIRECT(ADDRESS(ROW(NOTA[TANGGAL]),COLUMN(NOTA[TANGGAL]))&amp;":"&amp;ADDRESS(ROW(),COLUMN(NOTA[TANGGAL]))),-1)))</f>
        <v/>
      </c>
      <c r="AH752" s="57" t="str">
        <f ca="1">IF(NOTA[[#This Row],[NAMA BARANG]]="","",INDEX(NOTA[SUPPLIER],MATCH(,INDIRECT(ADDRESS(ROW(NOTA[ID]),COLUMN(NOTA[ID]))&amp;":"&amp;ADDRESS(ROW(),COLUMN(NOTA[ID]))),-1)))</f>
        <v/>
      </c>
      <c r="AI752" s="57" t="str">
        <f ca="1">IF(NOTA[[#This Row],[ID_H]]="","",IF(NOTA[[#This Row],[FAKTUR]]="",INDIRECT(ADDRESS(ROW()-1,COLUMN())),NOTA[[#This Row],[FAKTUR]]))</f>
        <v/>
      </c>
      <c r="AJ752" s="38" t="str">
        <f ca="1">IF(NOTA[[#This Row],[ID]]="","",COUNTIF(NOTA[ID_H],NOTA[[#This Row],[ID_H]]))</f>
        <v/>
      </c>
      <c r="AK752" s="38" t="str">
        <f ca="1">IF(NOTA[[#This Row],[TGL.NOTA]]="",IF(NOTA[[#This Row],[SUPPLIER_H]]="","",AK751),MONTH(NOTA[[#This Row],[TGL.NOTA]]))</f>
        <v/>
      </c>
      <c r="AL752" s="38" t="str">
        <f>LOWER(SUBSTITUTE(SUBSTITUTE(SUBSTITUTE(SUBSTITUTE(SUBSTITUTE(SUBSTITUTE(SUBSTITUTE(SUBSTITUTE(SUBSTITUTE(NOTA[NAMA BARANG]," ",),".",""),"-",""),"(",""),")",""),",",""),"/",""),"""",""),"+",""))</f>
        <v/>
      </c>
      <c r="AM752" s="38" t="str">
        <f>IF(NOTA[C]="",NOTA[[#This Row],[CONCAT1]]&amp;NOTA[[#This Row],[HARGA SATUAN]],NOTA[[#This Row],[CONCAT1]]&amp;NOTA[[#This Row],[HARGA/ CTN_H]]&amp;NOTA[[#This Row],[DISC 1]]&amp;NOTA[[#This Row],[DISC 2]])</f>
        <v/>
      </c>
      <c r="AN752" s="184" t="str">
        <f>IF(NOTA[[#This Row],[CONCAT1]]="","",MATCH(NOTA[[#This Row],[CONCAT1]],[1]!db[NB NOTA_C],0)+1)</f>
        <v/>
      </c>
    </row>
    <row r="753" spans="1:40" ht="20.100000000000001" customHeight="1" x14ac:dyDescent="0.25">
      <c r="A753" s="5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53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HAN_2701_286-3</v>
      </c>
      <c r="C753" s="58" t="str">
        <f>IF(NOTA[[#This Row],[CEK_EXP]]&lt;D752,"err","")</f>
        <v/>
      </c>
      <c r="D753" s="58">
        <f>IF(NOTA[[#This Row],[TANGGAL]]="",D752,NOTA[[#This Row],[TANGGAL]])</f>
        <v>44953</v>
      </c>
      <c r="E753" s="58">
        <f ca="1">IF(NOTA[[#This Row],[NAMA BARANG]]="","",INDEX(NOTA[ID],MATCH(,INDIRECT(ADDRESS(ROW(NOTA[ID]),COLUMN(NOTA[ID]))&amp;":"&amp;ADDRESS(ROW(),COLUMN(NOTA[ID]))),-1)))</f>
        <v>143</v>
      </c>
      <c r="F753" s="61"/>
      <c r="G753" s="26" t="s">
        <v>285</v>
      </c>
      <c r="H753" s="26" t="s">
        <v>87</v>
      </c>
      <c r="I753" s="31" t="s">
        <v>859</v>
      </c>
      <c r="J753" s="62"/>
      <c r="K753" s="60">
        <v>44953</v>
      </c>
      <c r="L753" s="62"/>
      <c r="M753" s="26" t="s">
        <v>287</v>
      </c>
      <c r="N753" s="63"/>
      <c r="O753" s="62">
        <v>2</v>
      </c>
      <c r="P753" s="26" t="s">
        <v>90</v>
      </c>
      <c r="Q753" s="57">
        <v>13000</v>
      </c>
      <c r="R753" s="64"/>
      <c r="S753" s="39"/>
      <c r="T753" s="117"/>
      <c r="U753" s="117"/>
      <c r="V753" s="59"/>
      <c r="W753" s="37" t="s">
        <v>860</v>
      </c>
      <c r="X753" s="59">
        <f>IF(NOTA[[#This Row],[HARGA/ CTN]]="",NOTA[[#This Row],[JUMLAH_H]],NOTA[[#This Row],[HARGA/ CTN]]*IF(NOTA[[#This Row],[C]]="",0,NOTA[[#This Row],[C]]))</f>
        <v>26000</v>
      </c>
      <c r="Y753" s="59">
        <f>IF(NOTA[[#This Row],[JUMLAH]]="","",NOTA[[#This Row],[JUMLAH]]*NOTA[[#This Row],[DISC 1]])</f>
        <v>0</v>
      </c>
      <c r="Z753" s="59">
        <f>IF(NOTA[[#This Row],[JUMLAH]]="","",(NOTA[[#This Row],[JUMLAH]]-NOTA[[#This Row],[DISC 1-]])*NOTA[[#This Row],[DISC 2]])</f>
        <v>0</v>
      </c>
      <c r="AA753" s="59">
        <f>IF(NOTA[[#This Row],[JUMLAH]]="","",NOTA[[#This Row],[DISC 1-]]+NOTA[[#This Row],[DISC 2-]])</f>
        <v>0</v>
      </c>
      <c r="AB753" s="59">
        <f>IF(NOTA[[#This Row],[JUMLAH]]="","",NOTA[[#This Row],[JUMLAH]]-NOTA[[#This Row],[DISC]])</f>
        <v>26000</v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57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753" s="59">
        <f>IF(OR(NOTA[[#This Row],[QTY]]="",NOTA[[#This Row],[HARGA SATUAN]]="",),"",NOTA[[#This Row],[QTY]]*NOTA[[#This Row],[HARGA SATUAN]])</f>
        <v>26000</v>
      </c>
      <c r="AG753" s="60">
        <f ca="1">IF(NOTA[ID_H]="","",INDEX(NOTA[TANGGAL],MATCH(,INDIRECT(ADDRESS(ROW(NOTA[TANGGAL]),COLUMN(NOTA[TANGGAL]))&amp;":"&amp;ADDRESS(ROW(),COLUMN(NOTA[TANGGAL]))),-1)))</f>
        <v>44953</v>
      </c>
      <c r="AH753" s="57" t="str">
        <f ca="1">IF(NOTA[[#This Row],[NAMA BARANG]]="","",INDEX(NOTA[SUPPLIER],MATCH(,INDIRECT(ADDRESS(ROW(NOTA[ID]),COLUMN(NOTA[ID]))&amp;":"&amp;ADDRESS(ROW(),COLUMN(NOTA[ID]))),-1)))</f>
        <v>HANSA</v>
      </c>
      <c r="AI753" s="57" t="str">
        <f ca="1">IF(NOTA[[#This Row],[ID_H]]="","",IF(NOTA[[#This Row],[FAKTUR]]="",INDIRECT(ADDRESS(ROW()-1,COLUMN())),NOTA[[#This Row],[FAKTUR]]))</f>
        <v>UNTANA</v>
      </c>
      <c r="AJ753" s="38">
        <f ca="1">IF(NOTA[[#This Row],[ID]]="","",COUNTIF(NOTA[ID_H],NOTA[[#This Row],[ID_H]]))</f>
        <v>3</v>
      </c>
      <c r="AK753" s="38">
        <f>IF(NOTA[[#This Row],[TGL.NOTA]]="",IF(NOTA[[#This Row],[SUPPLIER_H]]="","",AK752),MONTH(NOTA[[#This Row],[TGL.NOTA]]))</f>
        <v>1</v>
      </c>
      <c r="AL753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53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N753" s="184">
        <f>IF(NOTA[[#This Row],[CONCAT1]]="","",MATCH(NOTA[[#This Row],[CONCAT1]],[1]!db[NB NOTA_C],0)+1)</f>
        <v>1377</v>
      </c>
    </row>
    <row r="754" spans="1:40" ht="20.100000000000001" customHeight="1" x14ac:dyDescent="0.25">
      <c r="A7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8" t="str">
        <f>IF(NOTA[[#This Row],[CEK_EXP]]&lt;D753,"err","")</f>
        <v/>
      </c>
      <c r="D754" s="58">
        <f>IF(NOTA[[#This Row],[TANGGAL]]="",D753,NOTA[[#This Row],[TANGGAL]])</f>
        <v>44953</v>
      </c>
      <c r="E754" s="58">
        <f ca="1">IF(NOTA[[#This Row],[NAMA BARANG]]="","",INDEX(NOTA[ID],MATCH(,INDIRECT(ADDRESS(ROW(NOTA[ID]),COLUMN(NOTA[ID]))&amp;":"&amp;ADDRESS(ROW(),COLUMN(NOTA[ID]))),-1)))</f>
        <v>143</v>
      </c>
      <c r="F754" s="61"/>
      <c r="G754" s="62"/>
      <c r="H754" s="62"/>
      <c r="I754" s="107"/>
      <c r="J754" s="62"/>
      <c r="K754" s="60"/>
      <c r="L754" s="62"/>
      <c r="M754" s="26" t="s">
        <v>287</v>
      </c>
      <c r="N754" s="63"/>
      <c r="O754" s="62">
        <v>4</v>
      </c>
      <c r="P754" s="26" t="s">
        <v>90</v>
      </c>
      <c r="Q754" s="57">
        <v>13000</v>
      </c>
      <c r="R754" s="64"/>
      <c r="S754" s="39"/>
      <c r="T754" s="117"/>
      <c r="U754" s="117"/>
      <c r="V754" s="59"/>
      <c r="W754" s="37" t="s">
        <v>861</v>
      </c>
      <c r="X754" s="59">
        <f>IF(NOTA[[#This Row],[HARGA/ CTN]]="",NOTA[[#This Row],[JUMLAH_H]],NOTA[[#This Row],[HARGA/ CTN]]*IF(NOTA[[#This Row],[C]]="",0,NOTA[[#This Row],[C]]))</f>
        <v>52000</v>
      </c>
      <c r="Y754" s="59">
        <f>IF(NOTA[[#This Row],[JUMLAH]]="","",NOTA[[#This Row],[JUMLAH]]*NOTA[[#This Row],[DISC 1]])</f>
        <v>0</v>
      </c>
      <c r="Z754" s="59">
        <f>IF(NOTA[[#This Row],[JUMLAH]]="","",(NOTA[[#This Row],[JUMLAH]]-NOTA[[#This Row],[DISC 1-]])*NOTA[[#This Row],[DISC 2]])</f>
        <v>0</v>
      </c>
      <c r="AA754" s="59">
        <f>IF(NOTA[[#This Row],[JUMLAH]]="","",NOTA[[#This Row],[DISC 1-]]+NOTA[[#This Row],[DISC 2-]])</f>
        <v>0</v>
      </c>
      <c r="AB754" s="59">
        <f>IF(NOTA[[#This Row],[JUMLAH]]="","",NOTA[[#This Row],[JUMLAH]]-NOTA[[#This Row],[DISC]])</f>
        <v>52000</v>
      </c>
      <c r="AC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57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754" s="59">
        <f>IF(OR(NOTA[[#This Row],[QTY]]="",NOTA[[#This Row],[HARGA SATUAN]]="",),"",NOTA[[#This Row],[QTY]]*NOTA[[#This Row],[HARGA SATUAN]])</f>
        <v>52000</v>
      </c>
      <c r="AG754" s="60">
        <f ca="1">IF(NOTA[ID_H]="","",INDEX(NOTA[TANGGAL],MATCH(,INDIRECT(ADDRESS(ROW(NOTA[TANGGAL]),COLUMN(NOTA[TANGGAL]))&amp;":"&amp;ADDRESS(ROW(),COLUMN(NOTA[TANGGAL]))),-1)))</f>
        <v>44953</v>
      </c>
      <c r="AH754" s="57" t="str">
        <f ca="1">IF(NOTA[[#This Row],[NAMA BARANG]]="","",INDEX(NOTA[SUPPLIER],MATCH(,INDIRECT(ADDRESS(ROW(NOTA[ID]),COLUMN(NOTA[ID]))&amp;":"&amp;ADDRESS(ROW(),COLUMN(NOTA[ID]))),-1)))</f>
        <v>HANSA</v>
      </c>
      <c r="AI754" s="57" t="str">
        <f ca="1">IF(NOTA[[#This Row],[ID_H]]="","",IF(NOTA[[#This Row],[FAKTUR]]="",INDIRECT(ADDRESS(ROW()-1,COLUMN())),NOTA[[#This Row],[FAKTUR]]))</f>
        <v>UNTANA</v>
      </c>
      <c r="AJ754" s="38" t="str">
        <f ca="1">IF(NOTA[[#This Row],[ID]]="","",COUNTIF(NOTA[ID_H],NOTA[[#This Row],[ID_H]]))</f>
        <v/>
      </c>
      <c r="AK754" s="38">
        <f ca="1">IF(NOTA[[#This Row],[TGL.NOTA]]="",IF(NOTA[[#This Row],[SUPPLIER_H]]="","",AK753),MONTH(NOTA[[#This Row],[TGL.NOTA]]))</f>
        <v>1</v>
      </c>
      <c r="AL75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54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N754" s="184">
        <f>IF(NOTA[[#This Row],[CONCAT1]]="","",MATCH(NOTA[[#This Row],[CONCAT1]],[1]!db[NB NOTA_C],0)+1)</f>
        <v>1377</v>
      </c>
    </row>
    <row r="755" spans="1:40" ht="20.100000000000001" customHeight="1" x14ac:dyDescent="0.25">
      <c r="A7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8" t="str">
        <f>IF(NOTA[[#This Row],[CEK_EXP]]&lt;D754,"err","")</f>
        <v/>
      </c>
      <c r="D755" s="58">
        <f>IF(NOTA[[#This Row],[TANGGAL]]="",D754,NOTA[[#This Row],[TANGGAL]])</f>
        <v>44953</v>
      </c>
      <c r="E755" s="58">
        <f ca="1">IF(NOTA[[#This Row],[NAMA BARANG]]="","",INDEX(NOTA[ID],MATCH(,INDIRECT(ADDRESS(ROW(NOTA[ID]),COLUMN(NOTA[ID]))&amp;":"&amp;ADDRESS(ROW(),COLUMN(NOTA[ID]))),-1)))</f>
        <v>143</v>
      </c>
      <c r="F755" s="61"/>
      <c r="G755" s="62"/>
      <c r="H755" s="62"/>
      <c r="I755" s="107"/>
      <c r="J755" s="62"/>
      <c r="K755" s="60"/>
      <c r="L755" s="62"/>
      <c r="M755" s="26" t="s">
        <v>287</v>
      </c>
      <c r="N755" s="63"/>
      <c r="O755" s="62">
        <v>9</v>
      </c>
      <c r="P755" s="26" t="s">
        <v>90</v>
      </c>
      <c r="Q755" s="57">
        <v>13000</v>
      </c>
      <c r="R755" s="64"/>
      <c r="S755" s="39"/>
      <c r="T755" s="117"/>
      <c r="U755" s="117"/>
      <c r="V755" s="59"/>
      <c r="W755" s="37" t="s">
        <v>862</v>
      </c>
      <c r="X755" s="59">
        <f>IF(NOTA[[#This Row],[HARGA/ CTN]]="",NOTA[[#This Row],[JUMLAH_H]],NOTA[[#This Row],[HARGA/ CTN]]*IF(NOTA[[#This Row],[C]]="",0,NOTA[[#This Row],[C]]))</f>
        <v>117000</v>
      </c>
      <c r="Y755" s="59">
        <f>IF(NOTA[[#This Row],[JUMLAH]]="","",NOTA[[#This Row],[JUMLAH]]*NOTA[[#This Row],[DISC 1]])</f>
        <v>0</v>
      </c>
      <c r="Z755" s="59">
        <f>IF(NOTA[[#This Row],[JUMLAH]]="","",(NOTA[[#This Row],[JUMLAH]]-NOTA[[#This Row],[DISC 1-]])*NOTA[[#This Row],[DISC 2]])</f>
        <v>0</v>
      </c>
      <c r="AA755" s="59">
        <f>IF(NOTA[[#This Row],[JUMLAH]]="","",NOTA[[#This Row],[DISC 1-]]+NOTA[[#This Row],[DISC 2-]])</f>
        <v>0</v>
      </c>
      <c r="AB755" s="59">
        <f>IF(NOTA[[#This Row],[JUMLAH]]="","",NOTA[[#This Row],[JUMLAH]]-NOTA[[#This Row],[DISC]])</f>
        <v>117000</v>
      </c>
      <c r="AC75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E755" s="57">
        <f>IF(NOTA[[#This Row],[NAMA BARANG]]="","",IF(NOTA[[#This Row],[JUMLAH_H]]="",NOTA[[#This Row],[HARGA/ CTN]],NOTA[[#This Row],[QTY]]*NOTA[[#This Row],[HARGA SATUAN]]/IF(ISNUMBER(NOTA[[#This Row],[C]]),NOTA[[#This Row],[C]],1)))</f>
        <v>117000</v>
      </c>
      <c r="AF755" s="59">
        <f>IF(OR(NOTA[[#This Row],[QTY]]="",NOTA[[#This Row],[HARGA SATUAN]]="",),"",NOTA[[#This Row],[QTY]]*NOTA[[#This Row],[HARGA SATUAN]])</f>
        <v>117000</v>
      </c>
      <c r="AG755" s="60">
        <f ca="1">IF(NOTA[ID_H]="","",INDEX(NOTA[TANGGAL],MATCH(,INDIRECT(ADDRESS(ROW(NOTA[TANGGAL]),COLUMN(NOTA[TANGGAL]))&amp;":"&amp;ADDRESS(ROW(),COLUMN(NOTA[TANGGAL]))),-1)))</f>
        <v>44953</v>
      </c>
      <c r="AH755" s="57" t="str">
        <f ca="1">IF(NOTA[[#This Row],[NAMA BARANG]]="","",INDEX(NOTA[SUPPLIER],MATCH(,INDIRECT(ADDRESS(ROW(NOTA[ID]),COLUMN(NOTA[ID]))&amp;":"&amp;ADDRESS(ROW(),COLUMN(NOTA[ID]))),-1)))</f>
        <v>HANSA</v>
      </c>
      <c r="AI755" s="57" t="str">
        <f ca="1">IF(NOTA[[#This Row],[ID_H]]="","",IF(NOTA[[#This Row],[FAKTUR]]="",INDIRECT(ADDRESS(ROW()-1,COLUMN())),NOTA[[#This Row],[FAKTUR]]))</f>
        <v>UNTANA</v>
      </c>
      <c r="AJ755" s="38" t="str">
        <f ca="1">IF(NOTA[[#This Row],[ID]]="","",COUNTIF(NOTA[ID_H],NOTA[[#This Row],[ID_H]]))</f>
        <v/>
      </c>
      <c r="AK755" s="38">
        <f ca="1">IF(NOTA[[#This Row],[TGL.NOTA]]="",IF(NOTA[[#This Row],[SUPPLIER_H]]="","",AK754),MONTH(NOTA[[#This Row],[TGL.NOTA]]))</f>
        <v>1</v>
      </c>
      <c r="AL75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55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N755" s="184">
        <f>IF(NOTA[[#This Row],[CONCAT1]]="","",MATCH(NOTA[[#This Row],[CONCAT1]],[1]!db[NB NOTA_C],0)+1)</f>
        <v>1377</v>
      </c>
    </row>
    <row r="756" spans="1:40" ht="20.100000000000001" customHeight="1" x14ac:dyDescent="0.25">
      <c r="A7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8" t="str">
        <f>IF(NOTA[[#This Row],[CEK_EXP]]&lt;D755,"err","")</f>
        <v/>
      </c>
      <c r="D756" s="58">
        <f>IF(NOTA[[#This Row],[TANGGAL]]="",D755,NOTA[[#This Row],[TANGGAL]])</f>
        <v>44953</v>
      </c>
      <c r="E756" s="58" t="str">
        <f ca="1">IF(NOTA[[#This Row],[NAMA BARANG]]="","",INDEX(NOTA[ID],MATCH(,INDIRECT(ADDRESS(ROW(NOTA[ID]),COLUMN(NOTA[ID]))&amp;":"&amp;ADDRESS(ROW(),COLUMN(NOTA[ID]))),-1)))</f>
        <v/>
      </c>
      <c r="F756" s="61"/>
      <c r="G756" s="26"/>
      <c r="H756" s="26"/>
      <c r="I756" s="31"/>
      <c r="J756" s="62"/>
      <c r="K756" s="60"/>
      <c r="L756" s="62"/>
      <c r="M756" s="26"/>
      <c r="N756" s="63"/>
      <c r="O756" s="62"/>
      <c r="P756" s="26"/>
      <c r="Q756" s="57"/>
      <c r="R756" s="64"/>
      <c r="S756" s="39"/>
      <c r="T756" s="117"/>
      <c r="U756" s="117"/>
      <c r="V756" s="59"/>
      <c r="W756" s="37"/>
      <c r="X756" s="59" t="str">
        <f>IF(NOTA[[#This Row],[HARGA/ CTN]]="",NOTA[[#This Row],[JUMLAH_H]],NOTA[[#This Row],[HARGA/ CTN]]*IF(NOTA[[#This Row],[C]]="",0,NOTA[[#This Row],[C]]))</f>
        <v/>
      </c>
      <c r="Y756" s="59" t="str">
        <f>IF(NOTA[[#This Row],[JUMLAH]]="","",NOTA[[#This Row],[JUMLAH]]*NOTA[[#This Row],[DISC 1]])</f>
        <v/>
      </c>
      <c r="Z756" s="59" t="str">
        <f>IF(NOTA[[#This Row],[JUMLAH]]="","",(NOTA[[#This Row],[JUMLAH]]-NOTA[[#This Row],[DISC 1-]])*NOTA[[#This Row],[DISC 2]])</f>
        <v/>
      </c>
      <c r="AA756" s="59" t="str">
        <f>IF(NOTA[[#This Row],[JUMLAH]]="","",NOTA[[#This Row],[DISC 1-]]+NOTA[[#This Row],[DISC 2-]])</f>
        <v/>
      </c>
      <c r="AB756" s="59" t="str">
        <f>IF(NOTA[[#This Row],[JUMLAH]]="","",NOTA[[#This Row],[JUMLAH]]-NOTA[[#This Row],[DISC]])</f>
        <v/>
      </c>
      <c r="AC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59" t="str">
        <f>IF(OR(NOTA[[#This Row],[QTY]]="",NOTA[[#This Row],[HARGA SATUAN]]="",),"",NOTA[[#This Row],[QTY]]*NOTA[[#This Row],[HARGA SATUAN]])</f>
        <v/>
      </c>
      <c r="AG756" s="60" t="str">
        <f ca="1">IF(NOTA[ID_H]="","",INDEX(NOTA[TANGGAL],MATCH(,INDIRECT(ADDRESS(ROW(NOTA[TANGGAL]),COLUMN(NOTA[TANGGAL]))&amp;":"&amp;ADDRESS(ROW(),COLUMN(NOTA[TANGGAL]))),-1)))</f>
        <v/>
      </c>
      <c r="AH756" s="57" t="str">
        <f ca="1">IF(NOTA[[#This Row],[NAMA BARANG]]="","",INDEX(NOTA[SUPPLIER],MATCH(,INDIRECT(ADDRESS(ROW(NOTA[ID]),COLUMN(NOTA[ID]))&amp;":"&amp;ADDRESS(ROW(),COLUMN(NOTA[ID]))),-1)))</f>
        <v/>
      </c>
      <c r="AI756" s="57" t="str">
        <f ca="1">IF(NOTA[[#This Row],[ID_H]]="","",IF(NOTA[[#This Row],[FAKTUR]]="",INDIRECT(ADDRESS(ROW()-1,COLUMN())),NOTA[[#This Row],[FAKTUR]]))</f>
        <v/>
      </c>
      <c r="AJ756" s="38" t="str">
        <f ca="1">IF(NOTA[[#This Row],[ID]]="","",COUNTIF(NOTA[ID_H],NOTA[[#This Row],[ID_H]]))</f>
        <v/>
      </c>
      <c r="AK756" s="38" t="str">
        <f ca="1">IF(NOTA[[#This Row],[TGL.NOTA]]="",IF(NOTA[[#This Row],[SUPPLIER_H]]="","",AK755),MONTH(NOTA[[#This Row],[TGL.NOTA]]))</f>
        <v/>
      </c>
      <c r="AL756" s="38" t="str">
        <f>LOWER(SUBSTITUTE(SUBSTITUTE(SUBSTITUTE(SUBSTITUTE(SUBSTITUTE(SUBSTITUTE(SUBSTITUTE(SUBSTITUTE(SUBSTITUTE(NOTA[NAMA BARANG]," ",),".",""),"-",""),"(",""),")",""),",",""),"/",""),"""",""),"+",""))</f>
        <v/>
      </c>
      <c r="AM756" s="38" t="str">
        <f>IF(NOTA[C]="",NOTA[[#This Row],[CONCAT1]]&amp;NOTA[[#This Row],[HARGA SATUAN]],NOTA[[#This Row],[CONCAT1]]&amp;NOTA[[#This Row],[HARGA/ CTN_H]]&amp;NOTA[[#This Row],[DISC 1]]&amp;NOTA[[#This Row],[DISC 2]])</f>
        <v/>
      </c>
      <c r="AN756" s="184" t="str">
        <f>IF(NOTA[[#This Row],[CONCAT1]]="","",MATCH(NOTA[[#This Row],[CONCAT1]],[1]!db[NB NOTA_C],0)+1)</f>
        <v/>
      </c>
    </row>
    <row r="757" spans="1:40" ht="20.100000000000001" customHeight="1" x14ac:dyDescent="0.25">
      <c r="A757" s="57">
        <f ca="1">IF(INDIRECT(ADDRESS(ROW()-1,COLUMN(NOTA[[#Headers],[ID]])))="ID",1,IF(NOTA[[#This Row],[FAKTUR]]="","",COUNT(INDIRECT(ADDRESS(ROW(NOTA[ID]),COLUMN(NOTA[ID]))&amp;":"&amp;ADDRESS(ROW()-1,COLUMN(NOTA[ID]))))+1))</f>
        <v>144</v>
      </c>
      <c r="B75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TFS_2701_117-7</v>
      </c>
      <c r="C757" s="58" t="str">
        <f>IF(NOTA[[#This Row],[CEK_EXP]]&lt;D756,"err","")</f>
        <v/>
      </c>
      <c r="D757" s="58">
        <f>IF(NOTA[[#This Row],[TANGGAL]]="",D756,NOTA[[#This Row],[TANGGAL]])</f>
        <v>44953</v>
      </c>
      <c r="E757" s="58">
        <f ca="1">IF(NOTA[[#This Row],[NAMA BARANG]]="","",INDEX(NOTA[ID],MATCH(,INDIRECT(ADDRESS(ROW(NOTA[ID]),COLUMN(NOTA[ID]))&amp;":"&amp;ADDRESS(ROW(),COLUMN(NOTA[ID]))),-1)))</f>
        <v>144</v>
      </c>
      <c r="F757" s="61"/>
      <c r="G757" s="26" t="s">
        <v>706</v>
      </c>
      <c r="H757" s="26" t="s">
        <v>87</v>
      </c>
      <c r="I757" s="31" t="s">
        <v>863</v>
      </c>
      <c r="J757" s="62"/>
      <c r="K757" s="60">
        <v>44950</v>
      </c>
      <c r="L757" s="62"/>
      <c r="M757" s="26" t="s">
        <v>864</v>
      </c>
      <c r="N757" s="63">
        <v>4</v>
      </c>
      <c r="O757" s="62">
        <v>960</v>
      </c>
      <c r="P757" s="26" t="s">
        <v>104</v>
      </c>
      <c r="Q757" s="57">
        <v>12000</v>
      </c>
      <c r="R757" s="64"/>
      <c r="S757" s="39" t="s">
        <v>756</v>
      </c>
      <c r="T757" s="117"/>
      <c r="U757" s="117"/>
      <c r="V757" s="59"/>
      <c r="W757" s="37"/>
      <c r="X757" s="59">
        <f>IF(NOTA[[#This Row],[HARGA/ CTN]]="",NOTA[[#This Row],[JUMLAH_H]],NOTA[[#This Row],[HARGA/ CTN]]*IF(NOTA[[#This Row],[C]]="",0,NOTA[[#This Row],[C]]))</f>
        <v>11520000</v>
      </c>
      <c r="Y757" s="59">
        <f>IF(NOTA[[#This Row],[JUMLAH]]="","",NOTA[[#This Row],[JUMLAH]]*NOTA[[#This Row],[DISC 1]])</f>
        <v>0</v>
      </c>
      <c r="Z757" s="59">
        <f>IF(NOTA[[#This Row],[JUMLAH]]="","",(NOTA[[#This Row],[JUMLAH]]-NOTA[[#This Row],[DISC 1-]])*NOTA[[#This Row],[DISC 2]])</f>
        <v>0</v>
      </c>
      <c r="AA757" s="59">
        <f>IF(NOTA[[#This Row],[JUMLAH]]="","",NOTA[[#This Row],[DISC 1-]]+NOTA[[#This Row],[DISC 2-]])</f>
        <v>0</v>
      </c>
      <c r="AB757" s="59">
        <f>IF(NOTA[[#This Row],[JUMLAH]]="","",NOTA[[#This Row],[JUMLAH]]-NOTA[[#This Row],[DISC]])</f>
        <v>11520000</v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5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57" s="59">
        <f>IF(OR(NOTA[[#This Row],[QTY]]="",NOTA[[#This Row],[HARGA SATUAN]]="",),"",NOTA[[#This Row],[QTY]]*NOTA[[#This Row],[HARGA SATUAN]])</f>
        <v>11520000</v>
      </c>
      <c r="AG757" s="60">
        <f ca="1">IF(NOTA[ID_H]="","",INDEX(NOTA[TANGGAL],MATCH(,INDIRECT(ADDRESS(ROW(NOTA[TANGGAL]),COLUMN(NOTA[TANGGAL]))&amp;":"&amp;ADDRESS(ROW(),COLUMN(NOTA[TANGGAL]))),-1)))</f>
        <v>44953</v>
      </c>
      <c r="AH757" s="57" t="str">
        <f ca="1">IF(NOTA[[#This Row],[NAMA BARANG]]="","",INDEX(NOTA[SUPPLIER],MATCH(,INDIRECT(ADDRESS(ROW(NOTA[ID]),COLUMN(NOTA[ID]))&amp;":"&amp;ADDRESS(ROW(),COLUMN(NOTA[ID]))),-1)))</f>
        <v>TFS</v>
      </c>
      <c r="AI757" s="57" t="str">
        <f ca="1">IF(NOTA[[#This Row],[ID_H]]="","",IF(NOTA[[#This Row],[FAKTUR]]="",INDIRECT(ADDRESS(ROW()-1,COLUMN())),NOTA[[#This Row],[FAKTUR]]))</f>
        <v>UNTANA</v>
      </c>
      <c r="AJ757" s="38">
        <f ca="1">IF(NOTA[[#This Row],[ID]]="","",COUNTIF(NOTA[ID_H],NOTA[[#This Row],[ID_H]]))</f>
        <v>7</v>
      </c>
      <c r="AK757" s="38">
        <f>IF(NOTA[[#This Row],[TGL.NOTA]]="",IF(NOTA[[#This Row],[SUPPLIER_H]]="","",AK756),MONTH(NOTA[[#This Row],[TGL.NOTA]]))</f>
        <v>1</v>
      </c>
      <c r="AL757" s="38" t="str">
        <f>LOWER(SUBSTITUTE(SUBSTITUTE(SUBSTITUTE(SUBSTITUTE(SUBSTITUTE(SUBSTITUTE(SUBSTITUTE(SUBSTITUTE(SUBSTITUTE(NOTA[NAMA BARANG]," ",),".",""),"-",""),"(",""),")",""),",",""),"/",""),"""",""),"+",""))</f>
        <v>zipperfile192btwarnablue</v>
      </c>
      <c r="AM757" s="38" t="str">
        <f>IF(NOTA[C]="",NOTA[[#This Row],[CONCAT1]]&amp;NOTA[[#This Row],[HARGA SATUAN]],NOTA[[#This Row],[CONCAT1]]&amp;NOTA[[#This Row],[HARGA/ CTN_H]]&amp;NOTA[[#This Row],[DISC 1]]&amp;NOTA[[#This Row],[DISC 2]])</f>
        <v>zipperfile192btwarnablue2880000</v>
      </c>
      <c r="AN757" s="184">
        <f>IF(NOTA[[#This Row],[CONCAT1]]="","",MATCH(NOTA[[#This Row],[CONCAT1]],[1]!db[NB NOTA_C],0)+1)</f>
        <v>2114</v>
      </c>
    </row>
    <row r="758" spans="1:40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Row],[CEK_EXP]]&lt;D757,"err","")</f>
        <v/>
      </c>
      <c r="D758" s="50">
        <f>IF(NOTA[[#This Row],[TANGGAL]]="",D757,NOTA[[#This Row],[TANGGAL]])</f>
        <v>44953</v>
      </c>
      <c r="E758" s="50">
        <f ca="1">IF(NOTA[[#This Row],[NAMA BARANG]]="","",INDEX(NOTA[ID],MATCH(,INDIRECT(ADDRESS(ROW(NOTA[ID]),COLUMN(NOTA[ID]))&amp;":"&amp;ADDRESS(ROW(),COLUMN(NOTA[ID]))),-1)))</f>
        <v>144</v>
      </c>
      <c r="F758" s="23"/>
      <c r="G758" s="26"/>
      <c r="H758" s="26"/>
      <c r="I758" s="31"/>
      <c r="J758" s="26"/>
      <c r="K758" s="51"/>
      <c r="L758" s="26"/>
      <c r="M758" s="26" t="s">
        <v>865</v>
      </c>
      <c r="N758" s="63">
        <v>4</v>
      </c>
      <c r="O758" s="62">
        <v>960</v>
      </c>
      <c r="P758" s="26" t="s">
        <v>104</v>
      </c>
      <c r="Q758" s="57">
        <v>12000</v>
      </c>
      <c r="R758" s="52"/>
      <c r="S758" s="39" t="s">
        <v>756</v>
      </c>
      <c r="T758" s="53"/>
      <c r="U758" s="53"/>
      <c r="V758" s="54"/>
      <c r="W758" s="37"/>
      <c r="X758" s="54">
        <f>IF(NOTA[[#This Row],[HARGA/ CTN]]="",NOTA[[#This Row],[JUMLAH_H]],NOTA[[#This Row],[HARGA/ CTN]]*IF(NOTA[[#This Row],[C]]="",0,NOTA[[#This Row],[C]]))</f>
        <v>11520000</v>
      </c>
      <c r="Y758" s="54">
        <f>IF(NOTA[[#This Row],[JUMLAH]]="","",NOTA[[#This Row],[JUMLAH]]*NOTA[[#This Row],[DISC 1]])</f>
        <v>0</v>
      </c>
      <c r="Z758" s="54">
        <f>IF(NOTA[[#This Row],[JUMLAH]]="","",(NOTA[[#This Row],[JUMLAH]]-NOTA[[#This Row],[DISC 1-]])*NOTA[[#This Row],[DISC 2]])</f>
        <v>0</v>
      </c>
      <c r="AA758" s="54">
        <f>IF(NOTA[[#This Row],[JUMLAH]]="","",NOTA[[#This Row],[DISC 1-]]+NOTA[[#This Row],[DISC 2-]])</f>
        <v>0</v>
      </c>
      <c r="AB758" s="54">
        <f>IF(NOTA[[#This Row],[JUMLAH]]="","",NOTA[[#This Row],[JUMLAH]]-NOTA[[#This Row],[DISC]])</f>
        <v>11520000</v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58" s="54">
        <f>IF(OR(NOTA[[#This Row],[QTY]]="",NOTA[[#This Row],[HARGA SATUAN]]="",),"",NOTA[[#This Row],[QTY]]*NOTA[[#This Row],[HARGA SATUAN]])</f>
        <v>11520000</v>
      </c>
      <c r="AG758" s="51">
        <f ca="1">IF(NOTA[ID_H]="","",INDEX(NOTA[TANGGAL],MATCH(,INDIRECT(ADDRESS(ROW(NOTA[TANGGAL]),COLUMN(NOTA[TANGGAL]))&amp;":"&amp;ADDRESS(ROW(),COLUMN(NOTA[TANGGAL]))),-1)))</f>
        <v>44953</v>
      </c>
      <c r="AH758" s="49" t="str">
        <f ca="1">IF(NOTA[[#This Row],[NAMA BARANG]]="","",INDEX(NOTA[SUPPLIER],MATCH(,INDIRECT(ADDRESS(ROW(NOTA[ID]),COLUMN(NOTA[ID]))&amp;":"&amp;ADDRESS(ROW(),COLUMN(NOTA[ID]))),-1)))</f>
        <v>TFS</v>
      </c>
      <c r="AI758" s="49" t="str">
        <f ca="1">IF(NOTA[[#This Row],[ID_H]]="","",IF(NOTA[[#This Row],[FAKTUR]]="",INDIRECT(ADDRESS(ROW()-1,COLUMN())),NOTA[[#This Row],[FAKTUR]]))</f>
        <v>UNTANA</v>
      </c>
      <c r="AJ758" s="38" t="str">
        <f ca="1">IF(NOTA[[#This Row],[ID]]="","",COUNTIF(NOTA[ID_H],NOTA[[#This Row],[ID_H]]))</f>
        <v/>
      </c>
      <c r="AK758" s="38">
        <f ca="1">IF(NOTA[[#This Row],[TGL.NOTA]]="",IF(NOTA[[#This Row],[SUPPLIER_H]]="","",AK757),MONTH(NOTA[[#This Row],[TGL.NOTA]]))</f>
        <v>1</v>
      </c>
      <c r="AL758" s="38" t="str">
        <f>LOWER(SUBSTITUTE(SUBSTITUTE(SUBSTITUTE(SUBSTITUTE(SUBSTITUTE(SUBSTITUTE(SUBSTITUTE(SUBSTITUTE(SUBSTITUTE(NOTA[NAMA BARANG]," ",),".",""),"-",""),"(",""),")",""),",",""),"/",""),"""",""),"+",""))</f>
        <v>zipperfile192btwarnagreen</v>
      </c>
      <c r="AM758" s="38" t="str">
        <f>IF(NOTA[C]="",NOTA[[#This Row],[CONCAT1]]&amp;NOTA[[#This Row],[HARGA SATUAN]],NOTA[[#This Row],[CONCAT1]]&amp;NOTA[[#This Row],[HARGA/ CTN_H]]&amp;NOTA[[#This Row],[DISC 1]]&amp;NOTA[[#This Row],[DISC 2]])</f>
        <v>zipperfile192btwarnagreen2880000</v>
      </c>
      <c r="AN758" s="184">
        <f>IF(NOTA[[#This Row],[CONCAT1]]="","",MATCH(NOTA[[#This Row],[CONCAT1]],[1]!db[NB NOTA_C],0)+1)</f>
        <v>2115</v>
      </c>
    </row>
    <row r="759" spans="1:40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Row],[CEK_EXP]]&lt;D758,"err","")</f>
        <v/>
      </c>
      <c r="D759" s="50">
        <f>IF(NOTA[[#This Row],[TANGGAL]]="",D758,NOTA[[#This Row],[TANGGAL]])</f>
        <v>44953</v>
      </c>
      <c r="E759" s="50">
        <f ca="1">IF(NOTA[[#This Row],[NAMA BARANG]]="","",INDEX(NOTA[ID],MATCH(,INDIRECT(ADDRESS(ROW(NOTA[ID]),COLUMN(NOTA[ID]))&amp;":"&amp;ADDRESS(ROW(),COLUMN(NOTA[ID]))),-1)))</f>
        <v>144</v>
      </c>
      <c r="F759" s="23"/>
      <c r="G759" s="26"/>
      <c r="H759" s="26"/>
      <c r="I759" s="31"/>
      <c r="J759" s="26"/>
      <c r="K759" s="51"/>
      <c r="L759" s="26"/>
      <c r="M759" s="26" t="s">
        <v>866</v>
      </c>
      <c r="N759" s="63">
        <v>4</v>
      </c>
      <c r="O759" s="62">
        <v>960</v>
      </c>
      <c r="P759" s="26" t="s">
        <v>104</v>
      </c>
      <c r="Q759" s="57">
        <v>12000</v>
      </c>
      <c r="R759" s="52"/>
      <c r="S759" s="39" t="s">
        <v>756</v>
      </c>
      <c r="T759" s="53"/>
      <c r="U759" s="53"/>
      <c r="V759" s="54"/>
      <c r="W759" s="37"/>
      <c r="X759" s="54">
        <f>IF(NOTA[[#This Row],[HARGA/ CTN]]="",NOTA[[#This Row],[JUMLAH_H]],NOTA[[#This Row],[HARGA/ CTN]]*IF(NOTA[[#This Row],[C]]="",0,NOTA[[#This Row],[C]]))</f>
        <v>11520000</v>
      </c>
      <c r="Y759" s="54">
        <f>IF(NOTA[[#This Row],[JUMLAH]]="","",NOTA[[#This Row],[JUMLAH]]*NOTA[[#This Row],[DISC 1]])</f>
        <v>0</v>
      </c>
      <c r="Z759" s="54">
        <f>IF(NOTA[[#This Row],[JUMLAH]]="","",(NOTA[[#This Row],[JUMLAH]]-NOTA[[#This Row],[DISC 1-]])*NOTA[[#This Row],[DISC 2]])</f>
        <v>0</v>
      </c>
      <c r="AA759" s="54">
        <f>IF(NOTA[[#This Row],[JUMLAH]]="","",NOTA[[#This Row],[DISC 1-]]+NOTA[[#This Row],[DISC 2-]])</f>
        <v>0</v>
      </c>
      <c r="AB759" s="54">
        <f>IF(NOTA[[#This Row],[JUMLAH]]="","",NOTA[[#This Row],[JUMLAH]]-NOTA[[#This Row],[DISC]])</f>
        <v>11520000</v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59" s="54">
        <f>IF(OR(NOTA[[#This Row],[QTY]]="",NOTA[[#This Row],[HARGA SATUAN]]="",),"",NOTA[[#This Row],[QTY]]*NOTA[[#This Row],[HARGA SATUAN]])</f>
        <v>11520000</v>
      </c>
      <c r="AG759" s="51">
        <f ca="1">IF(NOTA[ID_H]="","",INDEX(NOTA[TANGGAL],MATCH(,INDIRECT(ADDRESS(ROW(NOTA[TANGGAL]),COLUMN(NOTA[TANGGAL]))&amp;":"&amp;ADDRESS(ROW(),COLUMN(NOTA[TANGGAL]))),-1)))</f>
        <v>44953</v>
      </c>
      <c r="AH759" s="49" t="str">
        <f ca="1">IF(NOTA[[#This Row],[NAMA BARANG]]="","",INDEX(NOTA[SUPPLIER],MATCH(,INDIRECT(ADDRESS(ROW(NOTA[ID]),COLUMN(NOTA[ID]))&amp;":"&amp;ADDRESS(ROW(),COLUMN(NOTA[ID]))),-1)))</f>
        <v>TFS</v>
      </c>
      <c r="AI759" s="49" t="str">
        <f ca="1">IF(NOTA[[#This Row],[ID_H]]="","",IF(NOTA[[#This Row],[FAKTUR]]="",INDIRECT(ADDRESS(ROW()-1,COLUMN())),NOTA[[#This Row],[FAKTUR]]))</f>
        <v>UNTANA</v>
      </c>
      <c r="AJ759" s="38" t="str">
        <f ca="1">IF(NOTA[[#This Row],[ID]]="","",COUNTIF(NOTA[ID_H],NOTA[[#This Row],[ID_H]]))</f>
        <v/>
      </c>
      <c r="AK759" s="38">
        <f ca="1">IF(NOTA[[#This Row],[TGL.NOTA]]="",IF(NOTA[[#This Row],[SUPPLIER_H]]="","",AK758),MONTH(NOTA[[#This Row],[TGL.NOTA]]))</f>
        <v>1</v>
      </c>
      <c r="AL759" s="38" t="str">
        <f>LOWER(SUBSTITUTE(SUBSTITUTE(SUBSTITUTE(SUBSTITUTE(SUBSTITUTE(SUBSTITUTE(SUBSTITUTE(SUBSTITUTE(SUBSTITUTE(NOTA[NAMA BARANG]," ",),".",""),"-",""),"(",""),")",""),",",""),"/",""),"""",""),"+",""))</f>
        <v>zipperfile192btwarnared</v>
      </c>
      <c r="AM759" s="38" t="str">
        <f>IF(NOTA[C]="",NOTA[[#This Row],[CONCAT1]]&amp;NOTA[[#This Row],[HARGA SATUAN]],NOTA[[#This Row],[CONCAT1]]&amp;NOTA[[#This Row],[HARGA/ CTN_H]]&amp;NOTA[[#This Row],[DISC 1]]&amp;NOTA[[#This Row],[DISC 2]])</f>
        <v>zipperfile192btwarnared2880000</v>
      </c>
      <c r="AN759" s="184">
        <f>IF(NOTA[[#This Row],[CONCAT1]]="","",MATCH(NOTA[[#This Row],[CONCAT1]],[1]!db[NB NOTA_C],0)+1)</f>
        <v>2118</v>
      </c>
    </row>
    <row r="760" spans="1:40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Row],[CEK_EXP]]&lt;D759,"err","")</f>
        <v/>
      </c>
      <c r="D760" s="50">
        <f>IF(NOTA[[#This Row],[TANGGAL]]="",D759,NOTA[[#This Row],[TANGGAL]])</f>
        <v>44953</v>
      </c>
      <c r="E760" s="50">
        <f ca="1">IF(NOTA[[#This Row],[NAMA BARANG]]="","",INDEX(NOTA[ID],MATCH(,INDIRECT(ADDRESS(ROW(NOTA[ID]),COLUMN(NOTA[ID]))&amp;":"&amp;ADDRESS(ROW(),COLUMN(NOTA[ID]))),-1)))</f>
        <v>144</v>
      </c>
      <c r="F760" s="23"/>
      <c r="G760" s="26"/>
      <c r="H760" s="26"/>
      <c r="I760" s="31"/>
      <c r="J760" s="26"/>
      <c r="K760" s="51"/>
      <c r="L760" s="26"/>
      <c r="M760" s="26" t="s">
        <v>867</v>
      </c>
      <c r="N760" s="63">
        <v>3</v>
      </c>
      <c r="O760" s="62">
        <v>720</v>
      </c>
      <c r="P760" s="26" t="s">
        <v>104</v>
      </c>
      <c r="Q760" s="57">
        <v>12000</v>
      </c>
      <c r="R760" s="52"/>
      <c r="S760" s="39" t="s">
        <v>756</v>
      </c>
      <c r="T760" s="53"/>
      <c r="U760" s="53"/>
      <c r="V760" s="54"/>
      <c r="W760" s="37"/>
      <c r="X760" s="54">
        <f>IF(NOTA[[#This Row],[HARGA/ CTN]]="",NOTA[[#This Row],[JUMLAH_H]],NOTA[[#This Row],[HARGA/ CTN]]*IF(NOTA[[#This Row],[C]]="",0,NOTA[[#This Row],[C]]))</f>
        <v>8640000</v>
      </c>
      <c r="Y760" s="54">
        <f>IF(NOTA[[#This Row],[JUMLAH]]="","",NOTA[[#This Row],[JUMLAH]]*NOTA[[#This Row],[DISC 1]])</f>
        <v>0</v>
      </c>
      <c r="Z760" s="54">
        <f>IF(NOTA[[#This Row],[JUMLAH]]="","",(NOTA[[#This Row],[JUMLAH]]-NOTA[[#This Row],[DISC 1-]])*NOTA[[#This Row],[DISC 2]])</f>
        <v>0</v>
      </c>
      <c r="AA760" s="54">
        <f>IF(NOTA[[#This Row],[JUMLAH]]="","",NOTA[[#This Row],[DISC 1-]]+NOTA[[#This Row],[DISC 2-]])</f>
        <v>0</v>
      </c>
      <c r="AB760" s="54">
        <f>IF(NOTA[[#This Row],[JUMLAH]]="","",NOTA[[#This Row],[JUMLAH]]-NOTA[[#This Row],[DISC]])</f>
        <v>8640000</v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60" s="54">
        <f>IF(OR(NOTA[[#This Row],[QTY]]="",NOTA[[#This Row],[HARGA SATUAN]]="",),"",NOTA[[#This Row],[QTY]]*NOTA[[#This Row],[HARGA SATUAN]])</f>
        <v>8640000</v>
      </c>
      <c r="AG760" s="51">
        <f ca="1">IF(NOTA[ID_H]="","",INDEX(NOTA[TANGGAL],MATCH(,INDIRECT(ADDRESS(ROW(NOTA[TANGGAL]),COLUMN(NOTA[TANGGAL]))&amp;":"&amp;ADDRESS(ROW(),COLUMN(NOTA[TANGGAL]))),-1)))</f>
        <v>44953</v>
      </c>
      <c r="AH760" s="49" t="str">
        <f ca="1">IF(NOTA[[#This Row],[NAMA BARANG]]="","",INDEX(NOTA[SUPPLIER],MATCH(,INDIRECT(ADDRESS(ROW(NOTA[ID]),COLUMN(NOTA[ID]))&amp;":"&amp;ADDRESS(ROW(),COLUMN(NOTA[ID]))),-1)))</f>
        <v>TFS</v>
      </c>
      <c r="AI760" s="49" t="str">
        <f ca="1">IF(NOTA[[#This Row],[ID_H]]="","",IF(NOTA[[#This Row],[FAKTUR]]="",INDIRECT(ADDRESS(ROW()-1,COLUMN())),NOTA[[#This Row],[FAKTUR]]))</f>
        <v>UNTANA</v>
      </c>
      <c r="AJ760" s="38" t="str">
        <f ca="1">IF(NOTA[[#This Row],[ID]]="","",COUNTIF(NOTA[ID_H],NOTA[[#This Row],[ID_H]]))</f>
        <v/>
      </c>
      <c r="AK760" s="38">
        <f ca="1">IF(NOTA[[#This Row],[TGL.NOTA]]="",IF(NOTA[[#This Row],[SUPPLIER_H]]="","",AK759),MONTH(NOTA[[#This Row],[TGL.NOTA]]))</f>
        <v>1</v>
      </c>
      <c r="AL760" s="38" t="str">
        <f>LOWER(SUBSTITUTE(SUBSTITUTE(SUBSTITUTE(SUBSTITUTE(SUBSTITUTE(SUBSTITUTE(SUBSTITUTE(SUBSTITUTE(SUBSTITUTE(NOTA[NAMA BARANG]," ",),".",""),"-",""),"(",""),")",""),",",""),"/",""),"""",""),"+",""))</f>
        <v>zipperfile192btwarnayellow</v>
      </c>
      <c r="AM760" s="38" t="str">
        <f>IF(NOTA[C]="",NOTA[[#This Row],[CONCAT1]]&amp;NOTA[[#This Row],[HARGA SATUAN]],NOTA[[#This Row],[CONCAT1]]&amp;NOTA[[#This Row],[HARGA/ CTN_H]]&amp;NOTA[[#This Row],[DISC 1]]&amp;NOTA[[#This Row],[DISC 2]])</f>
        <v>zipperfile192btwarnayellow2880000</v>
      </c>
      <c r="AN760" s="184">
        <f>IF(NOTA[[#This Row],[CONCAT1]]="","",MATCH(NOTA[[#This Row],[CONCAT1]],[1]!db[NB NOTA_C],0)+1)</f>
        <v>2119</v>
      </c>
    </row>
    <row r="761" spans="1:40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Row],[CEK_EXP]]&lt;D760,"err","")</f>
        <v/>
      </c>
      <c r="D761" s="50">
        <f>IF(NOTA[[#This Row],[TANGGAL]]="",D760,NOTA[[#This Row],[TANGGAL]])</f>
        <v>44953</v>
      </c>
      <c r="E761" s="50">
        <f ca="1">IF(NOTA[[#This Row],[NAMA BARANG]]="","",INDEX(NOTA[ID],MATCH(,INDIRECT(ADDRESS(ROW(NOTA[ID]),COLUMN(NOTA[ID]))&amp;":"&amp;ADDRESS(ROW(),COLUMN(NOTA[ID]))),-1)))</f>
        <v>144</v>
      </c>
      <c r="F761" s="23"/>
      <c r="G761" s="26"/>
      <c r="H761" s="26"/>
      <c r="I761" s="31"/>
      <c r="J761" s="26"/>
      <c r="K761" s="51"/>
      <c r="L761" s="26"/>
      <c r="M761" s="26" t="s">
        <v>868</v>
      </c>
      <c r="N761" s="63">
        <v>2</v>
      </c>
      <c r="O761" s="62">
        <v>480</v>
      </c>
      <c r="P761" s="26" t="s">
        <v>104</v>
      </c>
      <c r="Q761" s="57">
        <v>12000</v>
      </c>
      <c r="R761" s="52"/>
      <c r="S761" s="39" t="s">
        <v>756</v>
      </c>
      <c r="T761" s="53"/>
      <c r="U761" s="53"/>
      <c r="V761" s="54"/>
      <c r="W761" s="37"/>
      <c r="X761" s="54">
        <f>IF(NOTA[[#This Row],[HARGA/ CTN]]="",NOTA[[#This Row],[JUMLAH_H]],NOTA[[#This Row],[HARGA/ CTN]]*IF(NOTA[[#This Row],[C]]="",0,NOTA[[#This Row],[C]]))</f>
        <v>5760000</v>
      </c>
      <c r="Y761" s="54">
        <f>IF(NOTA[[#This Row],[JUMLAH]]="","",NOTA[[#This Row],[JUMLAH]]*NOTA[[#This Row],[DISC 1]])</f>
        <v>0</v>
      </c>
      <c r="Z761" s="54">
        <f>IF(NOTA[[#This Row],[JUMLAH]]="","",(NOTA[[#This Row],[JUMLAH]]-NOTA[[#This Row],[DISC 1-]])*NOTA[[#This Row],[DISC 2]])</f>
        <v>0</v>
      </c>
      <c r="AA761" s="54">
        <f>IF(NOTA[[#This Row],[JUMLAH]]="","",NOTA[[#This Row],[DISC 1-]]+NOTA[[#This Row],[DISC 2-]])</f>
        <v>0</v>
      </c>
      <c r="AB761" s="54">
        <f>IF(NOTA[[#This Row],[JUMLAH]]="","",NOTA[[#This Row],[JUMLAH]]-NOTA[[#This Row],[DISC]])</f>
        <v>5760000</v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61" s="54">
        <f>IF(OR(NOTA[[#This Row],[QTY]]="",NOTA[[#This Row],[HARGA SATUAN]]="",),"",NOTA[[#This Row],[QTY]]*NOTA[[#This Row],[HARGA SATUAN]])</f>
        <v>5760000</v>
      </c>
      <c r="AG761" s="51">
        <f ca="1">IF(NOTA[ID_H]="","",INDEX(NOTA[TANGGAL],MATCH(,INDIRECT(ADDRESS(ROW(NOTA[TANGGAL]),COLUMN(NOTA[TANGGAL]))&amp;":"&amp;ADDRESS(ROW(),COLUMN(NOTA[TANGGAL]))),-1)))</f>
        <v>44953</v>
      </c>
      <c r="AH761" s="49" t="str">
        <f ca="1">IF(NOTA[[#This Row],[NAMA BARANG]]="","",INDEX(NOTA[SUPPLIER],MATCH(,INDIRECT(ADDRESS(ROW(NOTA[ID]),COLUMN(NOTA[ID]))&amp;":"&amp;ADDRESS(ROW(),COLUMN(NOTA[ID]))),-1)))</f>
        <v>TFS</v>
      </c>
      <c r="AI761" s="49" t="str">
        <f ca="1">IF(NOTA[[#This Row],[ID_H]]="","",IF(NOTA[[#This Row],[FAKTUR]]="",INDIRECT(ADDRESS(ROW()-1,COLUMN())),NOTA[[#This Row],[FAKTUR]]))</f>
        <v>UNTANA</v>
      </c>
      <c r="AJ761" s="38" t="str">
        <f ca="1">IF(NOTA[[#This Row],[ID]]="","",COUNTIF(NOTA[ID_H],NOTA[[#This Row],[ID_H]]))</f>
        <v/>
      </c>
      <c r="AK761" s="38">
        <f ca="1">IF(NOTA[[#This Row],[TGL.NOTA]]="",IF(NOTA[[#This Row],[SUPPLIER_H]]="","",AK760),MONTH(NOTA[[#This Row],[TGL.NOTA]]))</f>
        <v>1</v>
      </c>
      <c r="AL761" s="38" t="str">
        <f>LOWER(SUBSTITUTE(SUBSTITUTE(SUBSTITUTE(SUBSTITUTE(SUBSTITUTE(SUBSTITUTE(SUBSTITUTE(SUBSTITUTE(SUBSTITUTE(NOTA[NAMA BARANG]," ",),".",""),"-",""),"(",""),")",""),",",""),"/",""),"""",""),"+",""))</f>
        <v>zipperfile192btwarnapurple</v>
      </c>
      <c r="AM761" s="38" t="str">
        <f>IF(NOTA[C]="",NOTA[[#This Row],[CONCAT1]]&amp;NOTA[[#This Row],[HARGA SATUAN]],NOTA[[#This Row],[CONCAT1]]&amp;NOTA[[#This Row],[HARGA/ CTN_H]]&amp;NOTA[[#This Row],[DISC 1]]&amp;NOTA[[#This Row],[DISC 2]])</f>
        <v>zipperfile192btwarnapurple2880000</v>
      </c>
      <c r="AN761" s="184">
        <f>IF(NOTA[[#This Row],[CONCAT1]]="","",MATCH(NOTA[[#This Row],[CONCAT1]],[1]!db[NB NOTA_C],0)+1)</f>
        <v>2117</v>
      </c>
    </row>
    <row r="762" spans="1:40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Row],[CEK_EXP]]&lt;D761,"err","")</f>
        <v/>
      </c>
      <c r="D762" s="50">
        <f>IF(NOTA[[#This Row],[TANGGAL]]="",D761,NOTA[[#This Row],[TANGGAL]])</f>
        <v>44953</v>
      </c>
      <c r="E762" s="50">
        <f ca="1">IF(NOTA[[#This Row],[NAMA BARANG]]="","",INDEX(NOTA[ID],MATCH(,INDIRECT(ADDRESS(ROW(NOTA[ID]),COLUMN(NOTA[ID]))&amp;":"&amp;ADDRESS(ROW(),COLUMN(NOTA[ID]))),-1)))</f>
        <v>144</v>
      </c>
      <c r="F762" s="23"/>
      <c r="G762" s="26"/>
      <c r="H762" s="26"/>
      <c r="I762" s="31"/>
      <c r="J762" s="26"/>
      <c r="K762" s="51"/>
      <c r="L762" s="26"/>
      <c r="M762" s="26" t="s">
        <v>869</v>
      </c>
      <c r="N762" s="39">
        <v>3</v>
      </c>
      <c r="O762" s="62">
        <v>720</v>
      </c>
      <c r="P762" s="26" t="s">
        <v>104</v>
      </c>
      <c r="Q762" s="57">
        <v>12000</v>
      </c>
      <c r="R762" s="52"/>
      <c r="S762" s="39" t="s">
        <v>756</v>
      </c>
      <c r="T762" s="53"/>
      <c r="U762" s="53"/>
      <c r="V762" s="54"/>
      <c r="W762" s="37"/>
      <c r="X762" s="54">
        <f>IF(NOTA[[#This Row],[HARGA/ CTN]]="",NOTA[[#This Row],[JUMLAH_H]],NOTA[[#This Row],[HARGA/ CTN]]*IF(NOTA[[#This Row],[C]]="",0,NOTA[[#This Row],[C]]))</f>
        <v>8640000</v>
      </c>
      <c r="Y762" s="54">
        <f>IF(NOTA[[#This Row],[JUMLAH]]="","",NOTA[[#This Row],[JUMLAH]]*NOTA[[#This Row],[DISC 1]])</f>
        <v>0</v>
      </c>
      <c r="Z762" s="54">
        <f>IF(NOTA[[#This Row],[JUMLAH]]="","",(NOTA[[#This Row],[JUMLAH]]-NOTA[[#This Row],[DISC 1-]])*NOTA[[#This Row],[DISC 2]])</f>
        <v>0</v>
      </c>
      <c r="AA762" s="54">
        <f>IF(NOTA[[#This Row],[JUMLAH]]="","",NOTA[[#This Row],[DISC 1-]]+NOTA[[#This Row],[DISC 2-]])</f>
        <v>0</v>
      </c>
      <c r="AB762" s="54">
        <f>IF(NOTA[[#This Row],[JUMLAH]]="","",NOTA[[#This Row],[JUMLAH]]-NOTA[[#This Row],[DISC]])</f>
        <v>8640000</v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62" s="54">
        <f>IF(OR(NOTA[[#This Row],[QTY]]="",NOTA[[#This Row],[HARGA SATUAN]]="",),"",NOTA[[#This Row],[QTY]]*NOTA[[#This Row],[HARGA SATUAN]])</f>
        <v>8640000</v>
      </c>
      <c r="AG762" s="51">
        <f ca="1">IF(NOTA[ID_H]="","",INDEX(NOTA[TANGGAL],MATCH(,INDIRECT(ADDRESS(ROW(NOTA[TANGGAL]),COLUMN(NOTA[TANGGAL]))&amp;":"&amp;ADDRESS(ROW(),COLUMN(NOTA[TANGGAL]))),-1)))</f>
        <v>44953</v>
      </c>
      <c r="AH762" s="49" t="str">
        <f ca="1">IF(NOTA[[#This Row],[NAMA BARANG]]="","",INDEX(NOTA[SUPPLIER],MATCH(,INDIRECT(ADDRESS(ROW(NOTA[ID]),COLUMN(NOTA[ID]))&amp;":"&amp;ADDRESS(ROW(),COLUMN(NOTA[ID]))),-1)))</f>
        <v>TFS</v>
      </c>
      <c r="AI762" s="49" t="str">
        <f ca="1">IF(NOTA[[#This Row],[ID_H]]="","",IF(NOTA[[#This Row],[FAKTUR]]="",INDIRECT(ADDRESS(ROW()-1,COLUMN())),NOTA[[#This Row],[FAKTUR]]))</f>
        <v>UNTANA</v>
      </c>
      <c r="AJ762" s="38" t="str">
        <f ca="1">IF(NOTA[[#This Row],[ID]]="","",COUNTIF(NOTA[ID_H],NOTA[[#This Row],[ID_H]]))</f>
        <v/>
      </c>
      <c r="AK762" s="38">
        <f ca="1">IF(NOTA[[#This Row],[TGL.NOTA]]="",IF(NOTA[[#This Row],[SUPPLIER_H]]="","",AK761),MONTH(NOTA[[#This Row],[TGL.NOTA]]))</f>
        <v>1</v>
      </c>
      <c r="AL762" s="38" t="str">
        <f>LOWER(SUBSTITUTE(SUBSTITUTE(SUBSTITUTE(SUBSTITUTE(SUBSTITUTE(SUBSTITUTE(SUBSTITUTE(SUBSTITUTE(SUBSTITUTE(NOTA[NAMA BARANG]," ",),".",""),"-",""),"(",""),")",""),",",""),"/",""),"""",""),"+",""))</f>
        <v>zipperfile192btwarnaorange</v>
      </c>
      <c r="AM762" s="38" t="str">
        <f>IF(NOTA[C]="",NOTA[[#This Row],[CONCAT1]]&amp;NOTA[[#This Row],[HARGA SATUAN]],NOTA[[#This Row],[CONCAT1]]&amp;NOTA[[#This Row],[HARGA/ CTN_H]]&amp;NOTA[[#This Row],[DISC 1]]&amp;NOTA[[#This Row],[DISC 2]])</f>
        <v>zipperfile192btwarnaorange2880000</v>
      </c>
      <c r="AN762" s="184">
        <f>IF(NOTA[[#This Row],[CONCAT1]]="","",MATCH(NOTA[[#This Row],[CONCAT1]],[1]!db[NB NOTA_C],0)+1)</f>
        <v>2116</v>
      </c>
    </row>
    <row r="763" spans="1:40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Row],[CEK_EXP]]&lt;D762,"err","")</f>
        <v/>
      </c>
      <c r="D763" s="50">
        <f>IF(NOTA[[#This Row],[TANGGAL]]="",D762,NOTA[[#This Row],[TANGGAL]])</f>
        <v>44953</v>
      </c>
      <c r="E763" s="50">
        <f ca="1">IF(NOTA[[#This Row],[NAMA BARANG]]="","",INDEX(NOTA[ID],MATCH(,INDIRECT(ADDRESS(ROW(NOTA[ID]),COLUMN(NOTA[ID]))&amp;":"&amp;ADDRESS(ROW(),COLUMN(NOTA[ID]))),-1)))</f>
        <v>144</v>
      </c>
      <c r="F763" s="23"/>
      <c r="G763" s="26"/>
      <c r="H763" s="26"/>
      <c r="I763" s="31"/>
      <c r="J763" s="26"/>
      <c r="K763" s="51"/>
      <c r="L763" s="26"/>
      <c r="M763" s="26" t="s">
        <v>867</v>
      </c>
      <c r="N763" s="39">
        <v>1</v>
      </c>
      <c r="O763" s="26">
        <v>240</v>
      </c>
      <c r="P763" s="26" t="s">
        <v>104</v>
      </c>
      <c r="Q763" s="49">
        <v>0</v>
      </c>
      <c r="R763" s="52"/>
      <c r="S763" s="39" t="s">
        <v>756</v>
      </c>
      <c r="T763" s="53"/>
      <c r="U763" s="53"/>
      <c r="V763" s="54"/>
      <c r="W763" s="37"/>
      <c r="X763" s="54">
        <f>IF(NOTA[[#This Row],[HARGA/ CTN]]="",NOTA[[#This Row],[JUMLAH_H]],NOTA[[#This Row],[HARGA/ CTN]]*IF(NOTA[[#This Row],[C]]="",0,NOTA[[#This Row],[C]]))</f>
        <v>0</v>
      </c>
      <c r="Y763" s="54">
        <f>IF(NOTA[[#This Row],[JUMLAH]]="","",NOTA[[#This Row],[JUMLAH]]*NOTA[[#This Row],[DISC 1]])</f>
        <v>0</v>
      </c>
      <c r="Z763" s="54">
        <f>IF(NOTA[[#This Row],[JUMLAH]]="","",(NOTA[[#This Row],[JUMLAH]]-NOTA[[#This Row],[DISC 1-]])*NOTA[[#This Row],[DISC 2]])</f>
        <v>0</v>
      </c>
      <c r="AA763" s="54">
        <f>IF(NOTA[[#This Row],[JUMLAH]]="","",NOTA[[#This Row],[DISC 1-]]+NOTA[[#This Row],[DISC 2-]])</f>
        <v>0</v>
      </c>
      <c r="AB763" s="54">
        <f>IF(NOTA[[#This Row],[JUMLAH]]="","",NOTA[[#This Row],[JUMLAH]]-NOTA[[#This Row],[DISC]])</f>
        <v>0</v>
      </c>
      <c r="AC7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E7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3" s="54">
        <f>IF(OR(NOTA[[#This Row],[QTY]]="",NOTA[[#This Row],[HARGA SATUAN]]="",),"",NOTA[[#This Row],[QTY]]*NOTA[[#This Row],[HARGA SATUAN]])</f>
        <v>0</v>
      </c>
      <c r="AG763" s="51">
        <f ca="1">IF(NOTA[ID_H]="","",INDEX(NOTA[TANGGAL],MATCH(,INDIRECT(ADDRESS(ROW(NOTA[TANGGAL]),COLUMN(NOTA[TANGGAL]))&amp;":"&amp;ADDRESS(ROW(),COLUMN(NOTA[TANGGAL]))),-1)))</f>
        <v>44953</v>
      </c>
      <c r="AH763" s="49" t="str">
        <f ca="1">IF(NOTA[[#This Row],[NAMA BARANG]]="","",INDEX(NOTA[SUPPLIER],MATCH(,INDIRECT(ADDRESS(ROW(NOTA[ID]),COLUMN(NOTA[ID]))&amp;":"&amp;ADDRESS(ROW(),COLUMN(NOTA[ID]))),-1)))</f>
        <v>TFS</v>
      </c>
      <c r="AI763" s="49" t="str">
        <f ca="1">IF(NOTA[[#This Row],[ID_H]]="","",IF(NOTA[[#This Row],[FAKTUR]]="",INDIRECT(ADDRESS(ROW()-1,COLUMN())),NOTA[[#This Row],[FAKTUR]]))</f>
        <v>UNTANA</v>
      </c>
      <c r="AJ763" s="38" t="str">
        <f ca="1">IF(NOTA[[#This Row],[ID]]="","",COUNTIF(NOTA[ID_H],NOTA[[#This Row],[ID_H]]))</f>
        <v/>
      </c>
      <c r="AK763" s="38">
        <f ca="1">IF(NOTA[[#This Row],[TGL.NOTA]]="",IF(NOTA[[#This Row],[SUPPLIER_H]]="","",AK762),MONTH(NOTA[[#This Row],[TGL.NOTA]]))</f>
        <v>1</v>
      </c>
      <c r="AL763" s="38" t="str">
        <f>LOWER(SUBSTITUTE(SUBSTITUTE(SUBSTITUTE(SUBSTITUTE(SUBSTITUTE(SUBSTITUTE(SUBSTITUTE(SUBSTITUTE(SUBSTITUTE(NOTA[NAMA BARANG]," ",),".",""),"-",""),"(",""),")",""),",",""),"/",""),"""",""),"+",""))</f>
        <v>zipperfile192btwarnayellow</v>
      </c>
      <c r="AM763" s="38" t="str">
        <f>IF(NOTA[C]="",NOTA[[#This Row],[CONCAT1]]&amp;NOTA[[#This Row],[HARGA SATUAN]],NOTA[[#This Row],[CONCAT1]]&amp;NOTA[[#This Row],[HARGA/ CTN_H]]&amp;NOTA[[#This Row],[DISC 1]]&amp;NOTA[[#This Row],[DISC 2]])</f>
        <v>zipperfile192btwarnayellow0</v>
      </c>
      <c r="AN763" s="184">
        <f>IF(NOTA[[#This Row],[CONCAT1]]="","",MATCH(NOTA[[#This Row],[CONCAT1]],[1]!db[NB NOTA_C],0)+1)</f>
        <v>2119</v>
      </c>
    </row>
    <row r="764" spans="1:40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Row],[CEK_EXP]]&lt;D763,"err","")</f>
        <v/>
      </c>
      <c r="D764" s="50">
        <f>IF(NOTA[[#This Row],[TANGGAL]]="",D763,NOTA[[#This Row],[TANGGAL]])</f>
        <v>44953</v>
      </c>
      <c r="E764" s="50" t="str">
        <f ca="1">IF(NOTA[[#This Row],[NAMA BARANG]]="","",INDEX(NOTA[ID],MATCH(,INDIRECT(ADDRESS(ROW(NOTA[ID]),COLUMN(NOTA[ID]))&amp;":"&amp;ADDRESS(ROW(),COLUMN(NOTA[ID]))),-1)))</f>
        <v/>
      </c>
      <c r="F764" s="23"/>
      <c r="G764" s="26"/>
      <c r="H764" s="26"/>
      <c r="I764" s="31"/>
      <c r="J764" s="26"/>
      <c r="K764" s="51"/>
      <c r="L764" s="26"/>
      <c r="M764" s="26"/>
      <c r="N764" s="39"/>
      <c r="O764" s="26"/>
      <c r="P764" s="26"/>
      <c r="Q764" s="49"/>
      <c r="R764" s="52"/>
      <c r="S764" s="39"/>
      <c r="T764" s="53"/>
      <c r="U764" s="53"/>
      <c r="V764" s="54"/>
      <c r="W764" s="37"/>
      <c r="X764" s="54" t="str">
        <f>IF(NOTA[[#This Row],[HARGA/ CTN]]="",NOTA[[#This Row],[JUMLAH_H]],NOTA[[#This Row],[HARGA/ CTN]]*IF(NOTA[[#This Row],[C]]="",0,NOTA[[#This Row],[C]]))</f>
        <v/>
      </c>
      <c r="Y764" s="54" t="str">
        <f>IF(NOTA[[#This Row],[JUMLAH]]="","",NOTA[[#This Row],[JUMLAH]]*NOTA[[#This Row],[DISC 1]])</f>
        <v/>
      </c>
      <c r="Z764" s="54" t="str">
        <f>IF(NOTA[[#This Row],[JUMLAH]]="","",(NOTA[[#This Row],[JUMLAH]]-NOTA[[#This Row],[DISC 1-]])*NOTA[[#This Row],[DISC 2]])</f>
        <v/>
      </c>
      <c r="AA764" s="54" t="str">
        <f>IF(NOTA[[#This Row],[JUMLAH]]="","",NOTA[[#This Row],[DISC 1-]]+NOTA[[#This Row],[DISC 2-]])</f>
        <v/>
      </c>
      <c r="AB764" s="54" t="str">
        <f>IF(NOTA[[#This Row],[JUMLAH]]="","",NOTA[[#This Row],[JUMLAH]]-NOTA[[#This Row],[DISC]])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54" t="str">
        <f>IF(OR(NOTA[[#This Row],[QTY]]="",NOTA[[#This Row],[HARGA SATUAN]]="",),"",NOTA[[#This Row],[QTY]]*NOTA[[#This Row],[HARGA SATUAN]])</f>
        <v/>
      </c>
      <c r="AG764" s="51" t="str">
        <f ca="1">IF(NOTA[ID_H]="","",INDEX(NOTA[TANGGAL],MATCH(,INDIRECT(ADDRESS(ROW(NOTA[TANGGAL]),COLUMN(NOTA[TANGGAL]))&amp;":"&amp;ADDRESS(ROW(),COLUMN(NOTA[TANGGAL]))),-1)))</f>
        <v/>
      </c>
      <c r="AH764" s="49" t="str">
        <f ca="1">IF(NOTA[[#This Row],[NAMA BARANG]]="","",INDEX(NOTA[SUPPLIER],MATCH(,INDIRECT(ADDRESS(ROW(NOTA[ID]),COLUMN(NOTA[ID]))&amp;":"&amp;ADDRESS(ROW(),COLUMN(NOTA[ID]))),-1)))</f>
        <v/>
      </c>
      <c r="AI764" s="49" t="str">
        <f ca="1">IF(NOTA[[#This Row],[ID_H]]="","",IF(NOTA[[#This Row],[FAKTUR]]="",INDIRECT(ADDRESS(ROW()-1,COLUMN())),NOTA[[#This Row],[FAKTUR]]))</f>
        <v/>
      </c>
      <c r="AJ764" s="38" t="str">
        <f ca="1">IF(NOTA[[#This Row],[ID]]="","",COUNTIF(NOTA[ID_H],NOTA[[#This Row],[ID_H]]))</f>
        <v/>
      </c>
      <c r="AK764" s="38" t="str">
        <f ca="1">IF(NOTA[[#This Row],[TGL.NOTA]]="",IF(NOTA[[#This Row],[SUPPLIER_H]]="","",AK763),MONTH(NOTA[[#This Row],[TGL.NOTA]]))</f>
        <v/>
      </c>
      <c r="AL764" s="38" t="str">
        <f>LOWER(SUBSTITUTE(SUBSTITUTE(SUBSTITUTE(SUBSTITUTE(SUBSTITUTE(SUBSTITUTE(SUBSTITUTE(SUBSTITUTE(SUBSTITUTE(NOTA[NAMA BARANG]," ",),".",""),"-",""),"(",""),")",""),",",""),"/",""),"""",""),"+",""))</f>
        <v/>
      </c>
      <c r="AM764" s="38" t="str">
        <f>IF(NOTA[C]="",NOTA[[#This Row],[CONCAT1]]&amp;NOTA[[#This Row],[HARGA SATUAN]],NOTA[[#This Row],[CONCAT1]]&amp;NOTA[[#This Row],[HARGA/ CTN_H]]&amp;NOTA[[#This Row],[DISC 1]]&amp;NOTA[[#This Row],[DISC 2]])</f>
        <v/>
      </c>
      <c r="AN764" s="184" t="str">
        <f>IF(NOTA[[#This Row],[CONCAT1]]="","",MATCH(NOTA[[#This Row],[CONCAT1]],[1]!db[NB NOTA_C],0)+1)</f>
        <v/>
      </c>
    </row>
    <row r="765" spans="1:40" ht="20.100000000000001" customHeight="1" x14ac:dyDescent="0.25">
      <c r="A765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7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HON_2801_014-1</v>
      </c>
      <c r="C765" s="50" t="str">
        <f>IF(NOTA[[#This Row],[CEK_EXP]]&lt;D764,"err","")</f>
        <v/>
      </c>
      <c r="D765" s="50">
        <f>IF(NOTA[[#This Row],[TANGGAL]]="",D764,NOTA[[#This Row],[TANGGAL]])</f>
        <v>44954</v>
      </c>
      <c r="E765" s="50">
        <f ca="1">IF(NOTA[[#This Row],[NAMA BARANG]]="","",INDEX(NOTA[ID],MATCH(,INDIRECT(ADDRESS(ROW(NOTA[ID]),COLUMN(NOTA[ID]))&amp;":"&amp;ADDRESS(ROW(),COLUMN(NOTA[ID]))),-1)))</f>
        <v>145</v>
      </c>
      <c r="F765" s="23">
        <v>44954</v>
      </c>
      <c r="G765" s="26" t="s">
        <v>872</v>
      </c>
      <c r="H765" s="26" t="s">
        <v>87</v>
      </c>
      <c r="I765" s="31" t="s">
        <v>870</v>
      </c>
      <c r="J765" s="26"/>
      <c r="K765" s="51">
        <v>44954</v>
      </c>
      <c r="L765" s="26"/>
      <c r="M765" s="26" t="s">
        <v>871</v>
      </c>
      <c r="N765" s="39"/>
      <c r="O765" s="26">
        <v>36</v>
      </c>
      <c r="P765" s="26" t="s">
        <v>90</v>
      </c>
      <c r="Q765" s="49">
        <v>53000</v>
      </c>
      <c r="R765" s="52"/>
      <c r="S765" s="39"/>
      <c r="T765" s="53"/>
      <c r="U765" s="53"/>
      <c r="V765" s="54"/>
      <c r="W765" s="37"/>
      <c r="X765" s="54">
        <f>IF(NOTA[[#This Row],[HARGA/ CTN]]="",NOTA[[#This Row],[JUMLAH_H]],NOTA[[#This Row],[HARGA/ CTN]]*IF(NOTA[[#This Row],[C]]="",0,NOTA[[#This Row],[C]]))</f>
        <v>1908000</v>
      </c>
      <c r="Y765" s="54">
        <f>IF(NOTA[[#This Row],[JUMLAH]]="","",NOTA[[#This Row],[JUMLAH]]*NOTA[[#This Row],[DISC 1]])</f>
        <v>0</v>
      </c>
      <c r="Z765" s="54">
        <f>IF(NOTA[[#This Row],[JUMLAH]]="","",(NOTA[[#This Row],[JUMLAH]]-NOTA[[#This Row],[DISC 1-]])*NOTA[[#This Row],[DISC 2]])</f>
        <v>0</v>
      </c>
      <c r="AA765" s="54">
        <f>IF(NOTA[[#This Row],[JUMLAH]]="","",NOTA[[#This Row],[DISC 1-]]+NOTA[[#This Row],[DISC 2-]])</f>
        <v>0</v>
      </c>
      <c r="AB765" s="54">
        <f>IF(NOTA[[#This Row],[JUMLAH]]="","",NOTA[[#This Row],[JUMLAH]]-NOTA[[#This Row],[DISC]])</f>
        <v>1908000</v>
      </c>
      <c r="AC7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765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765" s="54">
        <f>IF(OR(NOTA[[#This Row],[QTY]]="",NOTA[[#This Row],[HARGA SATUAN]]="",),"",NOTA[[#This Row],[QTY]]*NOTA[[#This Row],[HARGA SATUAN]])</f>
        <v>1908000</v>
      </c>
      <c r="AG765" s="51">
        <f ca="1">IF(NOTA[ID_H]="","",INDEX(NOTA[TANGGAL],MATCH(,INDIRECT(ADDRESS(ROW(NOTA[TANGGAL]),COLUMN(NOTA[TANGGAL]))&amp;":"&amp;ADDRESS(ROW(),COLUMN(NOTA[TANGGAL]))),-1)))</f>
        <v>44954</v>
      </c>
      <c r="AH765" s="49" t="str">
        <f ca="1">IF(NOTA[[#This Row],[NAMA BARANG]]="","",INDEX(NOTA[SUPPLIER],MATCH(,INDIRECT(ADDRESS(ROW(NOTA[ID]),COLUMN(NOTA[ID]))&amp;":"&amp;ADDRESS(ROW(),COLUMN(NOTA[ID]))),-1)))</f>
        <v>HONGSIAN</v>
      </c>
      <c r="AI765" s="49" t="str">
        <f ca="1">IF(NOTA[[#This Row],[ID_H]]="","",IF(NOTA[[#This Row],[FAKTUR]]="",INDIRECT(ADDRESS(ROW()-1,COLUMN())),NOTA[[#This Row],[FAKTUR]]))</f>
        <v>UNTANA</v>
      </c>
      <c r="AJ765" s="38">
        <f ca="1">IF(NOTA[[#This Row],[ID]]="","",COUNTIF(NOTA[ID_H],NOTA[[#This Row],[ID_H]]))</f>
        <v>1</v>
      </c>
      <c r="AK765" s="38">
        <f>IF(NOTA[[#This Row],[TGL.NOTA]]="",IF(NOTA[[#This Row],[SUPPLIER_H]]="","",AK764),MONTH(NOTA[[#This Row],[TGL.NOTA]]))</f>
        <v>1</v>
      </c>
      <c r="AL765" s="38" t="str">
        <f>LOWER(SUBSTITUTE(SUBSTITUTE(SUBSTITUTE(SUBSTITUTE(SUBSTITUTE(SUBSTITUTE(SUBSTITUTE(SUBSTITUTE(SUBSTITUTE(NOTA[NAMA BARANG]," ",),".",""),"-",""),"(",""),")",""),",",""),"/",""),"""",""),"+",""))</f>
        <v>pch769</v>
      </c>
      <c r="AM765" s="38" t="str">
        <f>IF(NOTA[C]="",NOTA[[#This Row],[CONCAT1]]&amp;NOTA[[#This Row],[HARGA SATUAN]],NOTA[[#This Row],[CONCAT1]]&amp;NOTA[[#This Row],[HARGA/ CTN_H]]&amp;NOTA[[#This Row],[DISC 1]]&amp;NOTA[[#This Row],[DISC 2]])</f>
        <v>pch76953000</v>
      </c>
      <c r="AN765" s="184">
        <f>IF(NOTA[[#This Row],[CONCAT1]]="","",MATCH(NOTA[[#This Row],[CONCAT1]],[1]!db[NB NOTA_C],0)+1)</f>
        <v>1639</v>
      </c>
    </row>
    <row r="766" spans="1:40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Row],[CEK_EXP]]&lt;D765,"err","")</f>
        <v/>
      </c>
      <c r="D766" s="50">
        <f>IF(NOTA[[#This Row],[TANGGAL]]="",D765,NOTA[[#This Row],[TANGGAL]])</f>
        <v>44954</v>
      </c>
      <c r="E766" s="50" t="str">
        <f ca="1">IF(NOTA[[#This Row],[NAMA BARANG]]="","",INDEX(NOTA[ID],MATCH(,INDIRECT(ADDRESS(ROW(NOTA[ID]),COLUMN(NOTA[ID]))&amp;":"&amp;ADDRESS(ROW(),COLUMN(NOTA[ID]))),-1)))</f>
        <v/>
      </c>
      <c r="F766" s="23"/>
      <c r="G766" s="26"/>
      <c r="H766" s="26"/>
      <c r="I766" s="31"/>
      <c r="J766" s="26"/>
      <c r="K766" s="51"/>
      <c r="L766" s="26"/>
      <c r="M766" s="26"/>
      <c r="N766" s="39"/>
      <c r="O766" s="26"/>
      <c r="P766" s="26"/>
      <c r="Q766" s="49"/>
      <c r="R766" s="52"/>
      <c r="S766" s="39"/>
      <c r="T766" s="53"/>
      <c r="U766" s="53"/>
      <c r="V766" s="54"/>
      <c r="W766" s="37"/>
      <c r="X766" s="54" t="str">
        <f>IF(NOTA[[#This Row],[HARGA/ CTN]]="",NOTA[[#This Row],[JUMLAH_H]],NOTA[[#This Row],[HARGA/ CTN]]*IF(NOTA[[#This Row],[C]]="",0,NOTA[[#This Row],[C]]))</f>
        <v/>
      </c>
      <c r="Y766" s="54" t="str">
        <f>IF(NOTA[[#This Row],[JUMLAH]]="","",NOTA[[#This Row],[JUMLAH]]*NOTA[[#This Row],[DISC 1]])</f>
        <v/>
      </c>
      <c r="Z766" s="54" t="str">
        <f>IF(NOTA[[#This Row],[JUMLAH]]="","",(NOTA[[#This Row],[JUMLAH]]-NOTA[[#This Row],[DISC 1-]])*NOTA[[#This Row],[DISC 2]])</f>
        <v/>
      </c>
      <c r="AA766" s="54" t="str">
        <f>IF(NOTA[[#This Row],[JUMLAH]]="","",NOTA[[#This Row],[DISC 1-]]+NOTA[[#This Row],[DISC 2-]])</f>
        <v/>
      </c>
      <c r="AB766" s="54" t="str">
        <f>IF(NOTA[[#This Row],[JUMLAH]]="","",NOTA[[#This Row],[JUMLAH]]-NOTA[[#This Row],[DISC]])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54" t="str">
        <f>IF(OR(NOTA[[#This Row],[QTY]]="",NOTA[[#This Row],[HARGA SATUAN]]="",),"",NOTA[[#This Row],[QTY]]*NOTA[[#This Row],[HARGA SATUAN]])</f>
        <v/>
      </c>
      <c r="AG766" s="51" t="str">
        <f ca="1">IF(NOTA[ID_H]="","",INDEX(NOTA[TANGGAL],MATCH(,INDIRECT(ADDRESS(ROW(NOTA[TANGGAL]),COLUMN(NOTA[TANGGAL]))&amp;":"&amp;ADDRESS(ROW(),COLUMN(NOTA[TANGGAL]))),-1)))</f>
        <v/>
      </c>
      <c r="AH766" s="49" t="str">
        <f ca="1">IF(NOTA[[#This Row],[NAMA BARANG]]="","",INDEX(NOTA[SUPPLIER],MATCH(,INDIRECT(ADDRESS(ROW(NOTA[ID]),COLUMN(NOTA[ID]))&amp;":"&amp;ADDRESS(ROW(),COLUMN(NOTA[ID]))),-1)))</f>
        <v/>
      </c>
      <c r="AI766" s="49" t="str">
        <f ca="1">IF(NOTA[[#This Row],[ID_H]]="","",IF(NOTA[[#This Row],[FAKTUR]]="",INDIRECT(ADDRESS(ROW()-1,COLUMN())),NOTA[[#This Row],[FAKTUR]]))</f>
        <v/>
      </c>
      <c r="AJ766" s="38" t="str">
        <f ca="1">IF(NOTA[[#This Row],[ID]]="","",COUNTIF(NOTA[ID_H],NOTA[[#This Row],[ID_H]]))</f>
        <v/>
      </c>
      <c r="AK766" s="38" t="str">
        <f ca="1">IF(NOTA[[#This Row],[TGL.NOTA]]="",IF(NOTA[[#This Row],[SUPPLIER_H]]="","",AK765),MONTH(NOTA[[#This Row],[TGL.NOTA]]))</f>
        <v/>
      </c>
      <c r="AL766" s="38" t="str">
        <f>LOWER(SUBSTITUTE(SUBSTITUTE(SUBSTITUTE(SUBSTITUTE(SUBSTITUTE(SUBSTITUTE(SUBSTITUTE(SUBSTITUTE(SUBSTITUTE(NOTA[NAMA BARANG]," ",),".",""),"-",""),"(",""),")",""),",",""),"/",""),"""",""),"+",""))</f>
        <v/>
      </c>
      <c r="AM766" s="38" t="str">
        <f>IF(NOTA[C]="",NOTA[[#This Row],[CONCAT1]]&amp;NOTA[[#This Row],[HARGA SATUAN]],NOTA[[#This Row],[CONCAT1]]&amp;NOTA[[#This Row],[HARGA/ CTN_H]]&amp;NOTA[[#This Row],[DISC 1]]&amp;NOTA[[#This Row],[DISC 2]])</f>
        <v/>
      </c>
      <c r="AN766" s="184" t="str">
        <f>IF(NOTA[[#This Row],[CONCAT1]]="","",MATCH(NOTA[[#This Row],[CONCAT1]],[1]!db[NB NOTA_C],0)+1)</f>
        <v/>
      </c>
    </row>
    <row r="767" spans="1:40" ht="20.100000000000001" customHeight="1" x14ac:dyDescent="0.25">
      <c r="A767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76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HAN_2801_297-3</v>
      </c>
      <c r="C767" s="50" t="str">
        <f>IF(NOTA[[#This Row],[CEK_EXP]]&lt;D766,"err","")</f>
        <v/>
      </c>
      <c r="D767" s="50">
        <f>IF(NOTA[[#This Row],[TANGGAL]]="",D766,NOTA[[#This Row],[TANGGAL]])</f>
        <v>44954</v>
      </c>
      <c r="E767" s="50">
        <f ca="1">IF(NOTA[[#This Row],[NAMA BARANG]]="","",INDEX(NOTA[ID],MATCH(,INDIRECT(ADDRESS(ROW(NOTA[ID]),COLUMN(NOTA[ID]))&amp;":"&amp;ADDRESS(ROW(),COLUMN(NOTA[ID]))),-1)))</f>
        <v>146</v>
      </c>
      <c r="F767" s="23"/>
      <c r="G767" s="26" t="s">
        <v>285</v>
      </c>
      <c r="H767" s="26" t="s">
        <v>87</v>
      </c>
      <c r="I767" s="31" t="s">
        <v>847</v>
      </c>
      <c r="J767" s="26"/>
      <c r="K767" s="51">
        <v>44954</v>
      </c>
      <c r="L767" s="26"/>
      <c r="M767" s="26" t="s">
        <v>848</v>
      </c>
      <c r="N767" s="39"/>
      <c r="O767" s="26">
        <v>2</v>
      </c>
      <c r="P767" s="26" t="s">
        <v>90</v>
      </c>
      <c r="Q767" s="118">
        <v>39000</v>
      </c>
      <c r="R767" s="52"/>
      <c r="S767" s="39"/>
      <c r="T767" s="53"/>
      <c r="U767" s="53"/>
      <c r="V767" s="54"/>
      <c r="W767" s="37"/>
      <c r="X767" s="54">
        <f>IF(NOTA[[#This Row],[HARGA/ CTN]]="",NOTA[[#This Row],[JUMLAH_H]],NOTA[[#This Row],[HARGA/ CTN]]*IF(NOTA[[#This Row],[C]]="",0,NOTA[[#This Row],[C]]))</f>
        <v>78000</v>
      </c>
      <c r="Y767" s="54">
        <f>IF(NOTA[[#This Row],[JUMLAH]]="","",NOTA[[#This Row],[JUMLAH]]*NOTA[[#This Row],[DISC 1]])</f>
        <v>0</v>
      </c>
      <c r="Z767" s="54">
        <f>IF(NOTA[[#This Row],[JUMLAH]]="","",(NOTA[[#This Row],[JUMLAH]]-NOTA[[#This Row],[DISC 1-]])*NOTA[[#This Row],[DISC 2]])</f>
        <v>0</v>
      </c>
      <c r="AA767" s="54">
        <f>IF(NOTA[[#This Row],[JUMLAH]]="","",NOTA[[#This Row],[DISC 1-]]+NOTA[[#This Row],[DISC 2-]])</f>
        <v>0</v>
      </c>
      <c r="AB767" s="54">
        <f>IF(NOTA[[#This Row],[JUMLAH]]="","",NOTA[[#This Row],[JUMLAH]]-NOTA[[#This Row],[DISC]])</f>
        <v>78000</v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67" s="54">
        <f>IF(OR(NOTA[[#This Row],[QTY]]="",NOTA[[#This Row],[HARGA SATUAN]]="",),"",NOTA[[#This Row],[QTY]]*NOTA[[#This Row],[HARGA SATUAN]])</f>
        <v>78000</v>
      </c>
      <c r="AG767" s="51">
        <f ca="1">IF(NOTA[ID_H]="","",INDEX(NOTA[TANGGAL],MATCH(,INDIRECT(ADDRESS(ROW(NOTA[TANGGAL]),COLUMN(NOTA[TANGGAL]))&amp;":"&amp;ADDRESS(ROW(),COLUMN(NOTA[TANGGAL]))),-1)))</f>
        <v>44954</v>
      </c>
      <c r="AH767" s="49" t="str">
        <f ca="1">IF(NOTA[[#This Row],[NAMA BARANG]]="","",INDEX(NOTA[SUPPLIER],MATCH(,INDIRECT(ADDRESS(ROW(NOTA[ID]),COLUMN(NOTA[ID]))&amp;":"&amp;ADDRESS(ROW(),COLUMN(NOTA[ID]))),-1)))</f>
        <v>HANSA</v>
      </c>
      <c r="AI767" s="49" t="str">
        <f ca="1">IF(NOTA[[#This Row],[ID_H]]="","",IF(NOTA[[#This Row],[FAKTUR]]="",INDIRECT(ADDRESS(ROW()-1,COLUMN())),NOTA[[#This Row],[FAKTUR]]))</f>
        <v>UNTANA</v>
      </c>
      <c r="AJ767" s="38">
        <f ca="1">IF(NOTA[[#This Row],[ID]]="","",COUNTIF(NOTA[ID_H],NOTA[[#This Row],[ID_H]]))</f>
        <v>3</v>
      </c>
      <c r="AK767" s="38">
        <f>IF(NOTA[[#This Row],[TGL.NOTA]]="",IF(NOTA[[#This Row],[SUPPLIER_H]]="","",AK741),MONTH(NOTA[[#This Row],[TGL.NOTA]]))</f>
        <v>1</v>
      </c>
      <c r="AL767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767" s="38" t="str">
        <f>IF(NOTA[C]="",NOTA[[#This Row],[CONCAT1]]&amp;NOTA[[#This Row],[HARGA SATUAN]],NOTA[[#This Row],[CONCAT1]]&amp;NOTA[[#This Row],[HARGA/ CTN_H]]&amp;NOTA[[#This Row],[DISC 1]]&amp;NOTA[[#This Row],[DISC 2]])</f>
        <v>lilinshintoeng12btg39000</v>
      </c>
      <c r="AN767" s="184">
        <f>IF(NOTA[[#This Row],[CONCAT1]]="","",MATCH(NOTA[[#This Row],[CONCAT1]],[1]!db[NB NOTA_C],0)+1)</f>
        <v>1396</v>
      </c>
    </row>
    <row r="768" spans="1:40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Row],[CEK_EXP]]&lt;D767,"err","")</f>
        <v/>
      </c>
      <c r="D768" s="50">
        <f>IF(NOTA[[#This Row],[TANGGAL]]="",D767,NOTA[[#This Row],[TANGGAL]])</f>
        <v>44954</v>
      </c>
      <c r="E768" s="50">
        <f ca="1">IF(NOTA[[#This Row],[NAMA BARANG]]="","",INDEX(NOTA[ID],MATCH(,INDIRECT(ADDRESS(ROW(NOTA[ID]),COLUMN(NOTA[ID]))&amp;":"&amp;ADDRESS(ROW(),COLUMN(NOTA[ID]))),-1)))</f>
        <v>146</v>
      </c>
      <c r="F768" s="23"/>
      <c r="G768" s="26"/>
      <c r="H768" s="26"/>
      <c r="I768" s="31"/>
      <c r="J768" s="26"/>
      <c r="K768" s="51"/>
      <c r="L768" s="26"/>
      <c r="M768" s="26" t="s">
        <v>637</v>
      </c>
      <c r="N768" s="39"/>
      <c r="O768" s="26">
        <v>2</v>
      </c>
      <c r="P768" s="26" t="s">
        <v>90</v>
      </c>
      <c r="Q768" s="49">
        <v>41000</v>
      </c>
      <c r="R768" s="52"/>
      <c r="S768" s="39"/>
      <c r="T768" s="53"/>
      <c r="U768" s="53"/>
      <c r="V768" s="54"/>
      <c r="W768" s="37"/>
      <c r="X768" s="54">
        <f>IF(NOTA[[#This Row],[HARGA/ CTN]]="",NOTA[[#This Row],[JUMLAH_H]],NOTA[[#This Row],[HARGA/ CTN]]*IF(NOTA[[#This Row],[C]]="",0,NOTA[[#This Row],[C]]))</f>
        <v>82000</v>
      </c>
      <c r="Y768" s="54">
        <f>IF(NOTA[[#This Row],[JUMLAH]]="","",NOTA[[#This Row],[JUMLAH]]*NOTA[[#This Row],[DISC 1]])</f>
        <v>0</v>
      </c>
      <c r="Z768" s="54">
        <f>IF(NOTA[[#This Row],[JUMLAH]]="","",(NOTA[[#This Row],[JUMLAH]]-NOTA[[#This Row],[DISC 1-]])*NOTA[[#This Row],[DISC 2]])</f>
        <v>0</v>
      </c>
      <c r="AA768" s="54">
        <f>IF(NOTA[[#This Row],[JUMLAH]]="","",NOTA[[#This Row],[DISC 1-]]+NOTA[[#This Row],[DISC 2-]])</f>
        <v>0</v>
      </c>
      <c r="AB768" s="54">
        <f>IF(NOTA[[#This Row],[JUMLAH]]="","",NOTA[[#This Row],[JUMLAH]]-NOTA[[#This Row],[DISC]])</f>
        <v>82000</v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49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F768" s="54">
        <f>IF(OR(NOTA[[#This Row],[QTY]]="",NOTA[[#This Row],[HARGA SATUAN]]="",),"",NOTA[[#This Row],[QTY]]*NOTA[[#This Row],[HARGA SATUAN]])</f>
        <v>82000</v>
      </c>
      <c r="AG768" s="51">
        <f ca="1">IF(NOTA[ID_H]="","",INDEX(NOTA[TANGGAL],MATCH(,INDIRECT(ADDRESS(ROW(NOTA[TANGGAL]),COLUMN(NOTA[TANGGAL]))&amp;":"&amp;ADDRESS(ROW(),COLUMN(NOTA[TANGGAL]))),-1)))</f>
        <v>44954</v>
      </c>
      <c r="AH768" s="49" t="str">
        <f ca="1">IF(NOTA[[#This Row],[NAMA BARANG]]="","",INDEX(NOTA[SUPPLIER],MATCH(,INDIRECT(ADDRESS(ROW(NOTA[ID]),COLUMN(NOTA[ID]))&amp;":"&amp;ADDRESS(ROW(),COLUMN(NOTA[ID]))),-1)))</f>
        <v>HANSA</v>
      </c>
      <c r="AI768" s="49" t="str">
        <f ca="1">IF(NOTA[[#This Row],[ID_H]]="","",IF(NOTA[[#This Row],[FAKTUR]]="",INDIRECT(ADDRESS(ROW()-1,COLUMN())),NOTA[[#This Row],[FAKTUR]]))</f>
        <v>UNTANA</v>
      </c>
      <c r="AJ768" s="38" t="str">
        <f ca="1">IF(NOTA[[#This Row],[ID]]="","",COUNTIF(NOTA[ID_H],NOTA[[#This Row],[ID_H]]))</f>
        <v/>
      </c>
      <c r="AK768" s="38">
        <f ca="1">IF(NOTA[[#This Row],[TGL.NOTA]]="",IF(NOTA[[#This Row],[SUPPLIER_H]]="","",AK767),MONTH(NOTA[[#This Row],[TGL.NOTA]]))</f>
        <v>1</v>
      </c>
      <c r="AL768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768" s="38" t="str">
        <f>IF(NOTA[C]="",NOTA[[#This Row],[CONCAT1]]&amp;NOTA[[#This Row],[HARGA SATUAN]],NOTA[[#This Row],[CONCAT1]]&amp;NOTA[[#This Row],[HARGA/ CTN_H]]&amp;NOTA[[#This Row],[DISC 1]]&amp;NOTA[[#This Row],[DISC 2]])</f>
        <v>lilinshintoeng24btg41000</v>
      </c>
      <c r="AN768" s="184">
        <f>IF(NOTA[[#This Row],[CONCAT1]]="","",MATCH(NOTA[[#This Row],[CONCAT1]],[1]!db[NB NOTA_C],0)+1)</f>
        <v>1397</v>
      </c>
    </row>
    <row r="769" spans="1:40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Row],[CEK_EXP]]&lt;D768,"err","")</f>
        <v/>
      </c>
      <c r="D769" s="50">
        <f>IF(NOTA[[#This Row],[TANGGAL]]="",D768,NOTA[[#This Row],[TANGGAL]])</f>
        <v>44954</v>
      </c>
      <c r="E769" s="50">
        <f ca="1">IF(NOTA[[#This Row],[NAMA BARANG]]="","",INDEX(NOTA[ID],MATCH(,INDIRECT(ADDRESS(ROW(NOTA[ID]),COLUMN(NOTA[ID]))&amp;":"&amp;ADDRESS(ROW(),COLUMN(NOTA[ID]))),-1)))</f>
        <v>146</v>
      </c>
      <c r="F769" s="23"/>
      <c r="G769" s="26"/>
      <c r="H769" s="26"/>
      <c r="I769" s="31"/>
      <c r="J769" s="26"/>
      <c r="K769" s="51"/>
      <c r="L769" s="26"/>
      <c r="M769" s="26" t="s">
        <v>287</v>
      </c>
      <c r="N769" s="39"/>
      <c r="O769" s="26">
        <v>14</v>
      </c>
      <c r="P769" s="26" t="s">
        <v>90</v>
      </c>
      <c r="Q769" s="49">
        <v>13000</v>
      </c>
      <c r="R769" s="52"/>
      <c r="S769" s="39"/>
      <c r="T769" s="53"/>
      <c r="U769" s="53"/>
      <c r="V769" s="54"/>
      <c r="W769" s="37" t="s">
        <v>849</v>
      </c>
      <c r="X769" s="54">
        <f>IF(NOTA[[#This Row],[HARGA/ CTN]]="",NOTA[[#This Row],[JUMLAH_H]],NOTA[[#This Row],[HARGA/ CTN]]*IF(NOTA[[#This Row],[C]]="",0,NOTA[[#This Row],[C]]))</f>
        <v>182000</v>
      </c>
      <c r="Y769" s="54">
        <f>IF(NOTA[[#This Row],[JUMLAH]]="","",NOTA[[#This Row],[JUMLAH]]*NOTA[[#This Row],[DISC 1]])</f>
        <v>0</v>
      </c>
      <c r="Z769" s="54">
        <f>IF(NOTA[[#This Row],[JUMLAH]]="","",(NOTA[[#This Row],[JUMLAH]]-NOTA[[#This Row],[DISC 1-]])*NOTA[[#This Row],[DISC 2]])</f>
        <v>0</v>
      </c>
      <c r="AA769" s="54">
        <f>IF(NOTA[[#This Row],[JUMLAH]]="","",NOTA[[#This Row],[DISC 1-]]+NOTA[[#This Row],[DISC 2-]])</f>
        <v>0</v>
      </c>
      <c r="AB769" s="54">
        <f>IF(NOTA[[#This Row],[JUMLAH]]="","",NOTA[[#This Row],[JUMLAH]]-NOTA[[#This Row],[DISC]])</f>
        <v>182000</v>
      </c>
      <c r="AC7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342000</v>
      </c>
      <c r="AE769" s="49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F769" s="54">
        <f>IF(OR(NOTA[[#This Row],[QTY]]="",NOTA[[#This Row],[HARGA SATUAN]]="",),"",NOTA[[#This Row],[QTY]]*NOTA[[#This Row],[HARGA SATUAN]])</f>
        <v>182000</v>
      </c>
      <c r="AG769" s="51">
        <f ca="1">IF(NOTA[ID_H]="","",INDEX(NOTA[TANGGAL],MATCH(,INDIRECT(ADDRESS(ROW(NOTA[TANGGAL]),COLUMN(NOTA[TANGGAL]))&amp;":"&amp;ADDRESS(ROW(),COLUMN(NOTA[TANGGAL]))),-1)))</f>
        <v>44954</v>
      </c>
      <c r="AH769" s="49" t="str">
        <f ca="1">IF(NOTA[[#This Row],[NAMA BARANG]]="","",INDEX(NOTA[SUPPLIER],MATCH(,INDIRECT(ADDRESS(ROW(NOTA[ID]),COLUMN(NOTA[ID]))&amp;":"&amp;ADDRESS(ROW(),COLUMN(NOTA[ID]))),-1)))</f>
        <v>HANSA</v>
      </c>
      <c r="AI769" s="49" t="str">
        <f ca="1">IF(NOTA[[#This Row],[ID_H]]="","",IF(NOTA[[#This Row],[FAKTUR]]="",INDIRECT(ADDRESS(ROW()-1,COLUMN())),NOTA[[#This Row],[FAKTUR]]))</f>
        <v>UNTANA</v>
      </c>
      <c r="AJ769" s="38" t="str">
        <f ca="1">IF(NOTA[[#This Row],[ID]]="","",COUNTIF(NOTA[ID_H],NOTA[[#This Row],[ID_H]]))</f>
        <v/>
      </c>
      <c r="AK769" s="38">
        <f ca="1">IF(NOTA[[#This Row],[TGL.NOTA]]="",IF(NOTA[[#This Row],[SUPPLIER_H]]="","",AK768),MONTH(NOTA[[#This Row],[TGL.NOTA]]))</f>
        <v>1</v>
      </c>
      <c r="AL76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69" s="38" t="str">
        <f>IF(NOTA[C]="",NOTA[[#This Row],[CONCAT1]]&amp;NOTA[[#This Row],[HARGA SATUAN]],NOTA[[#This Row],[CONCAT1]]&amp;NOTA[[#This Row],[HARGA/ CTN_H]]&amp;NOTA[[#This Row],[DISC 1]]&amp;NOTA[[#This Row],[DISC 2]])</f>
        <v>lilinangkashintoeng13000</v>
      </c>
      <c r="AN769" s="184">
        <f>IF(NOTA[[#This Row],[CONCAT1]]="","",MATCH(NOTA[[#This Row],[CONCAT1]],[1]!db[NB NOTA_C],0)+1)</f>
        <v>1377</v>
      </c>
    </row>
    <row r="770" spans="1:40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Row],[CEK_EXP]]&lt;D769,"err","")</f>
        <v/>
      </c>
      <c r="D770" s="50">
        <f>IF(NOTA[[#This Row],[TANGGAL]]="",D769,NOTA[[#This Row],[TANGGAL]])</f>
        <v>44954</v>
      </c>
      <c r="E770" s="50" t="str">
        <f ca="1">IF(NOTA[[#This Row],[NAMA BARANG]]="","",INDEX(NOTA[ID],MATCH(,INDIRECT(ADDRESS(ROW(NOTA[ID]),COLUMN(NOTA[ID]))&amp;":"&amp;ADDRESS(ROW(),COLUMN(NOTA[ID]))),-1)))</f>
        <v/>
      </c>
      <c r="F770" s="23"/>
      <c r="G770" s="26"/>
      <c r="H770" s="26"/>
      <c r="I770" s="31"/>
      <c r="J770" s="26"/>
      <c r="K770" s="51"/>
      <c r="L770" s="26"/>
      <c r="M770" s="26"/>
      <c r="N770" s="39"/>
      <c r="O770" s="26"/>
      <c r="P770" s="26"/>
      <c r="Q770" s="49"/>
      <c r="R770" s="52"/>
      <c r="S770" s="39"/>
      <c r="T770" s="53"/>
      <c r="U770" s="53"/>
      <c r="V770" s="54"/>
      <c r="W770" s="37"/>
      <c r="X770" s="54" t="str">
        <f>IF(NOTA[[#This Row],[HARGA/ CTN]]="",NOTA[[#This Row],[JUMLAH_H]],NOTA[[#This Row],[HARGA/ CTN]]*IF(NOTA[[#This Row],[C]]="",0,NOTA[[#This Row],[C]]))</f>
        <v/>
      </c>
      <c r="Y770" s="54" t="str">
        <f>IF(NOTA[[#This Row],[JUMLAH]]="","",NOTA[[#This Row],[JUMLAH]]*NOTA[[#This Row],[DISC 1]])</f>
        <v/>
      </c>
      <c r="Z770" s="54" t="str">
        <f>IF(NOTA[[#This Row],[JUMLAH]]="","",(NOTA[[#This Row],[JUMLAH]]-NOTA[[#This Row],[DISC 1-]])*NOTA[[#This Row],[DISC 2]])</f>
        <v/>
      </c>
      <c r="AA770" s="54" t="str">
        <f>IF(NOTA[[#This Row],[JUMLAH]]="","",NOTA[[#This Row],[DISC 1-]]+NOTA[[#This Row],[DISC 2-]])</f>
        <v/>
      </c>
      <c r="AB770" s="54" t="str">
        <f>IF(NOTA[[#This Row],[JUMLAH]]="","",NOTA[[#This Row],[JUMLAH]]-NOTA[[#This Row],[DISC]])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54" t="str">
        <f>IF(OR(NOTA[[#This Row],[QTY]]="",NOTA[[#This Row],[HARGA SATUAN]]="",),"",NOTA[[#This Row],[QTY]]*NOTA[[#This Row],[HARGA SATUAN]])</f>
        <v/>
      </c>
      <c r="AG770" s="51" t="str">
        <f ca="1">IF(NOTA[ID_H]="","",INDEX(NOTA[TANGGAL],MATCH(,INDIRECT(ADDRESS(ROW(NOTA[TANGGAL]),COLUMN(NOTA[TANGGAL]))&amp;":"&amp;ADDRESS(ROW(),COLUMN(NOTA[TANGGAL]))),-1)))</f>
        <v/>
      </c>
      <c r="AH770" s="49" t="str">
        <f ca="1">IF(NOTA[[#This Row],[NAMA BARANG]]="","",INDEX(NOTA[SUPPLIER],MATCH(,INDIRECT(ADDRESS(ROW(NOTA[ID]),COLUMN(NOTA[ID]))&amp;":"&amp;ADDRESS(ROW(),COLUMN(NOTA[ID]))),-1)))</f>
        <v/>
      </c>
      <c r="AI770" s="49" t="str">
        <f ca="1">IF(NOTA[[#This Row],[ID_H]]="","",IF(NOTA[[#This Row],[FAKTUR]]="",INDIRECT(ADDRESS(ROW()-1,COLUMN())),NOTA[[#This Row],[FAKTUR]]))</f>
        <v/>
      </c>
      <c r="AJ770" s="38" t="str">
        <f ca="1">IF(NOTA[[#This Row],[ID]]="","",COUNTIF(NOTA[ID_H],NOTA[[#This Row],[ID_H]]))</f>
        <v/>
      </c>
      <c r="AK770" s="38" t="str">
        <f ca="1">IF(NOTA[[#This Row],[TGL.NOTA]]="",IF(NOTA[[#This Row],[SUPPLIER_H]]="","",AK769),MONTH(NOTA[[#This Row],[TGL.NOTA]]))</f>
        <v/>
      </c>
      <c r="AL770" s="38" t="str">
        <f>LOWER(SUBSTITUTE(SUBSTITUTE(SUBSTITUTE(SUBSTITUTE(SUBSTITUTE(SUBSTITUTE(SUBSTITUTE(SUBSTITUTE(SUBSTITUTE(NOTA[NAMA BARANG]," ",),".",""),"-",""),"(",""),")",""),",",""),"/",""),"""",""),"+",""))</f>
        <v/>
      </c>
      <c r="AM770" s="38" t="str">
        <f>IF(NOTA[C]="",NOTA[[#This Row],[CONCAT1]]&amp;NOTA[[#This Row],[HARGA SATUAN]],NOTA[[#This Row],[CONCAT1]]&amp;NOTA[[#This Row],[HARGA/ CTN_H]]&amp;NOTA[[#This Row],[DISC 1]]&amp;NOTA[[#This Row],[DISC 2]])</f>
        <v/>
      </c>
      <c r="AN770" s="184" t="str">
        <f>IF(NOTA[[#This Row],[CONCAT1]]="","",MATCH(NOTA[[#This Row],[CONCAT1]],[1]!db[NB NOTA_C],0)+1)</f>
        <v/>
      </c>
    </row>
    <row r="771" spans="1:40" ht="20.100000000000001" customHeight="1" x14ac:dyDescent="0.25">
      <c r="A771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77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DUT_2801_-1</v>
      </c>
      <c r="C771" s="50" t="str">
        <f>IF(NOTA[[#This Row],[CEK_EXP]]&lt;D770,"err","")</f>
        <v/>
      </c>
      <c r="D771" s="50">
        <f>IF(NOTA[[#This Row],[TANGGAL]]="",D770,NOTA[[#This Row],[TANGGAL]])</f>
        <v>44954</v>
      </c>
      <c r="E771" s="50">
        <f ca="1">IF(NOTA[[#This Row],[NAMA BARANG]]="","",INDEX(NOTA[ID],MATCH(,INDIRECT(ADDRESS(ROW(NOTA[ID]),COLUMN(NOTA[ID]))&amp;":"&amp;ADDRESS(ROW(),COLUMN(NOTA[ID]))),-1)))</f>
        <v>147</v>
      </c>
      <c r="F771" s="23"/>
      <c r="G771" s="26" t="s">
        <v>237</v>
      </c>
      <c r="H771" s="26" t="s">
        <v>87</v>
      </c>
      <c r="I771" s="156"/>
      <c r="J771" s="155"/>
      <c r="K771" s="157"/>
      <c r="L771" s="26"/>
      <c r="M771" s="26" t="s">
        <v>955</v>
      </c>
      <c r="N771" s="158">
        <v>10</v>
      </c>
      <c r="O771" s="155">
        <v>720</v>
      </c>
      <c r="P771" s="26" t="s">
        <v>104</v>
      </c>
      <c r="Q771" s="159"/>
      <c r="R771" s="160"/>
      <c r="S771" s="39" t="s">
        <v>692</v>
      </c>
      <c r="T771" s="53"/>
      <c r="U771" s="53"/>
      <c r="V771" s="54"/>
      <c r="W771" s="37"/>
      <c r="X771" s="54" t="str">
        <f>IF(NOTA[[#This Row],[HARGA/ CTN]]="",NOTA[[#This Row],[JUMLAH_H]],NOTA[[#This Row],[HARGA/ CTN]]*IF(NOTA[[#This Row],[C]]="",0,NOTA[[#This Row],[C]]))</f>
        <v/>
      </c>
      <c r="Y771" s="54" t="str">
        <f>IF(NOTA[[#This Row],[JUMLAH]]="","",NOTA[[#This Row],[JUMLAH]]*NOTA[[#This Row],[DISC 1]])</f>
        <v/>
      </c>
      <c r="Z771" s="54" t="str">
        <f>IF(NOTA[[#This Row],[JUMLAH]]="","",(NOTA[[#This Row],[JUMLAH]]-NOTA[[#This Row],[DISC 1-]])*NOTA[[#This Row],[DISC 2]])</f>
        <v/>
      </c>
      <c r="AA771" s="54" t="str">
        <f>IF(NOTA[[#This Row],[JUMLAH]]="","",NOTA[[#This Row],[DISC 1-]]+NOTA[[#This Row],[DISC 2-]])</f>
        <v/>
      </c>
      <c r="AB771" s="54" t="str">
        <f>IF(NOTA[[#This Row],[JUMLAH]]="","",NOTA[[#This Row],[JUMLAH]]-NOTA[[#This Row],[DISC]])</f>
        <v/>
      </c>
      <c r="AC7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7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71" s="54" t="str">
        <f>IF(OR(NOTA[[#This Row],[QTY]]="",NOTA[[#This Row],[HARGA SATUAN]]="",),"",NOTA[[#This Row],[QTY]]*NOTA[[#This Row],[HARGA SATUAN]])</f>
        <v/>
      </c>
      <c r="AG771" s="51">
        <f ca="1">IF(NOTA[ID_H]="","",INDEX(NOTA[TANGGAL],MATCH(,INDIRECT(ADDRESS(ROW(NOTA[TANGGAL]),COLUMN(NOTA[TANGGAL]))&amp;":"&amp;ADDRESS(ROW(),COLUMN(NOTA[TANGGAL]))),-1)))</f>
        <v>44954</v>
      </c>
      <c r="AH771" s="49" t="str">
        <f ca="1">IF(NOTA[[#This Row],[NAMA BARANG]]="","",INDEX(NOTA[SUPPLIER],MATCH(,INDIRECT(ADDRESS(ROW(NOTA[ID]),COLUMN(NOTA[ID]))&amp;":"&amp;ADDRESS(ROW(),COLUMN(NOTA[ID]))),-1)))</f>
        <v>DUTA BUANA</v>
      </c>
      <c r="AI771" s="49" t="str">
        <f ca="1">IF(NOTA[[#This Row],[ID_H]]="","",IF(NOTA[[#This Row],[FAKTUR]]="",INDIRECT(ADDRESS(ROW()-1,COLUMN())),NOTA[[#This Row],[FAKTUR]]))</f>
        <v>UNTANA</v>
      </c>
      <c r="AJ771" s="38">
        <f ca="1">IF(NOTA[[#This Row],[ID]]="","",COUNTIF(NOTA[ID_H],NOTA[[#This Row],[ID_H]]))</f>
        <v>1</v>
      </c>
      <c r="AK771" s="38" t="str">
        <f ca="1">IF(NOTA[[#This Row],[TGL.NOTA]]="",IF(NOTA[[#This Row],[SUPPLIER_H]]="","",AK739),MONTH(NOTA[[#This Row],[TGL.NOTA]]))</f>
        <v/>
      </c>
      <c r="AL771" s="38" t="str">
        <f>LOWER(SUBSTITUTE(SUBSTITUTE(SUBSTITUTE(SUBSTITUTE(SUBSTITUTE(SUBSTITUTE(SUBSTITUTE(SUBSTITUTE(SUBSTITUTE(NOTA[NAMA BARANG]," ",),".",""),"-",""),"(",""),")",""),",",""),"/",""),"""",""),"+",""))</f>
        <v>acryliccolourtfac00112x5ml</v>
      </c>
      <c r="AM771" s="38" t="str">
        <f>IF(NOTA[C]="",NOTA[[#This Row],[CONCAT1]]&amp;NOTA[[#This Row],[HARGA SATUAN]],NOTA[[#This Row],[CONCAT1]]&amp;NOTA[[#This Row],[HARGA/ CTN_H]]&amp;NOTA[[#This Row],[DISC 1]]&amp;NOTA[[#This Row],[DISC 2]])</f>
        <v>acryliccolourtfac00112x5ml0</v>
      </c>
      <c r="AN771" s="184">
        <f>IF(NOTA[[#This Row],[CONCAT1]]="","",MATCH(NOTA[[#This Row],[CONCAT1]],[1]!db[NB NOTA_C],0)+1)</f>
        <v>21</v>
      </c>
    </row>
    <row r="772" spans="1:40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Row],[CEK_EXP]]&lt;D771,"err","")</f>
        <v/>
      </c>
      <c r="D772" s="50">
        <f>IF(NOTA[[#This Row],[TANGGAL]]="",D771,NOTA[[#This Row],[TANGGAL]])</f>
        <v>44954</v>
      </c>
      <c r="E772" s="50" t="str">
        <f ca="1">IF(NOTA[[#This Row],[NAMA BARANG]]="","",INDEX(NOTA[ID],MATCH(,INDIRECT(ADDRESS(ROW(NOTA[ID]),COLUMN(NOTA[ID]))&amp;":"&amp;ADDRESS(ROW(),COLUMN(NOTA[ID]))),-1)))</f>
        <v/>
      </c>
      <c r="F772" s="23"/>
      <c r="G772" s="155"/>
      <c r="H772" s="155"/>
      <c r="I772" s="156"/>
      <c r="J772" s="155"/>
      <c r="K772" s="157"/>
      <c r="L772" s="155"/>
      <c r="M772" s="155"/>
      <c r="N772" s="158"/>
      <c r="O772" s="155"/>
      <c r="P772" s="155"/>
      <c r="Q772" s="159"/>
      <c r="R772" s="160"/>
      <c r="S772" s="158"/>
      <c r="T772" s="53"/>
      <c r="U772" s="53"/>
      <c r="V772" s="54"/>
      <c r="W772" s="37"/>
      <c r="X772" s="54" t="str">
        <f>IF(NOTA[[#This Row],[HARGA/ CTN]]="",NOTA[[#This Row],[JUMLAH_H]],NOTA[[#This Row],[HARGA/ CTN]]*IF(NOTA[[#This Row],[C]]="",0,NOTA[[#This Row],[C]]))</f>
        <v/>
      </c>
      <c r="Y772" s="54" t="str">
        <f>IF(NOTA[[#This Row],[JUMLAH]]="","",NOTA[[#This Row],[JUMLAH]]*NOTA[[#This Row],[DISC 1]])</f>
        <v/>
      </c>
      <c r="Z772" s="54" t="str">
        <f>IF(NOTA[[#This Row],[JUMLAH]]="","",(NOTA[[#This Row],[JUMLAH]]-NOTA[[#This Row],[DISC 1-]])*NOTA[[#This Row],[DISC 2]])</f>
        <v/>
      </c>
      <c r="AA772" s="54" t="str">
        <f>IF(NOTA[[#This Row],[JUMLAH]]="","",NOTA[[#This Row],[DISC 1-]]+NOTA[[#This Row],[DISC 2-]])</f>
        <v/>
      </c>
      <c r="AB772" s="54" t="str">
        <f>IF(NOTA[[#This Row],[JUMLAH]]="","",NOTA[[#This Row],[JUMLAH]]-NOTA[[#This Row],[DISC]])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54" t="str">
        <f>IF(OR(NOTA[[#This Row],[QTY]]="",NOTA[[#This Row],[HARGA SATUAN]]="",),"",NOTA[[#This Row],[QTY]]*NOTA[[#This Row],[HARGA SATUAN]])</f>
        <v/>
      </c>
      <c r="AG772" s="51" t="str">
        <f ca="1">IF(NOTA[ID_H]="","",INDEX(NOTA[TANGGAL],MATCH(,INDIRECT(ADDRESS(ROW(NOTA[TANGGAL]),COLUMN(NOTA[TANGGAL]))&amp;":"&amp;ADDRESS(ROW(),COLUMN(NOTA[TANGGAL]))),-1)))</f>
        <v/>
      </c>
      <c r="AH772" s="49" t="str">
        <f ca="1">IF(NOTA[[#This Row],[NAMA BARANG]]="","",INDEX(NOTA[SUPPLIER],MATCH(,INDIRECT(ADDRESS(ROW(NOTA[ID]),COLUMN(NOTA[ID]))&amp;":"&amp;ADDRESS(ROW(),COLUMN(NOTA[ID]))),-1)))</f>
        <v/>
      </c>
      <c r="AI772" s="49" t="str">
        <f ca="1">IF(NOTA[[#This Row],[ID_H]]="","",IF(NOTA[[#This Row],[FAKTUR]]="",INDIRECT(ADDRESS(ROW()-1,COLUMN())),NOTA[[#This Row],[FAKTUR]]))</f>
        <v/>
      </c>
      <c r="AJ772" s="38" t="str">
        <f ca="1">IF(NOTA[[#This Row],[ID]]="","",COUNTIF(NOTA[ID_H],NOTA[[#This Row],[ID_H]]))</f>
        <v/>
      </c>
      <c r="AK772" s="38" t="str">
        <f ca="1">IF(NOTA[[#This Row],[TGL.NOTA]]="",IF(NOTA[[#This Row],[SUPPLIER_H]]="","",AK771),MONTH(NOTA[[#This Row],[TGL.NOTA]]))</f>
        <v/>
      </c>
      <c r="AL772" s="38" t="str">
        <f>LOWER(SUBSTITUTE(SUBSTITUTE(SUBSTITUTE(SUBSTITUTE(SUBSTITUTE(SUBSTITUTE(SUBSTITUTE(SUBSTITUTE(SUBSTITUTE(NOTA[NAMA BARANG]," ",),".",""),"-",""),"(",""),")",""),",",""),"/",""),"""",""),"+",""))</f>
        <v/>
      </c>
      <c r="AM772" s="38" t="str">
        <f>IF(NOTA[C]="",NOTA[[#This Row],[CONCAT1]]&amp;NOTA[[#This Row],[HARGA SATUAN]],NOTA[[#This Row],[CONCAT1]]&amp;NOTA[[#This Row],[HARGA/ CTN_H]]&amp;NOTA[[#This Row],[DISC 1]]&amp;NOTA[[#This Row],[DISC 2]])</f>
        <v/>
      </c>
      <c r="AN772" s="184" t="str">
        <f>IF(NOTA[[#This Row],[CONCAT1]]="","",MATCH(NOTA[[#This Row],[CONCAT1]],[1]!db[NB NOTA_C],0)+1)</f>
        <v/>
      </c>
    </row>
    <row r="773" spans="1:40" ht="20.100000000000001" customHeight="1" x14ac:dyDescent="0.25">
      <c r="A773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7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ATA_2801_-1</v>
      </c>
      <c r="C773" s="50" t="str">
        <f>IF(NOTA[[#This Row],[CEK_EXP]]&lt;D772,"err","")</f>
        <v/>
      </c>
      <c r="D773" s="50">
        <f>IF(NOTA[[#This Row],[TANGGAL]]="",D772,NOTA[[#This Row],[TANGGAL]])</f>
        <v>44954</v>
      </c>
      <c r="E773" s="50">
        <f ca="1">IF(NOTA[[#This Row],[NAMA BARANG]]="","",INDEX(NOTA[ID],MATCH(,INDIRECT(ADDRESS(ROW(NOTA[ID]),COLUMN(NOTA[ID]))&amp;":"&amp;ADDRESS(ROW(),COLUMN(NOTA[ID]))),-1)))</f>
        <v>148</v>
      </c>
      <c r="F773" s="23"/>
      <c r="G773" s="26" t="s">
        <v>25</v>
      </c>
      <c r="H773" s="26" t="s">
        <v>24</v>
      </c>
      <c r="I773" s="31"/>
      <c r="J773" s="26"/>
      <c r="K773" s="51"/>
      <c r="L773" s="26"/>
      <c r="M773" s="26" t="s">
        <v>894</v>
      </c>
      <c r="N773" s="39">
        <v>10</v>
      </c>
      <c r="O773" s="26">
        <v>300</v>
      </c>
      <c r="P773" s="26" t="s">
        <v>274</v>
      </c>
      <c r="Q773" s="49">
        <v>104400</v>
      </c>
      <c r="R773" s="52"/>
      <c r="S773" s="39" t="s">
        <v>370</v>
      </c>
      <c r="T773" s="53">
        <v>0.125</v>
      </c>
      <c r="U773" s="53">
        <v>0.05</v>
      </c>
      <c r="V773" s="54"/>
      <c r="W773" s="37"/>
      <c r="X773" s="54">
        <f>IF(NOTA[[#This Row],[HARGA/ CTN]]="",NOTA[[#This Row],[JUMLAH_H]],NOTA[[#This Row],[HARGA/ CTN]]*IF(NOTA[[#This Row],[C]]="",0,NOTA[[#This Row],[C]]))</f>
        <v>31320000</v>
      </c>
      <c r="Y773" s="54">
        <f>IF(NOTA[[#This Row],[JUMLAH]]="","",NOTA[[#This Row],[JUMLAH]]*NOTA[[#This Row],[DISC 1]])</f>
        <v>3915000</v>
      </c>
      <c r="Z773" s="54">
        <f>IF(NOTA[[#This Row],[JUMLAH]]="","",(NOTA[[#This Row],[JUMLAH]]-NOTA[[#This Row],[DISC 1-]])*NOTA[[#This Row],[DISC 2]])</f>
        <v>1370250</v>
      </c>
      <c r="AA773" s="54">
        <f>IF(NOTA[[#This Row],[JUMLAH]]="","",NOTA[[#This Row],[DISC 1-]]+NOTA[[#This Row],[DISC 2-]])</f>
        <v>5285250</v>
      </c>
      <c r="AB773" s="54">
        <f>IF(NOTA[[#This Row],[JUMLAH]]="","",NOTA[[#This Row],[JUMLAH]]-NOTA[[#This Row],[DISC]])</f>
        <v>26034750</v>
      </c>
      <c r="AC7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7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773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73" s="54">
        <f>IF(OR(NOTA[[#This Row],[QTY]]="",NOTA[[#This Row],[HARGA SATUAN]]="",),"",NOTA[[#This Row],[QTY]]*NOTA[[#This Row],[HARGA SATUAN]])</f>
        <v>31320000</v>
      </c>
      <c r="AG773" s="51">
        <f ca="1">IF(NOTA[ID_H]="","",INDEX(NOTA[TANGGAL],MATCH(,INDIRECT(ADDRESS(ROW(NOTA[TANGGAL]),COLUMN(NOTA[TANGGAL]))&amp;":"&amp;ADDRESS(ROW(),COLUMN(NOTA[TANGGAL]))),-1)))</f>
        <v>44954</v>
      </c>
      <c r="AH773" s="49" t="str">
        <f ca="1">IF(NOTA[[#This Row],[NAMA BARANG]]="","",INDEX(NOTA[SUPPLIER],MATCH(,INDIRECT(ADDRESS(ROW(NOTA[ID]),COLUMN(NOTA[ID]))&amp;":"&amp;ADDRESS(ROW(),COLUMN(NOTA[ID]))),-1)))</f>
        <v>ATALI MAKMUR</v>
      </c>
      <c r="AI773" s="49" t="str">
        <f ca="1">IF(NOTA[[#This Row],[ID_H]]="","",IF(NOTA[[#This Row],[FAKTUR]]="",INDIRECT(ADDRESS(ROW()-1,COLUMN())),NOTA[[#This Row],[FAKTUR]]))</f>
        <v>ARTO MORO</v>
      </c>
      <c r="AJ773" s="38">
        <f ca="1">IF(NOTA[[#This Row],[ID]]="","",COUNTIF(NOTA[ID_H],NOTA[[#This Row],[ID_H]]))</f>
        <v>1</v>
      </c>
      <c r="AK773" s="38" t="str">
        <f ca="1">IF(NOTA[[#This Row],[TGL.NOTA]]="",IF(NOTA[[#This Row],[SUPPLIER_H]]="","",AK772),MONTH(NOTA[[#This Row],[TGL.NOTA]]))</f>
        <v/>
      </c>
      <c r="AL773" s="38" t="str">
        <f>LOWER(SUBSTITUTE(SUBSTITUTE(SUBSTITUTE(SUBSTITUTE(SUBSTITUTE(SUBSTITUTE(SUBSTITUTE(SUBSTITUTE(SUBSTITUTE(NOTA[NAMA BARANG]," ",),".",""),"-",""),"(",""),")",""),",",""),"/",""),"""",""),"+",""))</f>
        <v>pensil2bp88jk</v>
      </c>
      <c r="AM773" s="38" t="str">
        <f>IF(NOTA[C]="",NOTA[[#This Row],[CONCAT1]]&amp;NOTA[[#This Row],[HARGA SATUAN]],NOTA[[#This Row],[CONCAT1]]&amp;NOTA[[#This Row],[HARGA/ CTN_H]]&amp;NOTA[[#This Row],[DISC 1]]&amp;NOTA[[#This Row],[DISC 2]])</f>
        <v>pensil2bp88jk31320000.1250.05</v>
      </c>
      <c r="AN773" s="184" t="e">
        <f>IF(NOTA[[#This Row],[CONCAT1]]="","",MATCH(NOTA[[#This Row],[CONCAT1]],[1]!db[NB NOTA_C],0)+1)</f>
        <v>#N/A</v>
      </c>
    </row>
    <row r="774" spans="1:40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Row],[CEK_EXP]]&lt;D773,"err","")</f>
        <v/>
      </c>
      <c r="D774" s="50">
        <f>IF(NOTA[[#This Row],[TANGGAL]]="",D773,NOTA[[#This Row],[TANGGAL]])</f>
        <v>44954</v>
      </c>
      <c r="E774" s="50" t="str">
        <f ca="1">IF(NOTA[[#This Row],[NAMA BARANG]]="","",INDEX(NOTA[ID],MATCH(,INDIRECT(ADDRESS(ROW(NOTA[ID]),COLUMN(NOTA[ID]))&amp;":"&amp;ADDRESS(ROW(),COLUMN(NOTA[ID]))),-1)))</f>
        <v/>
      </c>
      <c r="F774" s="23"/>
      <c r="G774" s="26"/>
      <c r="H774" s="26"/>
      <c r="I774" s="31"/>
      <c r="J774" s="26"/>
      <c r="K774" s="51"/>
      <c r="L774" s="26"/>
      <c r="M774" s="26"/>
      <c r="N774" s="39"/>
      <c r="O774" s="26"/>
      <c r="P774" s="26"/>
      <c r="Q774" s="49"/>
      <c r="R774" s="52"/>
      <c r="S774" s="39"/>
      <c r="T774" s="53"/>
      <c r="U774" s="53"/>
      <c r="V774" s="54"/>
      <c r="W774" s="37"/>
      <c r="X774" s="54" t="str">
        <f>IF(NOTA[[#This Row],[HARGA/ CTN]]="",NOTA[[#This Row],[JUMLAH_H]],NOTA[[#This Row],[HARGA/ CTN]]*IF(NOTA[[#This Row],[C]]="",0,NOTA[[#This Row],[C]]))</f>
        <v/>
      </c>
      <c r="Y774" s="54" t="str">
        <f>IF(NOTA[[#This Row],[JUMLAH]]="","",NOTA[[#This Row],[JUMLAH]]*NOTA[[#This Row],[DISC 1]])</f>
        <v/>
      </c>
      <c r="Z774" s="54" t="str">
        <f>IF(NOTA[[#This Row],[JUMLAH]]="","",(NOTA[[#This Row],[JUMLAH]]-NOTA[[#This Row],[DISC 1-]])*NOTA[[#This Row],[DISC 2]])</f>
        <v/>
      </c>
      <c r="AA774" s="54" t="str">
        <f>IF(NOTA[[#This Row],[JUMLAH]]="","",NOTA[[#This Row],[DISC 1-]]+NOTA[[#This Row],[DISC 2-]])</f>
        <v/>
      </c>
      <c r="AB774" s="54" t="str">
        <f>IF(NOTA[[#This Row],[JUMLAH]]="","",NOTA[[#This Row],[JUMLAH]]-NOTA[[#This Row],[DISC]])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54" t="str">
        <f>IF(OR(NOTA[[#This Row],[QTY]]="",NOTA[[#This Row],[HARGA SATUAN]]="",),"",NOTA[[#This Row],[QTY]]*NOTA[[#This Row],[HARGA SATUAN]])</f>
        <v/>
      </c>
      <c r="AG774" s="51" t="str">
        <f ca="1">IF(NOTA[ID_H]="","",INDEX(NOTA[TANGGAL],MATCH(,INDIRECT(ADDRESS(ROW(NOTA[TANGGAL]),COLUMN(NOTA[TANGGAL]))&amp;":"&amp;ADDRESS(ROW(),COLUMN(NOTA[TANGGAL]))),-1)))</f>
        <v/>
      </c>
      <c r="AH774" s="49" t="str">
        <f ca="1">IF(NOTA[[#This Row],[NAMA BARANG]]="","",INDEX(NOTA[SUPPLIER],MATCH(,INDIRECT(ADDRESS(ROW(NOTA[ID]),COLUMN(NOTA[ID]))&amp;":"&amp;ADDRESS(ROW(),COLUMN(NOTA[ID]))),-1)))</f>
        <v/>
      </c>
      <c r="AI774" s="49" t="str">
        <f ca="1">IF(NOTA[[#This Row],[ID_H]]="","",IF(NOTA[[#This Row],[FAKTUR]]="",INDIRECT(ADDRESS(ROW()-1,COLUMN())),NOTA[[#This Row],[FAKTUR]]))</f>
        <v/>
      </c>
      <c r="AJ774" s="38" t="str">
        <f ca="1">IF(NOTA[[#This Row],[ID]]="","",COUNTIF(NOTA[ID_H],NOTA[[#This Row],[ID_H]]))</f>
        <v/>
      </c>
      <c r="AK774" s="38" t="str">
        <f ca="1">IF(NOTA[[#This Row],[TGL.NOTA]]="",IF(NOTA[[#This Row],[SUPPLIER_H]]="","",AK773),MONTH(NOTA[[#This Row],[TGL.NOTA]]))</f>
        <v/>
      </c>
      <c r="AL774" s="38" t="str">
        <f>LOWER(SUBSTITUTE(SUBSTITUTE(SUBSTITUTE(SUBSTITUTE(SUBSTITUTE(SUBSTITUTE(SUBSTITUTE(SUBSTITUTE(SUBSTITUTE(NOTA[NAMA BARANG]," ",),".",""),"-",""),"(",""),")",""),",",""),"/",""),"""",""),"+",""))</f>
        <v/>
      </c>
      <c r="AM774" s="38" t="str">
        <f>IF(NOTA[C]="",NOTA[[#This Row],[CONCAT1]]&amp;NOTA[[#This Row],[HARGA SATUAN]],NOTA[[#This Row],[CONCAT1]]&amp;NOTA[[#This Row],[HARGA/ CTN_H]]&amp;NOTA[[#This Row],[DISC 1]]&amp;NOTA[[#This Row],[DISC 2]])</f>
        <v/>
      </c>
      <c r="AN774" s="184" t="str">
        <f>IF(NOTA[[#This Row],[CONCAT1]]="","",MATCH(NOTA[[#This Row],[CONCAT1]],[1]!db[NB NOTA_C],0)+1)</f>
        <v/>
      </c>
    </row>
    <row r="775" spans="1:40" ht="20.100000000000001" customHeight="1" x14ac:dyDescent="0.25">
      <c r="A775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7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KEN_2801_-6</v>
      </c>
      <c r="C775" s="50" t="str">
        <f>IF(NOTA[[#This Row],[CEK_EXP]]&lt;D774,"err","")</f>
        <v/>
      </c>
      <c r="D775" s="50">
        <f>IF(NOTA[[#This Row],[TANGGAL]]="",D774,NOTA[[#This Row],[TANGGAL]])</f>
        <v>44954</v>
      </c>
      <c r="E775" s="50">
        <f ca="1">IF(NOTA[[#This Row],[NAMA BARANG]]="","",INDEX(NOTA[ID],MATCH(,INDIRECT(ADDRESS(ROW(NOTA[ID]),COLUMN(NOTA[ID]))&amp;":"&amp;ADDRESS(ROW(),COLUMN(NOTA[ID]))),-1)))</f>
        <v>149</v>
      </c>
      <c r="F775" s="23"/>
      <c r="G775" s="26" t="s">
        <v>23</v>
      </c>
      <c r="H775" s="26" t="s">
        <v>24</v>
      </c>
      <c r="I775" s="31"/>
      <c r="J775" s="26"/>
      <c r="K775" s="51"/>
      <c r="L775" s="26"/>
      <c r="M775" s="26" t="s">
        <v>895</v>
      </c>
      <c r="N775" s="39">
        <v>20</v>
      </c>
      <c r="O775" s="26">
        <f>720</f>
        <v>720</v>
      </c>
      <c r="P775" s="26" t="s">
        <v>90</v>
      </c>
      <c r="Q775" s="49">
        <v>54300</v>
      </c>
      <c r="R775" s="52"/>
      <c r="S775" s="39" t="s">
        <v>826</v>
      </c>
      <c r="T775" s="53">
        <v>0.17</v>
      </c>
      <c r="U775" s="53"/>
      <c r="V775" s="54"/>
      <c r="W775" s="37"/>
      <c r="X775" s="54">
        <f>IF(NOTA[[#This Row],[HARGA/ CTN]]="",NOTA[[#This Row],[JUMLAH_H]],NOTA[[#This Row],[HARGA/ CTN]]*IF(NOTA[[#This Row],[C]]="",0,NOTA[[#This Row],[C]]))</f>
        <v>39096000</v>
      </c>
      <c r="Y775" s="54">
        <f>IF(NOTA[[#This Row],[JUMLAH]]="","",NOTA[[#This Row],[JUMLAH]]*NOTA[[#This Row],[DISC 1]])</f>
        <v>6646320.0000000009</v>
      </c>
      <c r="Z775" s="54">
        <f>IF(NOTA[[#This Row],[JUMLAH]]="","",(NOTA[[#This Row],[JUMLAH]]-NOTA[[#This Row],[DISC 1-]])*NOTA[[#This Row],[DISC 2]])</f>
        <v>0</v>
      </c>
      <c r="AA775" s="54">
        <f>IF(NOTA[[#This Row],[JUMLAH]]="","",NOTA[[#This Row],[DISC 1-]]+NOTA[[#This Row],[DISC 2-]])</f>
        <v>6646320.0000000009</v>
      </c>
      <c r="AB775" s="54">
        <f>IF(NOTA[[#This Row],[JUMLAH]]="","",NOTA[[#This Row],[JUMLAH]]-NOTA[[#This Row],[DISC]])</f>
        <v>32449680</v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5" s="54">
        <f>IF(OR(NOTA[[#This Row],[QTY]]="",NOTA[[#This Row],[HARGA SATUAN]]="",),"",NOTA[[#This Row],[QTY]]*NOTA[[#This Row],[HARGA SATUAN]])</f>
        <v>39096000</v>
      </c>
      <c r="AG775" s="51">
        <f ca="1">IF(NOTA[ID_H]="","",INDEX(NOTA[TANGGAL],MATCH(,INDIRECT(ADDRESS(ROW(NOTA[TANGGAL]),COLUMN(NOTA[TANGGAL]))&amp;":"&amp;ADDRESS(ROW(),COLUMN(NOTA[TANGGAL]))),-1)))</f>
        <v>44954</v>
      </c>
      <c r="AH775" s="49" t="str">
        <f ca="1">IF(NOTA[[#This Row],[NAMA BARANG]]="","",INDEX(NOTA[SUPPLIER],MATCH(,INDIRECT(ADDRESS(ROW(NOTA[ID]),COLUMN(NOTA[ID]))&amp;":"&amp;ADDRESS(ROW(),COLUMN(NOTA[ID]))),-1)))</f>
        <v>KENKO SINAR INDONESIA</v>
      </c>
      <c r="AI775" s="49" t="str">
        <f ca="1">IF(NOTA[[#This Row],[ID_H]]="","",IF(NOTA[[#This Row],[FAKTUR]]="",INDIRECT(ADDRESS(ROW()-1,COLUMN())),NOTA[[#This Row],[FAKTUR]]))</f>
        <v>ARTO MORO</v>
      </c>
      <c r="AJ775" s="38">
        <f ca="1">IF(NOTA[[#This Row],[ID]]="","",COUNTIF(NOTA[ID_H],NOTA[[#This Row],[ID_H]]))</f>
        <v>6</v>
      </c>
      <c r="AK775" s="38" t="str">
        <f ca="1">IF(NOTA[[#This Row],[TGL.NOTA]]="",IF(NOTA[[#This Row],[SUPPLIER_H]]="","",AK774),MONTH(NOTA[[#This Row],[TGL.NOTA]]))</f>
        <v/>
      </c>
      <c r="AL775" s="38" t="str">
        <f>LOWER(SUBSTITUTE(SUBSTITUTE(SUBSTITUTE(SUBSTITUTE(SUBSTITUTE(SUBSTITUTE(SUBSTITUTE(SUBSTITUTE(SUBSTITUTE(NOTA[NAMA BARANG]," ",),".",""),"-",""),"(",""),")",""),",",""),"/",""),"""",""),"+",""))</f>
        <v>tipexkenkoke01</v>
      </c>
      <c r="AM775" s="38" t="str">
        <f>IF(NOTA[C]="",NOTA[[#This Row],[CONCAT1]]&amp;NOTA[[#This Row],[HARGA SATUAN]],NOTA[[#This Row],[CONCAT1]]&amp;NOTA[[#This Row],[HARGA/ CTN_H]]&amp;NOTA[[#This Row],[DISC 1]]&amp;NOTA[[#This Row],[DISC 2]])</f>
        <v>tipexkenkoke0119548000.17</v>
      </c>
      <c r="AN775" s="184" t="e">
        <f>IF(NOTA[[#This Row],[CONCAT1]]="","",MATCH(NOTA[[#This Row],[CONCAT1]],[1]!db[NB NOTA_C],0)+1)</f>
        <v>#N/A</v>
      </c>
    </row>
    <row r="776" spans="1:40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Row],[CEK_EXP]]&lt;D775,"err","")</f>
        <v/>
      </c>
      <c r="D776" s="50">
        <f>IF(NOTA[[#This Row],[TANGGAL]]="",D775,NOTA[[#This Row],[TANGGAL]])</f>
        <v>44954</v>
      </c>
      <c r="E776" s="50">
        <f ca="1">IF(NOTA[[#This Row],[NAMA BARANG]]="","",INDEX(NOTA[ID],MATCH(,INDIRECT(ADDRESS(ROW(NOTA[ID]),COLUMN(NOTA[ID]))&amp;":"&amp;ADDRESS(ROW(),COLUMN(NOTA[ID]))),-1)))</f>
        <v>149</v>
      </c>
      <c r="F776" s="23"/>
      <c r="G776" s="26"/>
      <c r="H776" s="26"/>
      <c r="I776" s="31"/>
      <c r="J776" s="26"/>
      <c r="K776" s="51"/>
      <c r="L776" s="26"/>
      <c r="M776" s="26" t="s">
        <v>896</v>
      </c>
      <c r="N776" s="39">
        <v>2</v>
      </c>
      <c r="O776" s="26">
        <v>72</v>
      </c>
      <c r="P776" s="26" t="s">
        <v>131</v>
      </c>
      <c r="Q776" s="49">
        <v>66000</v>
      </c>
      <c r="R776" s="52"/>
      <c r="S776" s="39" t="s">
        <v>897</v>
      </c>
      <c r="T776" s="53">
        <v>0.17</v>
      </c>
      <c r="U776" s="53"/>
      <c r="V776" s="54"/>
      <c r="W776" s="37"/>
      <c r="X776" s="54">
        <f>IF(NOTA[[#This Row],[HARGA/ CTN]]="",NOTA[[#This Row],[JUMLAH_H]],NOTA[[#This Row],[HARGA/ CTN]]*IF(NOTA[[#This Row],[C]]="",0,NOTA[[#This Row],[C]]))</f>
        <v>4752000</v>
      </c>
      <c r="Y776" s="54">
        <f>IF(NOTA[[#This Row],[JUMLAH]]="","",NOTA[[#This Row],[JUMLAH]]*NOTA[[#This Row],[DISC 1]])</f>
        <v>807840</v>
      </c>
      <c r="Z776" s="54">
        <f>IF(NOTA[[#This Row],[JUMLAH]]="","",(NOTA[[#This Row],[JUMLAH]]-NOTA[[#This Row],[DISC 1-]])*NOTA[[#This Row],[DISC 2]])</f>
        <v>0</v>
      </c>
      <c r="AA776" s="54">
        <f>IF(NOTA[[#This Row],[JUMLAH]]="","",NOTA[[#This Row],[DISC 1-]]+NOTA[[#This Row],[DISC 2-]])</f>
        <v>807840</v>
      </c>
      <c r="AB776" s="54">
        <f>IF(NOTA[[#This Row],[JUMLAH]]="","",NOTA[[#This Row],[JUMLAH]]-NOTA[[#This Row],[DISC]])</f>
        <v>3944160</v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776" s="54">
        <f>IF(OR(NOTA[[#This Row],[QTY]]="",NOTA[[#This Row],[HARGA SATUAN]]="",),"",NOTA[[#This Row],[QTY]]*NOTA[[#This Row],[HARGA SATUAN]])</f>
        <v>4752000</v>
      </c>
      <c r="AG776" s="51">
        <f ca="1">IF(NOTA[ID_H]="","",INDEX(NOTA[TANGGAL],MATCH(,INDIRECT(ADDRESS(ROW(NOTA[TANGGAL]),COLUMN(NOTA[TANGGAL]))&amp;":"&amp;ADDRESS(ROW(),COLUMN(NOTA[TANGGAL]))),-1)))</f>
        <v>44954</v>
      </c>
      <c r="AH776" s="49" t="str">
        <f ca="1">IF(NOTA[[#This Row],[NAMA BARANG]]="","",INDEX(NOTA[SUPPLIER],MATCH(,INDIRECT(ADDRESS(ROW(NOTA[ID]),COLUMN(NOTA[ID]))&amp;":"&amp;ADDRESS(ROW(),COLUMN(NOTA[ID]))),-1)))</f>
        <v>KENKO SINAR INDONESIA</v>
      </c>
      <c r="AI776" s="49" t="str">
        <f ca="1">IF(NOTA[[#This Row],[ID_H]]="","",IF(NOTA[[#This Row],[FAKTUR]]="",INDIRECT(ADDRESS(ROW()-1,COLUMN())),NOTA[[#This Row],[FAKTUR]]))</f>
        <v>ARTO MORO</v>
      </c>
      <c r="AJ776" s="38" t="str">
        <f ca="1">IF(NOTA[[#This Row],[ID]]="","",COUNTIF(NOTA[ID_H],NOTA[[#This Row],[ID_H]]))</f>
        <v/>
      </c>
      <c r="AK776" s="38" t="str">
        <f ca="1">IF(NOTA[[#This Row],[TGL.NOTA]]="",IF(NOTA[[#This Row],[SUPPLIER_H]]="","",AK775),MONTH(NOTA[[#This Row],[TGL.NOTA]]))</f>
        <v/>
      </c>
      <c r="AL776" s="38" t="str">
        <f>LOWER(SUBSTITUTE(SUBSTITUTE(SUBSTITUTE(SUBSTITUTE(SUBSTITUTE(SUBSTITUTE(SUBSTITUTE(SUBSTITUTE(SUBSTITUTE(NOTA[NAMA BARANG]," ",),".",""),"-",""),"(",""),")",""),",",""),"/",""),"""",""),"+",""))</f>
        <v>lemstick8gr</v>
      </c>
      <c r="AM776" s="38" t="str">
        <f>IF(NOTA[C]="",NOTA[[#This Row],[CONCAT1]]&amp;NOTA[[#This Row],[HARGA SATUAN]],NOTA[[#This Row],[CONCAT1]]&amp;NOTA[[#This Row],[HARGA/ CTN_H]]&amp;NOTA[[#This Row],[DISC 1]]&amp;NOTA[[#This Row],[DISC 2]])</f>
        <v>lemstick8gr23760000.17</v>
      </c>
      <c r="AN776" s="184" t="e">
        <f>IF(NOTA[[#This Row],[CONCAT1]]="","",MATCH(NOTA[[#This Row],[CONCAT1]],[1]!db[NB NOTA_C],0)+1)</f>
        <v>#N/A</v>
      </c>
    </row>
    <row r="777" spans="1:40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Row],[CEK_EXP]]&lt;D776,"err","")</f>
        <v/>
      </c>
      <c r="D777" s="50">
        <f>IF(NOTA[[#This Row],[TANGGAL]]="",D776,NOTA[[#This Row],[TANGGAL]])</f>
        <v>44954</v>
      </c>
      <c r="E777" s="50">
        <f ca="1">IF(NOTA[[#This Row],[NAMA BARANG]]="","",INDEX(NOTA[ID],MATCH(,INDIRECT(ADDRESS(ROW(NOTA[ID]),COLUMN(NOTA[ID]))&amp;":"&amp;ADDRESS(ROW(),COLUMN(NOTA[ID]))),-1)))</f>
        <v>149</v>
      </c>
      <c r="F777" s="23"/>
      <c r="G777" s="26"/>
      <c r="H777" s="26"/>
      <c r="I777" s="31"/>
      <c r="J777" s="26"/>
      <c r="K777" s="51"/>
      <c r="L777" s="26"/>
      <c r="M777" s="26" t="s">
        <v>898</v>
      </c>
      <c r="N777" s="39">
        <v>3</v>
      </c>
      <c r="O777" s="26">
        <v>90</v>
      </c>
      <c r="P777" s="26" t="s">
        <v>274</v>
      </c>
      <c r="Q777" s="49">
        <v>69000</v>
      </c>
      <c r="R777" s="52"/>
      <c r="S777" s="39" t="s">
        <v>136</v>
      </c>
      <c r="T777" s="53">
        <v>0.17</v>
      </c>
      <c r="U777" s="53"/>
      <c r="V777" s="54"/>
      <c r="W777" s="37"/>
      <c r="X777" s="54">
        <f>IF(NOTA[[#This Row],[HARGA/ CTN]]="",NOTA[[#This Row],[JUMLAH_H]],NOTA[[#This Row],[HARGA/ CTN]]*IF(NOTA[[#This Row],[C]]="",0,NOTA[[#This Row],[C]]))</f>
        <v>6210000</v>
      </c>
      <c r="Y777" s="54">
        <f>IF(NOTA[[#This Row],[JUMLAH]]="","",NOTA[[#This Row],[JUMLAH]]*NOTA[[#This Row],[DISC 1]])</f>
        <v>1055700</v>
      </c>
      <c r="Z777" s="54">
        <f>IF(NOTA[[#This Row],[JUMLAH]]="","",(NOTA[[#This Row],[JUMLAH]]-NOTA[[#This Row],[DISC 1-]])*NOTA[[#This Row],[DISC 2]])</f>
        <v>0</v>
      </c>
      <c r="AA777" s="54">
        <f>IF(NOTA[[#This Row],[JUMLAH]]="","",NOTA[[#This Row],[DISC 1-]]+NOTA[[#This Row],[DISC 2-]])</f>
        <v>1055700</v>
      </c>
      <c r="AB777" s="54">
        <f>IF(NOTA[[#This Row],[JUMLAH]]="","",NOTA[[#This Row],[JUMLAH]]-NOTA[[#This Row],[DISC]])</f>
        <v>5154300</v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49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777" s="54">
        <f>IF(OR(NOTA[[#This Row],[QTY]]="",NOTA[[#This Row],[HARGA SATUAN]]="",),"",NOTA[[#This Row],[QTY]]*NOTA[[#This Row],[HARGA SATUAN]])</f>
        <v>6210000</v>
      </c>
      <c r="AG777" s="51">
        <f ca="1">IF(NOTA[ID_H]="","",INDEX(NOTA[TANGGAL],MATCH(,INDIRECT(ADDRESS(ROW(NOTA[TANGGAL]),COLUMN(NOTA[TANGGAL]))&amp;":"&amp;ADDRESS(ROW(),COLUMN(NOTA[TANGGAL]))),-1)))</f>
        <v>44954</v>
      </c>
      <c r="AH777" s="49" t="str">
        <f ca="1">IF(NOTA[[#This Row],[NAMA BARANG]]="","",INDEX(NOTA[SUPPLIER],MATCH(,INDIRECT(ADDRESS(ROW(NOTA[ID]),COLUMN(NOTA[ID]))&amp;":"&amp;ADDRESS(ROW(),COLUMN(NOTA[ID]))),-1)))</f>
        <v>KENKO SINAR INDONESIA</v>
      </c>
      <c r="AI777" s="49" t="str">
        <f ca="1">IF(NOTA[[#This Row],[ID_H]]="","",IF(NOTA[[#This Row],[FAKTUR]]="",INDIRECT(ADDRESS(ROW()-1,COLUMN())),NOTA[[#This Row],[FAKTUR]]))</f>
        <v>ARTO MORO</v>
      </c>
      <c r="AJ777" s="38" t="str">
        <f ca="1">IF(NOTA[[#This Row],[ID]]="","",COUNTIF(NOTA[ID_H],NOTA[[#This Row],[ID_H]]))</f>
        <v/>
      </c>
      <c r="AK777" s="38" t="str">
        <f ca="1">IF(NOTA[[#This Row],[TGL.NOTA]]="",IF(NOTA[[#This Row],[SUPPLIER_H]]="","",AK776),MONTH(NOTA[[#This Row],[TGL.NOTA]]))</f>
        <v/>
      </c>
      <c r="AL777" s="38" t="str">
        <f>LOWER(SUBSTITUTE(SUBSTITUTE(SUBSTITUTE(SUBSTITUTE(SUBSTITUTE(SUBSTITUTE(SUBSTITUTE(SUBSTITUTE(SUBSTITUTE(NOTA[NAMA BARANG]," ",),".",""),"-",""),"(",""),")",""),",",""),"/",""),"""",""),"+",""))</f>
        <v>bclip155</v>
      </c>
      <c r="AM777" s="38" t="str">
        <f>IF(NOTA[C]="",NOTA[[#This Row],[CONCAT1]]&amp;NOTA[[#This Row],[HARGA SATUAN]],NOTA[[#This Row],[CONCAT1]]&amp;NOTA[[#This Row],[HARGA/ CTN_H]]&amp;NOTA[[#This Row],[DISC 1]]&amp;NOTA[[#This Row],[DISC 2]])</f>
        <v>bclip15520700000.17</v>
      </c>
      <c r="AN777" s="184" t="e">
        <f>IF(NOTA[[#This Row],[CONCAT1]]="","",MATCH(NOTA[[#This Row],[CONCAT1]],[1]!db[NB NOTA_C],0)+1)</f>
        <v>#N/A</v>
      </c>
    </row>
    <row r="778" spans="1:40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Row],[CEK_EXP]]&lt;D777,"err","")</f>
        <v/>
      </c>
      <c r="D778" s="50">
        <f>IF(NOTA[[#This Row],[TANGGAL]]="",D777,NOTA[[#This Row],[TANGGAL]])</f>
        <v>44954</v>
      </c>
      <c r="E778" s="50">
        <f ca="1">IF(NOTA[[#This Row],[NAMA BARANG]]="","",INDEX(NOTA[ID],MATCH(,INDIRECT(ADDRESS(ROW(NOTA[ID]),COLUMN(NOTA[ID]))&amp;":"&amp;ADDRESS(ROW(),COLUMN(NOTA[ID]))),-1)))</f>
        <v>149</v>
      </c>
      <c r="F778" s="23"/>
      <c r="G778" s="26"/>
      <c r="H778" s="26"/>
      <c r="I778" s="31"/>
      <c r="J778" s="26"/>
      <c r="K778" s="51"/>
      <c r="L778" s="26"/>
      <c r="M778" s="26" t="s">
        <v>899</v>
      </c>
      <c r="N778" s="39">
        <v>2</v>
      </c>
      <c r="O778" s="26">
        <v>20</v>
      </c>
      <c r="P778" s="26" t="s">
        <v>274</v>
      </c>
      <c r="Q778" s="49">
        <v>120000</v>
      </c>
      <c r="R778" s="52"/>
      <c r="S778" s="39" t="s">
        <v>900</v>
      </c>
      <c r="T778" s="53">
        <v>0.17</v>
      </c>
      <c r="U778" s="53"/>
      <c r="V778" s="54"/>
      <c r="W778" s="37"/>
      <c r="X778" s="54">
        <f>IF(NOTA[[#This Row],[HARGA/ CTN]]="",NOTA[[#This Row],[JUMLAH_H]],NOTA[[#This Row],[HARGA/ CTN]]*IF(NOTA[[#This Row],[C]]="",0,NOTA[[#This Row],[C]]))</f>
        <v>2400000</v>
      </c>
      <c r="Y778" s="54">
        <f>IF(NOTA[[#This Row],[JUMLAH]]="","",NOTA[[#This Row],[JUMLAH]]*NOTA[[#This Row],[DISC 1]])</f>
        <v>408000.00000000006</v>
      </c>
      <c r="Z778" s="54">
        <f>IF(NOTA[[#This Row],[JUMLAH]]="","",(NOTA[[#This Row],[JUMLAH]]-NOTA[[#This Row],[DISC 1-]])*NOTA[[#This Row],[DISC 2]])</f>
        <v>0</v>
      </c>
      <c r="AA778" s="54">
        <f>IF(NOTA[[#This Row],[JUMLAH]]="","",NOTA[[#This Row],[DISC 1-]]+NOTA[[#This Row],[DISC 2-]])</f>
        <v>408000.00000000006</v>
      </c>
      <c r="AB778" s="54">
        <f>IF(NOTA[[#This Row],[JUMLAH]]="","",NOTA[[#This Row],[JUMLAH]]-NOTA[[#This Row],[DISC]])</f>
        <v>1992000</v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78" s="54">
        <f>IF(OR(NOTA[[#This Row],[QTY]]="",NOTA[[#This Row],[HARGA SATUAN]]="",),"",NOTA[[#This Row],[QTY]]*NOTA[[#This Row],[HARGA SATUAN]])</f>
        <v>2400000</v>
      </c>
      <c r="AG778" s="51">
        <f ca="1">IF(NOTA[ID_H]="","",INDEX(NOTA[TANGGAL],MATCH(,INDIRECT(ADDRESS(ROW(NOTA[TANGGAL]),COLUMN(NOTA[TANGGAL]))&amp;":"&amp;ADDRESS(ROW(),COLUMN(NOTA[TANGGAL]))),-1)))</f>
        <v>44954</v>
      </c>
      <c r="AH778" s="49" t="str">
        <f ca="1">IF(NOTA[[#This Row],[NAMA BARANG]]="","",INDEX(NOTA[SUPPLIER],MATCH(,INDIRECT(ADDRESS(ROW(NOTA[ID]),COLUMN(NOTA[ID]))&amp;":"&amp;ADDRESS(ROW(),COLUMN(NOTA[ID]))),-1)))</f>
        <v>KENKO SINAR INDONESIA</v>
      </c>
      <c r="AI778" s="49" t="str">
        <f ca="1">IF(NOTA[[#This Row],[ID_H]]="","",IF(NOTA[[#This Row],[FAKTUR]]="",INDIRECT(ADDRESS(ROW()-1,COLUMN())),NOTA[[#This Row],[FAKTUR]]))</f>
        <v>ARTO MORO</v>
      </c>
      <c r="AJ778" s="38" t="str">
        <f ca="1">IF(NOTA[[#This Row],[ID]]="","",COUNTIF(NOTA[ID_H],NOTA[[#This Row],[ID_H]]))</f>
        <v/>
      </c>
      <c r="AK778" s="38" t="str">
        <f ca="1">IF(NOTA[[#This Row],[TGL.NOTA]]="",IF(NOTA[[#This Row],[SUPPLIER_H]]="","",AK777),MONTH(NOTA[[#This Row],[TGL.NOTA]]))</f>
        <v/>
      </c>
      <c r="AL778" s="38" t="str">
        <f>LOWER(SUBSTITUTE(SUBSTITUTE(SUBSTITUTE(SUBSTITUTE(SUBSTITUTE(SUBSTITUTE(SUBSTITUTE(SUBSTITUTE(SUBSTITUTE(NOTA[NAMA BARANG]," ",),".",""),"-",""),"(",""),")",""),",",""),"/",""),"""",""),"+",""))</f>
        <v>bclip200</v>
      </c>
      <c r="AM778" s="38" t="str">
        <f>IF(NOTA[C]="",NOTA[[#This Row],[CONCAT1]]&amp;NOTA[[#This Row],[HARGA SATUAN]],NOTA[[#This Row],[CONCAT1]]&amp;NOTA[[#This Row],[HARGA/ CTN_H]]&amp;NOTA[[#This Row],[DISC 1]]&amp;NOTA[[#This Row],[DISC 2]])</f>
        <v>bclip20012000000.17</v>
      </c>
      <c r="AN778" s="184" t="e">
        <f>IF(NOTA[[#This Row],[CONCAT1]]="","",MATCH(NOTA[[#This Row],[CONCAT1]],[1]!db[NB NOTA_C],0)+1)</f>
        <v>#N/A</v>
      </c>
    </row>
    <row r="779" spans="1:40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Row],[CEK_EXP]]&lt;D778,"err","")</f>
        <v/>
      </c>
      <c r="D779" s="50">
        <f>IF(NOTA[[#This Row],[TANGGAL]]="",D778,NOTA[[#This Row],[TANGGAL]])</f>
        <v>44954</v>
      </c>
      <c r="E779" s="50">
        <f ca="1">IF(NOTA[[#This Row],[NAMA BARANG]]="","",INDEX(NOTA[ID],MATCH(,INDIRECT(ADDRESS(ROW(NOTA[ID]),COLUMN(NOTA[ID]))&amp;":"&amp;ADDRESS(ROW(),COLUMN(NOTA[ID]))),-1)))</f>
        <v>149</v>
      </c>
      <c r="F779" s="23"/>
      <c r="G779" s="26"/>
      <c r="H779" s="26"/>
      <c r="I779" s="31"/>
      <c r="J779" s="26"/>
      <c r="K779" s="51"/>
      <c r="L779" s="26"/>
      <c r="M779" s="26" t="s">
        <v>901</v>
      </c>
      <c r="N779" s="39">
        <v>6</v>
      </c>
      <c r="O779" s="26">
        <v>30</v>
      </c>
      <c r="P779" s="26" t="s">
        <v>274</v>
      </c>
      <c r="Q779" s="49">
        <v>180000</v>
      </c>
      <c r="R779" s="52"/>
      <c r="S779" s="39" t="s">
        <v>411</v>
      </c>
      <c r="T779" s="53">
        <v>0.17</v>
      </c>
      <c r="U779" s="53"/>
      <c r="V779" s="54"/>
      <c r="W779" s="37"/>
      <c r="X779" s="54">
        <f>IF(NOTA[[#This Row],[HARGA/ CTN]]="",NOTA[[#This Row],[JUMLAH_H]],NOTA[[#This Row],[HARGA/ CTN]]*IF(NOTA[[#This Row],[C]]="",0,NOTA[[#This Row],[C]]))</f>
        <v>5400000</v>
      </c>
      <c r="Y779" s="54">
        <f>IF(NOTA[[#This Row],[JUMLAH]]="","",NOTA[[#This Row],[JUMLAH]]*NOTA[[#This Row],[DISC 1]])</f>
        <v>918000.00000000012</v>
      </c>
      <c r="Z779" s="54">
        <f>IF(NOTA[[#This Row],[JUMLAH]]="","",(NOTA[[#This Row],[JUMLAH]]-NOTA[[#This Row],[DISC 1-]])*NOTA[[#This Row],[DISC 2]])</f>
        <v>0</v>
      </c>
      <c r="AA779" s="54">
        <f>IF(NOTA[[#This Row],[JUMLAH]]="","",NOTA[[#This Row],[DISC 1-]]+NOTA[[#This Row],[DISC 2-]])</f>
        <v>918000.00000000012</v>
      </c>
      <c r="AB779" s="54">
        <f>IF(NOTA[[#This Row],[JUMLAH]]="","",NOTA[[#This Row],[JUMLAH]]-NOTA[[#This Row],[DISC]])</f>
        <v>4482000</v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79" s="54">
        <f>IF(OR(NOTA[[#This Row],[QTY]]="",NOTA[[#This Row],[HARGA SATUAN]]="",),"",NOTA[[#This Row],[QTY]]*NOTA[[#This Row],[HARGA SATUAN]])</f>
        <v>5400000</v>
      </c>
      <c r="AG779" s="51">
        <f ca="1">IF(NOTA[ID_H]="","",INDEX(NOTA[TANGGAL],MATCH(,INDIRECT(ADDRESS(ROW(NOTA[TANGGAL]),COLUMN(NOTA[TANGGAL]))&amp;":"&amp;ADDRESS(ROW(),COLUMN(NOTA[TANGGAL]))),-1)))</f>
        <v>44954</v>
      </c>
      <c r="AH779" s="49" t="str">
        <f ca="1">IF(NOTA[[#This Row],[NAMA BARANG]]="","",INDEX(NOTA[SUPPLIER],MATCH(,INDIRECT(ADDRESS(ROW(NOTA[ID]),COLUMN(NOTA[ID]))&amp;":"&amp;ADDRESS(ROW(),COLUMN(NOTA[ID]))),-1)))</f>
        <v>KENKO SINAR INDONESIA</v>
      </c>
      <c r="AI779" s="49" t="str">
        <f ca="1">IF(NOTA[[#This Row],[ID_H]]="","",IF(NOTA[[#This Row],[FAKTUR]]="",INDIRECT(ADDRESS(ROW()-1,COLUMN())),NOTA[[#This Row],[FAKTUR]]))</f>
        <v>ARTO MORO</v>
      </c>
      <c r="AJ779" s="38" t="str">
        <f ca="1">IF(NOTA[[#This Row],[ID]]="","",COUNTIF(NOTA[ID_H],NOTA[[#This Row],[ID_H]]))</f>
        <v/>
      </c>
      <c r="AK779" s="38" t="str">
        <f ca="1">IF(NOTA[[#This Row],[TGL.NOTA]]="",IF(NOTA[[#This Row],[SUPPLIER_H]]="","",AK778),MONTH(NOTA[[#This Row],[TGL.NOTA]]))</f>
        <v/>
      </c>
      <c r="AL779" s="38" t="str">
        <f>LOWER(SUBSTITUTE(SUBSTITUTE(SUBSTITUTE(SUBSTITUTE(SUBSTITUTE(SUBSTITUTE(SUBSTITUTE(SUBSTITUTE(SUBSTITUTE(NOTA[NAMA BARANG]," ",),".",""),"-",""),"(",""),")",""),",",""),"/",""),"""",""),"+",""))</f>
        <v>bclip260</v>
      </c>
      <c r="AM779" s="38" t="str">
        <f>IF(NOTA[C]="",NOTA[[#This Row],[CONCAT1]]&amp;NOTA[[#This Row],[HARGA SATUAN]],NOTA[[#This Row],[CONCAT1]]&amp;NOTA[[#This Row],[HARGA/ CTN_H]]&amp;NOTA[[#This Row],[DISC 1]]&amp;NOTA[[#This Row],[DISC 2]])</f>
        <v>bclip2609000000.17</v>
      </c>
      <c r="AN779" s="184" t="e">
        <f>IF(NOTA[[#This Row],[CONCAT1]]="","",MATCH(NOTA[[#This Row],[CONCAT1]],[1]!db[NB NOTA_C],0)+1)</f>
        <v>#N/A</v>
      </c>
    </row>
    <row r="780" spans="1:40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Row],[CEK_EXP]]&lt;D779,"err","")</f>
        <v/>
      </c>
      <c r="D780" s="50">
        <f>IF(NOTA[[#This Row],[TANGGAL]]="",D779,NOTA[[#This Row],[TANGGAL]])</f>
        <v>44954</v>
      </c>
      <c r="E780" s="50">
        <f ca="1">IF(NOTA[[#This Row],[NAMA BARANG]]="","",INDEX(NOTA[ID],MATCH(,INDIRECT(ADDRESS(ROW(NOTA[ID]),COLUMN(NOTA[ID]))&amp;":"&amp;ADDRESS(ROW(),COLUMN(NOTA[ID]))),-1)))</f>
        <v>149</v>
      </c>
      <c r="F780" s="23"/>
      <c r="G780" s="26"/>
      <c r="H780" s="26"/>
      <c r="I780" s="31"/>
      <c r="J780" s="26"/>
      <c r="K780" s="51"/>
      <c r="L780" s="26"/>
      <c r="M780" s="26" t="s">
        <v>902</v>
      </c>
      <c r="N780" s="39">
        <v>1</v>
      </c>
      <c r="O780" s="26">
        <v>48</v>
      </c>
      <c r="P780" s="26" t="s">
        <v>90</v>
      </c>
      <c r="Q780" s="49">
        <v>54000</v>
      </c>
      <c r="R780" s="52"/>
      <c r="S780" s="39" t="s">
        <v>105</v>
      </c>
      <c r="T780" s="53">
        <v>0.17</v>
      </c>
      <c r="U780" s="53"/>
      <c r="V780" s="54"/>
      <c r="W780" s="37"/>
      <c r="X780" s="54">
        <f>IF(NOTA[[#This Row],[HARGA/ CTN]]="",NOTA[[#This Row],[JUMLAH_H]],NOTA[[#This Row],[HARGA/ CTN]]*IF(NOTA[[#This Row],[C]]="",0,NOTA[[#This Row],[C]]))</f>
        <v>2592000</v>
      </c>
      <c r="Y780" s="54">
        <f>IF(NOTA[[#This Row],[JUMLAH]]="","",NOTA[[#This Row],[JUMLAH]]*NOTA[[#This Row],[DISC 1]])</f>
        <v>440640.00000000006</v>
      </c>
      <c r="Z780" s="54">
        <f>IF(NOTA[[#This Row],[JUMLAH]]="","",(NOTA[[#This Row],[JUMLAH]]-NOTA[[#This Row],[DISC 1-]])*NOTA[[#This Row],[DISC 2]])</f>
        <v>0</v>
      </c>
      <c r="AA780" s="54">
        <f>IF(NOTA[[#This Row],[JUMLAH]]="","",NOTA[[#This Row],[DISC 1-]]+NOTA[[#This Row],[DISC 2-]])</f>
        <v>440640.00000000006</v>
      </c>
      <c r="AB780" s="54">
        <f>IF(NOTA[[#This Row],[JUMLAH]]="","",NOTA[[#This Row],[JUMLAH]]-NOTA[[#This Row],[DISC]])</f>
        <v>2151360</v>
      </c>
      <c r="AC7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10276500</v>
      </c>
      <c r="AD7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50173500</v>
      </c>
      <c r="AE78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80" s="54">
        <f>IF(OR(NOTA[[#This Row],[QTY]]="",NOTA[[#This Row],[HARGA SATUAN]]="",),"",NOTA[[#This Row],[QTY]]*NOTA[[#This Row],[HARGA SATUAN]])</f>
        <v>2592000</v>
      </c>
      <c r="AG780" s="51">
        <f ca="1">IF(NOTA[ID_H]="","",INDEX(NOTA[TANGGAL],MATCH(,INDIRECT(ADDRESS(ROW(NOTA[TANGGAL]),COLUMN(NOTA[TANGGAL]))&amp;":"&amp;ADDRESS(ROW(),COLUMN(NOTA[TANGGAL]))),-1)))</f>
        <v>44954</v>
      </c>
      <c r="AH780" s="49" t="str">
        <f ca="1">IF(NOTA[[#This Row],[NAMA BARANG]]="","",INDEX(NOTA[SUPPLIER],MATCH(,INDIRECT(ADDRESS(ROW(NOTA[ID]),COLUMN(NOTA[ID]))&amp;":"&amp;ADDRESS(ROW(),COLUMN(NOTA[ID]))),-1)))</f>
        <v>KENKO SINAR INDONESIA</v>
      </c>
      <c r="AI780" s="49" t="str">
        <f ca="1">IF(NOTA[[#This Row],[ID_H]]="","",IF(NOTA[[#This Row],[FAKTUR]]="",INDIRECT(ADDRESS(ROW()-1,COLUMN())),NOTA[[#This Row],[FAKTUR]]))</f>
        <v>ARTO MORO</v>
      </c>
      <c r="AJ780" s="38" t="str">
        <f ca="1">IF(NOTA[[#This Row],[ID]]="","",COUNTIF(NOTA[ID_H],NOTA[[#This Row],[ID_H]]))</f>
        <v/>
      </c>
      <c r="AK780" s="38" t="str">
        <f ca="1">IF(NOTA[[#This Row],[TGL.NOTA]]="",IF(NOTA[[#This Row],[SUPPLIER_H]]="","",AK779),MONTH(NOTA[[#This Row],[TGL.NOTA]]))</f>
        <v/>
      </c>
      <c r="AL780" s="38" t="str">
        <f>LOWER(SUBSTITUTE(SUBSTITUTE(SUBSTITUTE(SUBSTITUTE(SUBSTITUTE(SUBSTITUTE(SUBSTITUTE(SUBSTITUTE(SUBSTITUTE(NOTA[NAMA BARANG]," ",),".",""),"-",""),"(",""),")",""),",",""),"/",""),"""",""),"+",""))</f>
        <v>tipex831</v>
      </c>
      <c r="AM780" s="38" t="str">
        <f>IF(NOTA[C]="",NOTA[[#This Row],[CONCAT1]]&amp;NOTA[[#This Row],[HARGA SATUAN]],NOTA[[#This Row],[CONCAT1]]&amp;NOTA[[#This Row],[HARGA/ CTN_H]]&amp;NOTA[[#This Row],[DISC 1]]&amp;NOTA[[#This Row],[DISC 2]])</f>
        <v>tipex83125920000.17</v>
      </c>
      <c r="AN780" s="184" t="e">
        <f>IF(NOTA[[#This Row],[CONCAT1]]="","",MATCH(NOTA[[#This Row],[CONCAT1]],[1]!db[NB NOTA_C],0)+1)</f>
        <v>#N/A</v>
      </c>
    </row>
    <row r="781" spans="1:40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Row],[CEK_EXP]]&lt;D780,"err","")</f>
        <v/>
      </c>
      <c r="D781" s="50">
        <f>IF(NOTA[[#This Row],[TANGGAL]]="",D780,NOTA[[#This Row],[TANGGAL]])</f>
        <v>44954</v>
      </c>
      <c r="E781" s="50" t="str">
        <f ca="1">IF(NOTA[[#This Row],[NAMA BARANG]]="","",INDEX(NOTA[ID],MATCH(,INDIRECT(ADDRESS(ROW(NOTA[ID]),COLUMN(NOTA[ID]))&amp;":"&amp;ADDRESS(ROW(),COLUMN(NOTA[ID]))),-1)))</f>
        <v/>
      </c>
      <c r="F781" s="23"/>
      <c r="G781" s="26"/>
      <c r="H781" s="26"/>
      <c r="I781" s="31"/>
      <c r="J781" s="26"/>
      <c r="K781" s="51"/>
      <c r="L781" s="26"/>
      <c r="M781" s="26"/>
      <c r="N781" s="39"/>
      <c r="O781" s="26"/>
      <c r="P781" s="26"/>
      <c r="Q781" s="49"/>
      <c r="R781" s="52"/>
      <c r="S781" s="39"/>
      <c r="T781" s="53"/>
      <c r="U781" s="53"/>
      <c r="V781" s="54"/>
      <c r="W781" s="37"/>
      <c r="X781" s="54" t="str">
        <f>IF(NOTA[[#This Row],[HARGA/ CTN]]="",NOTA[[#This Row],[JUMLAH_H]],NOTA[[#This Row],[HARGA/ CTN]]*IF(NOTA[[#This Row],[C]]="",0,NOTA[[#This Row],[C]]))</f>
        <v/>
      </c>
      <c r="Y781" s="54" t="str">
        <f>IF(NOTA[[#This Row],[JUMLAH]]="","",NOTA[[#This Row],[JUMLAH]]*NOTA[[#This Row],[DISC 1]])</f>
        <v/>
      </c>
      <c r="Z781" s="54" t="str">
        <f>IF(NOTA[[#This Row],[JUMLAH]]="","",(NOTA[[#This Row],[JUMLAH]]-NOTA[[#This Row],[DISC 1-]])*NOTA[[#This Row],[DISC 2]])</f>
        <v/>
      </c>
      <c r="AA781" s="54" t="str">
        <f>IF(NOTA[[#This Row],[JUMLAH]]="","",NOTA[[#This Row],[DISC 1-]]+NOTA[[#This Row],[DISC 2-]])</f>
        <v/>
      </c>
      <c r="AB781" s="54" t="str">
        <f>IF(NOTA[[#This Row],[JUMLAH]]="","",NOTA[[#This Row],[JUMLAH]]-NOTA[[#This Row],[DISC]])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54" t="str">
        <f>IF(OR(NOTA[[#This Row],[QTY]]="",NOTA[[#This Row],[HARGA SATUAN]]="",),"",NOTA[[#This Row],[QTY]]*NOTA[[#This Row],[HARGA SATUAN]])</f>
        <v/>
      </c>
      <c r="AG781" s="51" t="str">
        <f ca="1">IF(NOTA[ID_H]="","",INDEX(NOTA[TANGGAL],MATCH(,INDIRECT(ADDRESS(ROW(NOTA[TANGGAL]),COLUMN(NOTA[TANGGAL]))&amp;":"&amp;ADDRESS(ROW(),COLUMN(NOTA[TANGGAL]))),-1)))</f>
        <v/>
      </c>
      <c r="AH781" s="49" t="str">
        <f ca="1">IF(NOTA[[#This Row],[NAMA BARANG]]="","",INDEX(NOTA[SUPPLIER],MATCH(,INDIRECT(ADDRESS(ROW(NOTA[ID]),COLUMN(NOTA[ID]))&amp;":"&amp;ADDRESS(ROW(),COLUMN(NOTA[ID]))),-1)))</f>
        <v/>
      </c>
      <c r="AI781" s="49" t="str">
        <f ca="1">IF(NOTA[[#This Row],[ID_H]]="","",IF(NOTA[[#This Row],[FAKTUR]]="",INDIRECT(ADDRESS(ROW()-1,COLUMN())),NOTA[[#This Row],[FAKTUR]]))</f>
        <v/>
      </c>
      <c r="AJ781" s="38" t="str">
        <f ca="1">IF(NOTA[[#This Row],[ID]]="","",COUNTIF(NOTA[ID_H],NOTA[[#This Row],[ID_H]]))</f>
        <v/>
      </c>
      <c r="AK781" s="38" t="str">
        <f ca="1">IF(NOTA[[#This Row],[TGL.NOTA]]="",IF(NOTA[[#This Row],[SUPPLIER_H]]="","",AK780),MONTH(NOTA[[#This Row],[TGL.NOTA]]))</f>
        <v/>
      </c>
      <c r="AL781" s="38" t="str">
        <f>LOWER(SUBSTITUTE(SUBSTITUTE(SUBSTITUTE(SUBSTITUTE(SUBSTITUTE(SUBSTITUTE(SUBSTITUTE(SUBSTITUTE(SUBSTITUTE(NOTA[NAMA BARANG]," ",),".",""),"-",""),"(",""),")",""),",",""),"/",""),"""",""),"+",""))</f>
        <v/>
      </c>
      <c r="AM781" s="38" t="str">
        <f>IF(NOTA[C]="",NOTA[[#This Row],[CONCAT1]]&amp;NOTA[[#This Row],[HARGA SATUAN]],NOTA[[#This Row],[CONCAT1]]&amp;NOTA[[#This Row],[HARGA/ CTN_H]]&amp;NOTA[[#This Row],[DISC 1]]&amp;NOTA[[#This Row],[DISC 2]])</f>
        <v/>
      </c>
      <c r="AN781" s="184" t="str">
        <f>IF(NOTA[[#This Row],[CONCAT1]]="","",MATCH(NOTA[[#This Row],[CONCAT1]],[1]!db[NB NOTA_C],0)+1)</f>
        <v/>
      </c>
    </row>
    <row r="782" spans="1:40" ht="20.100000000000001" customHeight="1" x14ac:dyDescent="0.25">
      <c r="A782" s="49">
        <f ca="1">IF(INDIRECT(ADDRESS(ROW()-1,COLUMN(NOTA[[#Headers],[ID]])))="ID",1,IF(NOTA[[#This Row],[FAKTUR]]="","",COUNT(INDIRECT(ADDRESS(ROW(NOTA[ID]),COLUMN(NOTA[ID]))&amp;":"&amp;ADDRESS(ROW()-1,COLUMN(NOTA[ID]))))+1))</f>
        <v>150</v>
      </c>
      <c r="B7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KEN_2801_-10</v>
      </c>
      <c r="C782" s="50" t="str">
        <f>IF(NOTA[[#This Row],[CEK_EXP]]&lt;D781,"err","")</f>
        <v/>
      </c>
      <c r="D782" s="50">
        <f>IF(NOTA[[#This Row],[TANGGAL]]="",D781,NOTA[[#This Row],[TANGGAL]])</f>
        <v>44954</v>
      </c>
      <c r="E782" s="50">
        <f ca="1">IF(NOTA[[#This Row],[NAMA BARANG]]="","",INDEX(NOTA[ID],MATCH(,INDIRECT(ADDRESS(ROW(NOTA[ID]),COLUMN(NOTA[ID]))&amp;":"&amp;ADDRESS(ROW(),COLUMN(NOTA[ID]))),-1)))</f>
        <v>150</v>
      </c>
      <c r="F782" s="23"/>
      <c r="G782" s="26" t="s">
        <v>23</v>
      </c>
      <c r="H782" s="26" t="s">
        <v>24</v>
      </c>
      <c r="I782" s="31"/>
      <c r="J782" s="26"/>
      <c r="K782" s="51"/>
      <c r="L782" s="26"/>
      <c r="M782" s="26" t="s">
        <v>903</v>
      </c>
      <c r="N782" s="39">
        <v>1</v>
      </c>
      <c r="O782" s="26">
        <v>96</v>
      </c>
      <c r="P782" s="26" t="s">
        <v>95</v>
      </c>
      <c r="Q782" s="49">
        <v>8350</v>
      </c>
      <c r="R782" s="52"/>
      <c r="S782" s="39" t="s">
        <v>904</v>
      </c>
      <c r="T782" s="53">
        <v>0.17</v>
      </c>
      <c r="U782" s="53"/>
      <c r="V782" s="54"/>
      <c r="W782" s="37"/>
      <c r="X782" s="54">
        <f>IF(NOTA[[#This Row],[HARGA/ CTN]]="",NOTA[[#This Row],[JUMLAH_H]],NOTA[[#This Row],[HARGA/ CTN]]*IF(NOTA[[#This Row],[C]]="",0,NOTA[[#This Row],[C]]))</f>
        <v>801600</v>
      </c>
      <c r="Y782" s="54">
        <f>IF(NOTA[[#This Row],[JUMLAH]]="","",NOTA[[#This Row],[JUMLAH]]*NOTA[[#This Row],[DISC 1]])</f>
        <v>136272</v>
      </c>
      <c r="Z782" s="54">
        <f>IF(NOTA[[#This Row],[JUMLAH]]="","",(NOTA[[#This Row],[JUMLAH]]-NOTA[[#This Row],[DISC 1-]])*NOTA[[#This Row],[DISC 2]])</f>
        <v>0</v>
      </c>
      <c r="AA782" s="54">
        <f>IF(NOTA[[#This Row],[JUMLAH]]="","",NOTA[[#This Row],[DISC 1-]]+NOTA[[#This Row],[DISC 2-]])</f>
        <v>136272</v>
      </c>
      <c r="AB782" s="54">
        <f>IF(NOTA[[#This Row],[JUMLAH]]="","",NOTA[[#This Row],[JUMLAH]]-NOTA[[#This Row],[DISC]])</f>
        <v>665328</v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782" s="54">
        <f>IF(OR(NOTA[[#This Row],[QTY]]="",NOTA[[#This Row],[HARGA SATUAN]]="",),"",NOTA[[#This Row],[QTY]]*NOTA[[#This Row],[HARGA SATUAN]])</f>
        <v>801600</v>
      </c>
      <c r="AG782" s="51">
        <f ca="1">IF(NOTA[ID_H]="","",INDEX(NOTA[TANGGAL],MATCH(,INDIRECT(ADDRESS(ROW(NOTA[TANGGAL]),COLUMN(NOTA[TANGGAL]))&amp;":"&amp;ADDRESS(ROW(),COLUMN(NOTA[TANGGAL]))),-1)))</f>
        <v>44954</v>
      </c>
      <c r="AH782" s="49" t="str">
        <f ca="1">IF(NOTA[[#This Row],[NAMA BARANG]]="","",INDEX(NOTA[SUPPLIER],MATCH(,INDIRECT(ADDRESS(ROW(NOTA[ID]),COLUMN(NOTA[ID]))&amp;":"&amp;ADDRESS(ROW(),COLUMN(NOTA[ID]))),-1)))</f>
        <v>KENKO SINAR INDONESIA</v>
      </c>
      <c r="AI782" s="49" t="str">
        <f ca="1">IF(NOTA[[#This Row],[ID_H]]="","",IF(NOTA[[#This Row],[FAKTUR]]="",INDIRECT(ADDRESS(ROW()-1,COLUMN())),NOTA[[#This Row],[FAKTUR]]))</f>
        <v>ARTO MORO</v>
      </c>
      <c r="AJ782" s="38">
        <f ca="1">IF(NOTA[[#This Row],[ID]]="","",COUNTIF(NOTA[ID_H],NOTA[[#This Row],[ID_H]]))</f>
        <v>10</v>
      </c>
      <c r="AK782" s="38" t="str">
        <f ca="1">IF(NOTA[[#This Row],[TGL.NOTA]]="",IF(NOTA[[#This Row],[SUPPLIER_H]]="","",AK781),MONTH(NOTA[[#This Row],[TGL.NOTA]]))</f>
        <v/>
      </c>
      <c r="AL782" s="38" t="str">
        <f>LOWER(SUBSTITUTE(SUBSTITUTE(SUBSTITUTE(SUBSTITUTE(SUBSTITUTE(SUBSTITUTE(SUBSTITUTE(SUBSTITUTE(SUBSTITUTE(NOTA[NAMA BARANG]," ",),".",""),"-",""),"(",""),")",""),",",""),"/",""),"""",""),"+",""))</f>
        <v>lla5100</v>
      </c>
      <c r="AM782" s="38" t="str">
        <f>IF(NOTA[C]="",NOTA[[#This Row],[CONCAT1]]&amp;NOTA[[#This Row],[HARGA SATUAN]],NOTA[[#This Row],[CONCAT1]]&amp;NOTA[[#This Row],[HARGA/ CTN_H]]&amp;NOTA[[#This Row],[DISC 1]]&amp;NOTA[[#This Row],[DISC 2]])</f>
        <v>lla51008016000.17</v>
      </c>
      <c r="AN782" s="184" t="e">
        <f>IF(NOTA[[#This Row],[CONCAT1]]="","",MATCH(NOTA[[#This Row],[CONCAT1]],[1]!db[NB NOTA_C],0)+1)</f>
        <v>#N/A</v>
      </c>
    </row>
    <row r="783" spans="1:40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Row],[CEK_EXP]]&lt;D782,"err","")</f>
        <v/>
      </c>
      <c r="D783" s="50">
        <f>IF(NOTA[[#This Row],[TANGGAL]]="",D782,NOTA[[#This Row],[TANGGAL]])</f>
        <v>44954</v>
      </c>
      <c r="E783" s="50">
        <f ca="1">IF(NOTA[[#This Row],[NAMA BARANG]]="","",INDEX(NOTA[ID],MATCH(,INDIRECT(ADDRESS(ROW(NOTA[ID]),COLUMN(NOTA[ID]))&amp;":"&amp;ADDRESS(ROW(),COLUMN(NOTA[ID]))),-1)))</f>
        <v>150</v>
      </c>
      <c r="F783" s="23"/>
      <c r="G783" s="26"/>
      <c r="H783" s="26"/>
      <c r="I783" s="31"/>
      <c r="J783" s="26"/>
      <c r="K783" s="51"/>
      <c r="L783" s="26"/>
      <c r="M783" s="26" t="s">
        <v>905</v>
      </c>
      <c r="N783" s="39">
        <v>1</v>
      </c>
      <c r="O783" s="26">
        <v>144</v>
      </c>
      <c r="P783" s="26" t="s">
        <v>90</v>
      </c>
      <c r="Q783" s="49">
        <v>19200</v>
      </c>
      <c r="R783" s="52"/>
      <c r="S783" s="39" t="s">
        <v>585</v>
      </c>
      <c r="T783" s="53">
        <v>0.17</v>
      </c>
      <c r="U783" s="53"/>
      <c r="V783" s="54"/>
      <c r="W783" s="37"/>
      <c r="X783" s="54">
        <f>IF(NOTA[[#This Row],[HARGA/ CTN]]="",NOTA[[#This Row],[JUMLAH_H]],NOTA[[#This Row],[HARGA/ CTN]]*IF(NOTA[[#This Row],[C]]="",0,NOTA[[#This Row],[C]]))</f>
        <v>2764800</v>
      </c>
      <c r="Y783" s="54">
        <f>IF(NOTA[[#This Row],[JUMLAH]]="","",NOTA[[#This Row],[JUMLAH]]*NOTA[[#This Row],[DISC 1]])</f>
        <v>470016.00000000006</v>
      </c>
      <c r="Z783" s="54">
        <f>IF(NOTA[[#This Row],[JUMLAH]]="","",(NOTA[[#This Row],[JUMLAH]]-NOTA[[#This Row],[DISC 1-]])*NOTA[[#This Row],[DISC 2]])</f>
        <v>0</v>
      </c>
      <c r="AA783" s="54">
        <f>IF(NOTA[[#This Row],[JUMLAH]]="","",NOTA[[#This Row],[DISC 1-]]+NOTA[[#This Row],[DISC 2-]])</f>
        <v>470016.00000000006</v>
      </c>
      <c r="AB783" s="54">
        <f>IF(NOTA[[#This Row],[JUMLAH]]="","",NOTA[[#This Row],[JUMLAH]]-NOTA[[#This Row],[DISC]])</f>
        <v>2294784</v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783" s="54">
        <f>IF(OR(NOTA[[#This Row],[QTY]]="",NOTA[[#This Row],[HARGA SATUAN]]="",),"",NOTA[[#This Row],[QTY]]*NOTA[[#This Row],[HARGA SATUAN]])</f>
        <v>2764800</v>
      </c>
      <c r="AG783" s="51">
        <f ca="1">IF(NOTA[ID_H]="","",INDEX(NOTA[TANGGAL],MATCH(,INDIRECT(ADDRESS(ROW(NOTA[TANGGAL]),COLUMN(NOTA[TANGGAL]))&amp;":"&amp;ADDRESS(ROW(),COLUMN(NOTA[TANGGAL]))),-1)))</f>
        <v>44954</v>
      </c>
      <c r="AH783" s="49" t="str">
        <f ca="1">IF(NOTA[[#This Row],[NAMA BARANG]]="","",INDEX(NOTA[SUPPLIER],MATCH(,INDIRECT(ADDRESS(ROW(NOTA[ID]),COLUMN(NOTA[ID]))&amp;":"&amp;ADDRESS(ROW(),COLUMN(NOTA[ID]))),-1)))</f>
        <v>KENKO SINAR INDONESIA</v>
      </c>
      <c r="AI783" s="49" t="str">
        <f ca="1">IF(NOTA[[#This Row],[ID_H]]="","",IF(NOTA[[#This Row],[FAKTUR]]="",INDIRECT(ADDRESS(ROW()-1,COLUMN())),NOTA[[#This Row],[FAKTUR]]))</f>
        <v>ARTO MORO</v>
      </c>
      <c r="AJ783" s="38" t="str">
        <f ca="1">IF(NOTA[[#This Row],[ID]]="","",COUNTIF(NOTA[ID_H],NOTA[[#This Row],[ID_H]]))</f>
        <v/>
      </c>
      <c r="AK783" s="38" t="str">
        <f ca="1">IF(NOTA[[#This Row],[TGL.NOTA]]="",IF(NOTA[[#This Row],[SUPPLIER_H]]="","",AK782),MONTH(NOTA[[#This Row],[TGL.NOTA]]))</f>
        <v/>
      </c>
      <c r="AL783" s="38" t="str">
        <f>LOWER(SUBSTITUTE(SUBSTITUTE(SUBSTITUTE(SUBSTITUTE(SUBSTITUTE(SUBSTITUTE(SUBSTITUTE(SUBSTITUTE(SUBSTITUTE(NOTA[NAMA BARANG]," ",),".",""),"-",""),"(",""),")",""),",",""),"/",""),"""",""),"+",""))</f>
        <v>bpkenkoke100htm</v>
      </c>
      <c r="AM783" s="38" t="str">
        <f>IF(NOTA[C]="",NOTA[[#This Row],[CONCAT1]]&amp;NOTA[[#This Row],[HARGA SATUAN]],NOTA[[#This Row],[CONCAT1]]&amp;NOTA[[#This Row],[HARGA/ CTN_H]]&amp;NOTA[[#This Row],[DISC 1]]&amp;NOTA[[#This Row],[DISC 2]])</f>
        <v>bpkenkoke100htm27648000.17</v>
      </c>
      <c r="AN783" s="184" t="e">
        <f>IF(NOTA[[#This Row],[CONCAT1]]="","",MATCH(NOTA[[#This Row],[CONCAT1]],[1]!db[NB NOTA_C],0)+1)</f>
        <v>#N/A</v>
      </c>
    </row>
    <row r="784" spans="1:40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Row],[CEK_EXP]]&lt;D783,"err","")</f>
        <v/>
      </c>
      <c r="D784" s="50">
        <f>IF(NOTA[[#This Row],[TANGGAL]]="",D783,NOTA[[#This Row],[TANGGAL]])</f>
        <v>44954</v>
      </c>
      <c r="E784" s="50">
        <f ca="1">IF(NOTA[[#This Row],[NAMA BARANG]]="","",INDEX(NOTA[ID],MATCH(,INDIRECT(ADDRESS(ROW(NOTA[ID]),COLUMN(NOTA[ID]))&amp;":"&amp;ADDRESS(ROW(),COLUMN(NOTA[ID]))),-1)))</f>
        <v>150</v>
      </c>
      <c r="F784" s="23"/>
      <c r="G784" s="155"/>
      <c r="H784" s="155"/>
      <c r="I784" s="156"/>
      <c r="J784" s="155"/>
      <c r="K784" s="157"/>
      <c r="L784" s="155"/>
      <c r="M784" s="26" t="s">
        <v>906</v>
      </c>
      <c r="N784" s="158">
        <v>5</v>
      </c>
      <c r="O784" s="155">
        <v>180</v>
      </c>
      <c r="P784" s="26" t="s">
        <v>90</v>
      </c>
      <c r="Q784" s="159">
        <v>54300</v>
      </c>
      <c r="R784" s="160"/>
      <c r="S784" s="39" t="s">
        <v>826</v>
      </c>
      <c r="T784" s="53">
        <v>0.17</v>
      </c>
      <c r="U784" s="53"/>
      <c r="V784" s="54"/>
      <c r="W784" s="37"/>
      <c r="X784" s="54">
        <f>IF(NOTA[[#This Row],[HARGA/ CTN]]="",NOTA[[#This Row],[JUMLAH_H]],NOTA[[#This Row],[HARGA/ CTN]]*IF(NOTA[[#This Row],[C]]="",0,NOTA[[#This Row],[C]]))</f>
        <v>9774000</v>
      </c>
      <c r="Y784" s="54">
        <f>IF(NOTA[[#This Row],[JUMLAH]]="","",NOTA[[#This Row],[JUMLAH]]*NOTA[[#This Row],[DISC 1]])</f>
        <v>1661580.0000000002</v>
      </c>
      <c r="Z784" s="54">
        <f>IF(NOTA[[#This Row],[JUMLAH]]="","",(NOTA[[#This Row],[JUMLAH]]-NOTA[[#This Row],[DISC 1-]])*NOTA[[#This Row],[DISC 2]])</f>
        <v>0</v>
      </c>
      <c r="AA784" s="54">
        <f>IF(NOTA[[#This Row],[JUMLAH]]="","",NOTA[[#This Row],[DISC 1-]]+NOTA[[#This Row],[DISC 2-]])</f>
        <v>1661580.0000000002</v>
      </c>
      <c r="AB784" s="54">
        <f>IF(NOTA[[#This Row],[JUMLAH]]="","",NOTA[[#This Row],[JUMLAH]]-NOTA[[#This Row],[DISC]])</f>
        <v>8112420</v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84" s="54">
        <f>IF(OR(NOTA[[#This Row],[QTY]]="",NOTA[[#This Row],[HARGA SATUAN]]="",),"",NOTA[[#This Row],[QTY]]*NOTA[[#This Row],[HARGA SATUAN]])</f>
        <v>9774000</v>
      </c>
      <c r="AG784" s="51">
        <f ca="1">IF(NOTA[ID_H]="","",INDEX(NOTA[TANGGAL],MATCH(,INDIRECT(ADDRESS(ROW(NOTA[TANGGAL]),COLUMN(NOTA[TANGGAL]))&amp;":"&amp;ADDRESS(ROW(),COLUMN(NOTA[TANGGAL]))),-1)))</f>
        <v>44954</v>
      </c>
      <c r="AH784" s="49" t="str">
        <f ca="1">IF(NOTA[[#This Row],[NAMA BARANG]]="","",INDEX(NOTA[SUPPLIER],MATCH(,INDIRECT(ADDRESS(ROW(NOTA[ID]),COLUMN(NOTA[ID]))&amp;":"&amp;ADDRESS(ROW(),COLUMN(NOTA[ID]))),-1)))</f>
        <v>KENKO SINAR INDONESIA</v>
      </c>
      <c r="AI784" s="49" t="str">
        <f ca="1">IF(NOTA[[#This Row],[ID_H]]="","",IF(NOTA[[#This Row],[FAKTUR]]="",INDIRECT(ADDRESS(ROW()-1,COLUMN())),NOTA[[#This Row],[FAKTUR]]))</f>
        <v>ARTO MORO</v>
      </c>
      <c r="AJ784" s="38" t="str">
        <f ca="1">IF(NOTA[[#This Row],[ID]]="","",COUNTIF(NOTA[ID_H],NOTA[[#This Row],[ID_H]]))</f>
        <v/>
      </c>
      <c r="AK784" s="38" t="str">
        <f ca="1">IF(NOTA[[#This Row],[TGL.NOTA]]="",IF(NOTA[[#This Row],[SUPPLIER_H]]="","",AK783),MONTH(NOTA[[#This Row],[TGL.NOTA]]))</f>
        <v/>
      </c>
      <c r="AL784" s="38" t="str">
        <f>LOWER(SUBSTITUTE(SUBSTITUTE(SUBSTITUTE(SUBSTITUTE(SUBSTITUTE(SUBSTITUTE(SUBSTITUTE(SUBSTITUTE(SUBSTITUTE(NOTA[NAMA BARANG]," ",),".",""),"-",""),"(",""),")",""),",",""),"/",""),"""",""),"+",""))</f>
        <v>tipexke01</v>
      </c>
      <c r="AM784" s="38" t="str">
        <f>IF(NOTA[C]="",NOTA[[#This Row],[CONCAT1]]&amp;NOTA[[#This Row],[HARGA SATUAN]],NOTA[[#This Row],[CONCAT1]]&amp;NOTA[[#This Row],[HARGA/ CTN_H]]&amp;NOTA[[#This Row],[DISC 1]]&amp;NOTA[[#This Row],[DISC 2]])</f>
        <v>tipexke0119548000.17</v>
      </c>
      <c r="AN784" s="184" t="e">
        <f>IF(NOTA[[#This Row],[CONCAT1]]="","",MATCH(NOTA[[#This Row],[CONCAT1]],[1]!db[NB NOTA_C],0)+1)</f>
        <v>#N/A</v>
      </c>
    </row>
    <row r="785" spans="1:40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Row],[CEK_EXP]]&lt;D784,"err","")</f>
        <v/>
      </c>
      <c r="D785" s="50">
        <f>IF(NOTA[[#This Row],[TANGGAL]]="",D784,NOTA[[#This Row],[TANGGAL]])</f>
        <v>44954</v>
      </c>
      <c r="E785" s="50">
        <f ca="1">IF(NOTA[[#This Row],[NAMA BARANG]]="","",INDEX(NOTA[ID],MATCH(,INDIRECT(ADDRESS(ROW(NOTA[ID]),COLUMN(NOTA[ID]))&amp;":"&amp;ADDRESS(ROW(),COLUMN(NOTA[ID]))),-1)))</f>
        <v>150</v>
      </c>
      <c r="F785" s="23"/>
      <c r="G785" s="155"/>
      <c r="H785" s="155"/>
      <c r="I785" s="156"/>
      <c r="J785" s="155"/>
      <c r="K785" s="157"/>
      <c r="L785" s="155"/>
      <c r="M785" s="26" t="s">
        <v>907</v>
      </c>
      <c r="N785" s="158">
        <v>1</v>
      </c>
      <c r="O785" s="155">
        <v>24</v>
      </c>
      <c r="P785" s="26" t="s">
        <v>90</v>
      </c>
      <c r="Q785" s="159">
        <v>124200</v>
      </c>
      <c r="R785" s="160"/>
      <c r="S785" s="39" t="s">
        <v>893</v>
      </c>
      <c r="T785" s="53">
        <v>0.17</v>
      </c>
      <c r="U785" s="53"/>
      <c r="V785" s="54"/>
      <c r="W785" s="37"/>
      <c r="X785" s="54">
        <f>IF(NOTA[[#This Row],[HARGA/ CTN]]="",NOTA[[#This Row],[JUMLAH_H]],NOTA[[#This Row],[HARGA/ CTN]]*IF(NOTA[[#This Row],[C]]="",0,NOTA[[#This Row],[C]]))</f>
        <v>2980800</v>
      </c>
      <c r="Y785" s="54">
        <f>IF(NOTA[[#This Row],[JUMLAH]]="","",NOTA[[#This Row],[JUMLAH]]*NOTA[[#This Row],[DISC 1]])</f>
        <v>506736.00000000006</v>
      </c>
      <c r="Z785" s="54">
        <f>IF(NOTA[[#This Row],[JUMLAH]]="","",(NOTA[[#This Row],[JUMLAH]]-NOTA[[#This Row],[DISC 1-]])*NOTA[[#This Row],[DISC 2]])</f>
        <v>0</v>
      </c>
      <c r="AA785" s="54">
        <f>IF(NOTA[[#This Row],[JUMLAH]]="","",NOTA[[#This Row],[DISC 1-]]+NOTA[[#This Row],[DISC 2-]])</f>
        <v>506736.00000000006</v>
      </c>
      <c r="AB785" s="54">
        <f>IF(NOTA[[#This Row],[JUMLAH]]="","",NOTA[[#This Row],[JUMLAH]]-NOTA[[#This Row],[DISC]])</f>
        <v>2474064</v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785" s="54">
        <f>IF(OR(NOTA[[#This Row],[QTY]]="",NOTA[[#This Row],[HARGA SATUAN]]="",),"",NOTA[[#This Row],[QTY]]*NOTA[[#This Row],[HARGA SATUAN]])</f>
        <v>2980800</v>
      </c>
      <c r="AG785" s="51">
        <f ca="1">IF(NOTA[ID_H]="","",INDEX(NOTA[TANGGAL],MATCH(,INDIRECT(ADDRESS(ROW(NOTA[TANGGAL]),COLUMN(NOTA[TANGGAL]))&amp;":"&amp;ADDRESS(ROW(),COLUMN(NOTA[TANGGAL]))),-1)))</f>
        <v>44954</v>
      </c>
      <c r="AH785" s="49" t="str">
        <f ca="1">IF(NOTA[[#This Row],[NAMA BARANG]]="","",INDEX(NOTA[SUPPLIER],MATCH(,INDIRECT(ADDRESS(ROW(NOTA[ID]),COLUMN(NOTA[ID]))&amp;":"&amp;ADDRESS(ROW(),COLUMN(NOTA[ID]))),-1)))</f>
        <v>KENKO SINAR INDONESIA</v>
      </c>
      <c r="AI785" s="49" t="str">
        <f ca="1">IF(NOTA[[#This Row],[ID_H]]="","",IF(NOTA[[#This Row],[FAKTUR]]="",INDIRECT(ADDRESS(ROW()-1,COLUMN())),NOTA[[#This Row],[FAKTUR]]))</f>
        <v>ARTO MORO</v>
      </c>
      <c r="AJ785" s="38" t="str">
        <f ca="1">IF(NOTA[[#This Row],[ID]]="","",COUNTIF(NOTA[ID_H],NOTA[[#This Row],[ID_H]]))</f>
        <v/>
      </c>
      <c r="AK785" s="38" t="str">
        <f ca="1">IF(NOTA[[#This Row],[TGL.NOTA]]="",IF(NOTA[[#This Row],[SUPPLIER_H]]="","",AK784),MONTH(NOTA[[#This Row],[TGL.NOTA]]))</f>
        <v/>
      </c>
      <c r="AL785" s="38" t="str">
        <f>LOWER(SUBSTITUTE(SUBSTITUTE(SUBSTITUTE(SUBSTITUTE(SUBSTITUTE(SUBSTITUTE(SUBSTITUTE(SUBSTITUTE(SUBSTITUTE(NOTA[NAMA BARANG]," ",),".",""),"-",""),"(",""),")",""),",",""),"/",""),"""",""),"+",""))</f>
        <v>pw12wkenkopanjang</v>
      </c>
      <c r="AM785" s="38" t="str">
        <f>IF(NOTA[C]="",NOTA[[#This Row],[CONCAT1]]&amp;NOTA[[#This Row],[HARGA SATUAN]],NOTA[[#This Row],[CONCAT1]]&amp;NOTA[[#This Row],[HARGA/ CTN_H]]&amp;NOTA[[#This Row],[DISC 1]]&amp;NOTA[[#This Row],[DISC 2]])</f>
        <v>pw12wkenkopanjang29808000.17</v>
      </c>
      <c r="AN785" s="184" t="e">
        <f>IF(NOTA[[#This Row],[CONCAT1]]="","",MATCH(NOTA[[#This Row],[CONCAT1]],[1]!db[NB NOTA_C],0)+1)</f>
        <v>#N/A</v>
      </c>
    </row>
    <row r="786" spans="1:40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Row],[CEK_EXP]]&lt;D785,"err","")</f>
        <v/>
      </c>
      <c r="D786" s="50">
        <f>IF(NOTA[[#This Row],[TANGGAL]]="",D785,NOTA[[#This Row],[TANGGAL]])</f>
        <v>44954</v>
      </c>
      <c r="E786" s="50">
        <f ca="1">IF(NOTA[[#This Row],[NAMA BARANG]]="","",INDEX(NOTA[ID],MATCH(,INDIRECT(ADDRESS(ROW(NOTA[ID]),COLUMN(NOTA[ID]))&amp;":"&amp;ADDRESS(ROW(),COLUMN(NOTA[ID]))),-1)))</f>
        <v>150</v>
      </c>
      <c r="F786" s="23"/>
      <c r="G786" s="155"/>
      <c r="H786" s="155"/>
      <c r="I786" s="156"/>
      <c r="J786" s="155"/>
      <c r="K786" s="157"/>
      <c r="L786" s="155"/>
      <c r="M786" s="26" t="s">
        <v>908</v>
      </c>
      <c r="N786" s="158">
        <v>2</v>
      </c>
      <c r="O786" s="155">
        <v>48</v>
      </c>
      <c r="P786" s="26" t="s">
        <v>104</v>
      </c>
      <c r="Q786" s="159">
        <v>19250</v>
      </c>
      <c r="R786" s="160"/>
      <c r="S786" s="39" t="s">
        <v>130</v>
      </c>
      <c r="T786" s="53">
        <v>0.17</v>
      </c>
      <c r="U786" s="53"/>
      <c r="V786" s="54"/>
      <c r="W786" s="37"/>
      <c r="X786" s="54">
        <f>IF(NOTA[[#This Row],[HARGA/ CTN]]="",NOTA[[#This Row],[JUMLAH_H]],NOTA[[#This Row],[HARGA/ CTN]]*IF(NOTA[[#This Row],[C]]="",0,NOTA[[#This Row],[C]]))</f>
        <v>924000</v>
      </c>
      <c r="Y786" s="54">
        <f>IF(NOTA[[#This Row],[JUMLAH]]="","",NOTA[[#This Row],[JUMLAH]]*NOTA[[#This Row],[DISC 1]])</f>
        <v>157080</v>
      </c>
      <c r="Z786" s="54">
        <f>IF(NOTA[[#This Row],[JUMLAH]]="","",(NOTA[[#This Row],[JUMLAH]]-NOTA[[#This Row],[DISC 1-]])*NOTA[[#This Row],[DISC 2]])</f>
        <v>0</v>
      </c>
      <c r="AA786" s="54">
        <f>IF(NOTA[[#This Row],[JUMLAH]]="","",NOTA[[#This Row],[DISC 1-]]+NOTA[[#This Row],[DISC 2-]])</f>
        <v>157080</v>
      </c>
      <c r="AB786" s="54">
        <f>IF(NOTA[[#This Row],[JUMLAH]]="","",NOTA[[#This Row],[JUMLAH]]-NOTA[[#This Row],[DISC]])</f>
        <v>766920</v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786" s="54">
        <f>IF(OR(NOTA[[#This Row],[QTY]]="",NOTA[[#This Row],[HARGA SATUAN]]="",),"",NOTA[[#This Row],[QTY]]*NOTA[[#This Row],[HARGA SATUAN]])</f>
        <v>924000</v>
      </c>
      <c r="AG786" s="51">
        <f ca="1">IF(NOTA[ID_H]="","",INDEX(NOTA[TANGGAL],MATCH(,INDIRECT(ADDRESS(ROW(NOTA[TANGGAL]),COLUMN(NOTA[TANGGAL]))&amp;":"&amp;ADDRESS(ROW(),COLUMN(NOTA[TANGGAL]))),-1)))</f>
        <v>44954</v>
      </c>
      <c r="AH786" s="49" t="str">
        <f ca="1">IF(NOTA[[#This Row],[NAMA BARANG]]="","",INDEX(NOTA[SUPPLIER],MATCH(,INDIRECT(ADDRESS(ROW(NOTA[ID]),COLUMN(NOTA[ID]))&amp;":"&amp;ADDRESS(ROW(),COLUMN(NOTA[ID]))),-1)))</f>
        <v>KENKO SINAR INDONESIA</v>
      </c>
      <c r="AI786" s="49" t="str">
        <f ca="1">IF(NOTA[[#This Row],[ID_H]]="","",IF(NOTA[[#This Row],[FAKTUR]]="",INDIRECT(ADDRESS(ROW()-1,COLUMN())),NOTA[[#This Row],[FAKTUR]]))</f>
        <v>ARTO MORO</v>
      </c>
      <c r="AJ786" s="38" t="str">
        <f ca="1">IF(NOTA[[#This Row],[ID]]="","",COUNTIF(NOTA[ID_H],NOTA[[#This Row],[ID_H]]))</f>
        <v/>
      </c>
      <c r="AK786" s="38" t="str">
        <f ca="1">IF(NOTA[[#This Row],[TGL.NOTA]]="",IF(NOTA[[#This Row],[SUPPLIER_H]]="","",AK785),MONTH(NOTA[[#This Row],[TGL.NOTA]]))</f>
        <v/>
      </c>
      <c r="AL786" s="38" t="str">
        <f>LOWER(SUBSTITUTE(SUBSTITUTE(SUBSTITUTE(SUBSTITUTE(SUBSTITUTE(SUBSTITUTE(SUBSTITUTE(SUBSTITUTE(SUBSTITUTE(NOTA[NAMA BARANG]," ",),".",""),"-",""),"(",""),")",""),",",""),"/",""),"""",""),"+",""))</f>
        <v>dispensertd323</v>
      </c>
      <c r="AM786" s="38" t="str">
        <f>IF(NOTA[C]="",NOTA[[#This Row],[CONCAT1]]&amp;NOTA[[#This Row],[HARGA SATUAN]],NOTA[[#This Row],[CONCAT1]]&amp;NOTA[[#This Row],[HARGA/ CTN_H]]&amp;NOTA[[#This Row],[DISC 1]]&amp;NOTA[[#This Row],[DISC 2]])</f>
        <v>dispensertd3234620000.17</v>
      </c>
      <c r="AN786" s="184" t="e">
        <f>IF(NOTA[[#This Row],[CONCAT1]]="","",MATCH(NOTA[[#This Row],[CONCAT1]],[1]!db[NB NOTA_C],0)+1)</f>
        <v>#N/A</v>
      </c>
    </row>
    <row r="787" spans="1:40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Row],[CEK_EXP]]&lt;D786,"err","")</f>
        <v/>
      </c>
      <c r="D787" s="50">
        <f>IF(NOTA[[#This Row],[TANGGAL]]="",D786,NOTA[[#This Row],[TANGGAL]])</f>
        <v>44954</v>
      </c>
      <c r="E787" s="50">
        <f ca="1">IF(NOTA[[#This Row],[NAMA BARANG]]="","",INDEX(NOTA[ID],MATCH(,INDIRECT(ADDRESS(ROW(NOTA[ID]),COLUMN(NOTA[ID]))&amp;":"&amp;ADDRESS(ROW(),COLUMN(NOTA[ID]))),-1)))</f>
        <v>150</v>
      </c>
      <c r="F787" s="23"/>
      <c r="G787" s="26"/>
      <c r="H787" s="26"/>
      <c r="I787" s="31"/>
      <c r="J787" s="26"/>
      <c r="K787" s="51"/>
      <c r="L787" s="26"/>
      <c r="M787" s="26" t="s">
        <v>909</v>
      </c>
      <c r="N787" s="39">
        <v>1</v>
      </c>
      <c r="O787" s="26">
        <v>50</v>
      </c>
      <c r="P787" s="26" t="s">
        <v>274</v>
      </c>
      <c r="Q787" s="49">
        <v>3100</v>
      </c>
      <c r="R787" s="52"/>
      <c r="S787" s="39" t="s">
        <v>910</v>
      </c>
      <c r="T787" s="53">
        <v>0.17</v>
      </c>
      <c r="U787" s="53"/>
      <c r="V787" s="54"/>
      <c r="W787" s="37"/>
      <c r="X787" s="54">
        <f>IF(NOTA[[#This Row],[HARGA/ CTN]]="",NOTA[[#This Row],[JUMLAH_H]],NOTA[[#This Row],[HARGA/ CTN]]*IF(NOTA[[#This Row],[C]]="",0,NOTA[[#This Row],[C]]))</f>
        <v>155000</v>
      </c>
      <c r="Y787" s="54">
        <f>IF(NOTA[[#This Row],[JUMLAH]]="","",NOTA[[#This Row],[JUMLAH]]*NOTA[[#This Row],[DISC 1]])</f>
        <v>26350.000000000004</v>
      </c>
      <c r="Z787" s="54">
        <f>IF(NOTA[[#This Row],[JUMLAH]]="","",(NOTA[[#This Row],[JUMLAH]]-NOTA[[#This Row],[DISC 1-]])*NOTA[[#This Row],[DISC 2]])</f>
        <v>0</v>
      </c>
      <c r="AA787" s="54">
        <f>IF(NOTA[[#This Row],[JUMLAH]]="","",NOTA[[#This Row],[DISC 1-]]+NOTA[[#This Row],[DISC 2-]])</f>
        <v>26350.000000000004</v>
      </c>
      <c r="AB787" s="54">
        <f>IF(NOTA[[#This Row],[JUMLAH]]="","",NOTA[[#This Row],[JUMLAH]]-NOTA[[#This Row],[DISC]])</f>
        <v>128650</v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49">
        <f>IF(NOTA[[#This Row],[NAMA BARANG]]="","",IF(NOTA[[#This Row],[JUMLAH_H]]="",NOTA[[#This Row],[HARGA/ CTN]],NOTA[[#This Row],[QTY]]*NOTA[[#This Row],[HARGA SATUAN]]/IF(ISNUMBER(NOTA[[#This Row],[C]]),NOTA[[#This Row],[C]],1)))</f>
        <v>155000</v>
      </c>
      <c r="AF787" s="54">
        <f>IF(OR(NOTA[[#This Row],[QTY]]="",NOTA[[#This Row],[HARGA SATUAN]]="",),"",NOTA[[#This Row],[QTY]]*NOTA[[#This Row],[HARGA SATUAN]])</f>
        <v>155000</v>
      </c>
      <c r="AG787" s="51">
        <f ca="1">IF(NOTA[ID_H]="","",INDEX(NOTA[TANGGAL],MATCH(,INDIRECT(ADDRESS(ROW(NOTA[TANGGAL]),COLUMN(NOTA[TANGGAL]))&amp;":"&amp;ADDRESS(ROW(),COLUMN(NOTA[TANGGAL]))),-1)))</f>
        <v>44954</v>
      </c>
      <c r="AH787" s="49" t="str">
        <f ca="1">IF(NOTA[[#This Row],[NAMA BARANG]]="","",INDEX(NOTA[SUPPLIER],MATCH(,INDIRECT(ADDRESS(ROW(NOTA[ID]),COLUMN(NOTA[ID]))&amp;":"&amp;ADDRESS(ROW(),COLUMN(NOTA[ID]))),-1)))</f>
        <v>KENKO SINAR INDONESIA</v>
      </c>
      <c r="AI787" s="49" t="str">
        <f ca="1">IF(NOTA[[#This Row],[ID_H]]="","",IF(NOTA[[#This Row],[FAKTUR]]="",INDIRECT(ADDRESS(ROW()-1,COLUMN())),NOTA[[#This Row],[FAKTUR]]))</f>
        <v>ARTO MORO</v>
      </c>
      <c r="AJ787" s="38" t="str">
        <f ca="1">IF(NOTA[[#This Row],[ID]]="","",COUNTIF(NOTA[ID_H],NOTA[[#This Row],[ID_H]]))</f>
        <v/>
      </c>
      <c r="AK787" s="38" t="str">
        <f ca="1">IF(NOTA[[#This Row],[TGL.NOTA]]="",IF(NOTA[[#This Row],[SUPPLIER_H]]="","",AK786),MONTH(NOTA[[#This Row],[TGL.NOTA]]))</f>
        <v/>
      </c>
      <c r="AL787" s="38" t="str">
        <f>LOWER(SUBSTITUTE(SUBSTITUTE(SUBSTITUTE(SUBSTITUTE(SUBSTITUTE(SUBSTITUTE(SUBSTITUTE(SUBSTITUTE(SUBSTITUTE(NOTA[NAMA BARANG]," ",),".",""),"-",""),"(",""),")",""),",",""),"/",""),"""",""),"+",""))</f>
        <v>bclip107kenko</v>
      </c>
      <c r="AM787" s="38" t="str">
        <f>IF(NOTA[C]="",NOTA[[#This Row],[CONCAT1]]&amp;NOTA[[#This Row],[HARGA SATUAN]],NOTA[[#This Row],[CONCAT1]]&amp;NOTA[[#This Row],[HARGA/ CTN_H]]&amp;NOTA[[#This Row],[DISC 1]]&amp;NOTA[[#This Row],[DISC 2]])</f>
        <v>bclip107kenko1550000.17</v>
      </c>
      <c r="AN787" s="184" t="e">
        <f>IF(NOTA[[#This Row],[CONCAT1]]="","",MATCH(NOTA[[#This Row],[CONCAT1]],[1]!db[NB NOTA_C],0)+1)</f>
        <v>#N/A</v>
      </c>
    </row>
    <row r="788" spans="1:40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Row],[CEK_EXP]]&lt;D787,"err","")</f>
        <v/>
      </c>
      <c r="D788" s="50">
        <f>IF(NOTA[[#This Row],[TANGGAL]]="",D787,NOTA[[#This Row],[TANGGAL]])</f>
        <v>44954</v>
      </c>
      <c r="E788" s="50">
        <f ca="1">IF(NOTA[[#This Row],[NAMA BARANG]]="","",INDEX(NOTA[ID],MATCH(,INDIRECT(ADDRESS(ROW(NOTA[ID]),COLUMN(NOTA[ID]))&amp;":"&amp;ADDRESS(ROW(),COLUMN(NOTA[ID]))),-1)))</f>
        <v>150</v>
      </c>
      <c r="F788" s="23"/>
      <c r="G788" s="26"/>
      <c r="H788" s="26"/>
      <c r="I788" s="31"/>
      <c r="J788" s="26"/>
      <c r="K788" s="51"/>
      <c r="L788" s="26"/>
      <c r="M788" s="26" t="s">
        <v>911</v>
      </c>
      <c r="N788" s="39">
        <v>2</v>
      </c>
      <c r="O788" s="26">
        <v>40</v>
      </c>
      <c r="P788" s="26" t="s">
        <v>90</v>
      </c>
      <c r="Q788" s="49">
        <v>147600</v>
      </c>
      <c r="R788" s="52"/>
      <c r="S788" s="39" t="s">
        <v>892</v>
      </c>
      <c r="T788" s="53">
        <v>0.17</v>
      </c>
      <c r="U788" s="53"/>
      <c r="V788" s="54"/>
      <c r="W788" s="37"/>
      <c r="X788" s="54">
        <f>IF(NOTA[[#This Row],[HARGA/ CTN]]="",NOTA[[#This Row],[JUMLAH_H]],NOTA[[#This Row],[HARGA/ CTN]]*IF(NOTA[[#This Row],[C]]="",0,NOTA[[#This Row],[C]]))</f>
        <v>5904000</v>
      </c>
      <c r="Y788" s="54">
        <f>IF(NOTA[[#This Row],[JUMLAH]]="","",NOTA[[#This Row],[JUMLAH]]*NOTA[[#This Row],[DISC 1]])</f>
        <v>1003680.0000000001</v>
      </c>
      <c r="Z788" s="54">
        <f>IF(NOTA[[#This Row],[JUMLAH]]="","",(NOTA[[#This Row],[JUMLAH]]-NOTA[[#This Row],[DISC 1-]])*NOTA[[#This Row],[DISC 2]])</f>
        <v>0</v>
      </c>
      <c r="AA788" s="54">
        <f>IF(NOTA[[#This Row],[JUMLAH]]="","",NOTA[[#This Row],[DISC 1-]]+NOTA[[#This Row],[DISC 2-]])</f>
        <v>1003680.0000000001</v>
      </c>
      <c r="AB788" s="54">
        <f>IF(NOTA[[#This Row],[JUMLAH]]="","",NOTA[[#This Row],[JUMLAH]]-NOTA[[#This Row],[DISC]])</f>
        <v>4900320</v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88" s="54">
        <f>IF(OR(NOTA[[#This Row],[QTY]]="",NOTA[[#This Row],[HARGA SATUAN]]="",),"",NOTA[[#This Row],[QTY]]*NOTA[[#This Row],[HARGA SATUAN]])</f>
        <v>5904000</v>
      </c>
      <c r="AG788" s="51">
        <f ca="1">IF(NOTA[ID_H]="","",INDEX(NOTA[TANGGAL],MATCH(,INDIRECT(ADDRESS(ROW(NOTA[TANGGAL]),COLUMN(NOTA[TANGGAL]))&amp;":"&amp;ADDRESS(ROW(),COLUMN(NOTA[TANGGAL]))),-1)))</f>
        <v>44954</v>
      </c>
      <c r="AH788" s="49" t="str">
        <f ca="1">IF(NOTA[[#This Row],[NAMA BARANG]]="","",INDEX(NOTA[SUPPLIER],MATCH(,INDIRECT(ADDRESS(ROW(NOTA[ID]),COLUMN(NOTA[ID]))&amp;":"&amp;ADDRESS(ROW(),COLUMN(NOTA[ID]))),-1)))</f>
        <v>KENKO SINAR INDONESIA</v>
      </c>
      <c r="AI788" s="49" t="str">
        <f ca="1">IF(NOTA[[#This Row],[ID_H]]="","",IF(NOTA[[#This Row],[FAKTUR]]="",INDIRECT(ADDRESS(ROW()-1,COLUMN())),NOTA[[#This Row],[FAKTUR]]))</f>
        <v>ARTO MORO</v>
      </c>
      <c r="AJ788" s="38" t="str">
        <f ca="1">IF(NOTA[[#This Row],[ID]]="","",COUNTIF(NOTA[ID_H],NOTA[[#This Row],[ID_H]]))</f>
        <v/>
      </c>
      <c r="AK788" s="38" t="str">
        <f ca="1">IF(NOTA[[#This Row],[TGL.NOTA]]="",IF(NOTA[[#This Row],[SUPPLIER_H]]="","",AK787),MONTH(NOTA[[#This Row],[TGL.NOTA]]))</f>
        <v/>
      </c>
      <c r="AL788" s="38" t="str">
        <f>LOWER(SUBSTITUTE(SUBSTITUTE(SUBSTITUTE(SUBSTITUTE(SUBSTITUTE(SUBSTITUTE(SUBSTITUTE(SUBSTITUTE(SUBSTITUTE(NOTA[NAMA BARANG]," ",),".",""),"-",""),"(",""),")",""),",",""),"/",""),"""",""),"+",""))</f>
        <v>cutterkenkol500</v>
      </c>
      <c r="AM788" s="38" t="str">
        <f>IF(NOTA[C]="",NOTA[[#This Row],[CONCAT1]]&amp;NOTA[[#This Row],[HARGA SATUAN]],NOTA[[#This Row],[CONCAT1]]&amp;NOTA[[#This Row],[HARGA/ CTN_H]]&amp;NOTA[[#This Row],[DISC 1]]&amp;NOTA[[#This Row],[DISC 2]])</f>
        <v>cutterkenkol50029520000.17</v>
      </c>
      <c r="AN788" s="184" t="e">
        <f>IF(NOTA[[#This Row],[CONCAT1]]="","",MATCH(NOTA[[#This Row],[CONCAT1]],[1]!db[NB NOTA_C],0)+1)</f>
        <v>#N/A</v>
      </c>
    </row>
    <row r="789" spans="1:40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Row],[CEK_EXP]]&lt;D788,"err","")</f>
        <v/>
      </c>
      <c r="D789" s="50">
        <f>IF(NOTA[[#This Row],[TANGGAL]]="",D788,NOTA[[#This Row],[TANGGAL]])</f>
        <v>44954</v>
      </c>
      <c r="E789" s="50">
        <f ca="1">IF(NOTA[[#This Row],[NAMA BARANG]]="","",INDEX(NOTA[ID],MATCH(,INDIRECT(ADDRESS(ROW(NOTA[ID]),COLUMN(NOTA[ID]))&amp;":"&amp;ADDRESS(ROW(),COLUMN(NOTA[ID]))),-1)))</f>
        <v>150</v>
      </c>
      <c r="F789" s="23"/>
      <c r="G789" s="26"/>
      <c r="H789" s="26"/>
      <c r="I789" s="31"/>
      <c r="J789" s="26"/>
      <c r="K789" s="51"/>
      <c r="L789" s="26"/>
      <c r="M789" s="26" t="s">
        <v>912</v>
      </c>
      <c r="N789" s="39">
        <v>3</v>
      </c>
      <c r="O789" s="26">
        <v>600</v>
      </c>
      <c r="P789" s="26" t="s">
        <v>104</v>
      </c>
      <c r="Q789" s="49">
        <v>42000</v>
      </c>
      <c r="R789" s="52"/>
      <c r="S789" s="39" t="s">
        <v>913</v>
      </c>
      <c r="T789" s="53">
        <v>0.17</v>
      </c>
      <c r="U789" s="53"/>
      <c r="V789" s="54"/>
      <c r="W789" s="37"/>
      <c r="X789" s="54">
        <f>IF(NOTA[[#This Row],[HARGA/ CTN]]="",NOTA[[#This Row],[JUMLAH_H]],NOTA[[#This Row],[HARGA/ CTN]]*IF(NOTA[[#This Row],[C]]="",0,NOTA[[#This Row],[C]]))</f>
        <v>25200000</v>
      </c>
      <c r="Y789" s="54">
        <f>IF(NOTA[[#This Row],[JUMLAH]]="","",NOTA[[#This Row],[JUMLAH]]*NOTA[[#This Row],[DISC 1]])</f>
        <v>4284000</v>
      </c>
      <c r="Z789" s="54">
        <f>IF(NOTA[[#This Row],[JUMLAH]]="","",(NOTA[[#This Row],[JUMLAH]]-NOTA[[#This Row],[DISC 1-]])*NOTA[[#This Row],[DISC 2]])</f>
        <v>0</v>
      </c>
      <c r="AA789" s="54">
        <f>IF(NOTA[[#This Row],[JUMLAH]]="","",NOTA[[#This Row],[DISC 1-]]+NOTA[[#This Row],[DISC 2-]])</f>
        <v>4284000</v>
      </c>
      <c r="AB789" s="54">
        <f>IF(NOTA[[#This Row],[JUMLAH]]="","",NOTA[[#This Row],[JUMLAH]]-NOTA[[#This Row],[DISC]])</f>
        <v>20916000</v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49">
        <f>IF(NOTA[[#This Row],[NAMA BARANG]]="","",IF(NOTA[[#This Row],[JUMLAH_H]]="",NOTA[[#This Row],[HARGA/ CTN]],NOTA[[#This Row],[QTY]]*NOTA[[#This Row],[HARGA SATUAN]]/IF(ISNUMBER(NOTA[[#This Row],[C]]),NOTA[[#This Row],[C]],1)))</f>
        <v>8400000</v>
      </c>
      <c r="AF789" s="54">
        <f>IF(OR(NOTA[[#This Row],[QTY]]="",NOTA[[#This Row],[HARGA SATUAN]]="",),"",NOTA[[#This Row],[QTY]]*NOTA[[#This Row],[HARGA SATUAN]])</f>
        <v>25200000</v>
      </c>
      <c r="AG789" s="51">
        <f ca="1">IF(NOTA[ID_H]="","",INDEX(NOTA[TANGGAL],MATCH(,INDIRECT(ADDRESS(ROW(NOTA[TANGGAL]),COLUMN(NOTA[TANGGAL]))&amp;":"&amp;ADDRESS(ROW(),COLUMN(NOTA[TANGGAL]))),-1)))</f>
        <v>44954</v>
      </c>
      <c r="AH789" s="49" t="str">
        <f ca="1">IF(NOTA[[#This Row],[NAMA BARANG]]="","",INDEX(NOTA[SUPPLIER],MATCH(,INDIRECT(ADDRESS(ROW(NOTA[ID]),COLUMN(NOTA[ID]))&amp;":"&amp;ADDRESS(ROW(),COLUMN(NOTA[ID]))),-1)))</f>
        <v>KENKO SINAR INDONESIA</v>
      </c>
      <c r="AI789" s="49" t="str">
        <f ca="1">IF(NOTA[[#This Row],[ID_H]]="","",IF(NOTA[[#This Row],[FAKTUR]]="",INDIRECT(ADDRESS(ROW()-1,COLUMN())),NOTA[[#This Row],[FAKTUR]]))</f>
        <v>ARTO MORO</v>
      </c>
      <c r="AJ789" s="38" t="str">
        <f ca="1">IF(NOTA[[#This Row],[ID]]="","",COUNTIF(NOTA[ID_H],NOTA[[#This Row],[ID_H]]))</f>
        <v/>
      </c>
      <c r="AK789" s="38" t="str">
        <f ca="1">IF(NOTA[[#This Row],[TGL.NOTA]]="",IF(NOTA[[#This Row],[SUPPLIER_H]]="","",AK788),MONTH(NOTA[[#This Row],[TGL.NOTA]]))</f>
        <v/>
      </c>
      <c r="AL789" s="38" t="str">
        <f>LOWER(SUBSTITUTE(SUBSTITUTE(SUBSTITUTE(SUBSTITUTE(SUBSTITUTE(SUBSTITUTE(SUBSTITUTE(SUBSTITUTE(SUBSTITUTE(NOTA[NAMA BARANG]," ",),".",""),"-",""),"(",""),")",""),",",""),"/",""),"""",""),"+",""))</f>
        <v>isistapler12102310</v>
      </c>
      <c r="AM789" s="38" t="str">
        <f>IF(NOTA[C]="",NOTA[[#This Row],[CONCAT1]]&amp;NOTA[[#This Row],[HARGA SATUAN]],NOTA[[#This Row],[CONCAT1]]&amp;NOTA[[#This Row],[HARGA/ CTN_H]]&amp;NOTA[[#This Row],[DISC 1]]&amp;NOTA[[#This Row],[DISC 2]])</f>
        <v>isistapler1210231084000000.17</v>
      </c>
      <c r="AN789" s="184" t="e">
        <f>IF(NOTA[[#This Row],[CONCAT1]]="","",MATCH(NOTA[[#This Row],[CONCAT1]],[1]!db[NB NOTA_C],0)+1)</f>
        <v>#N/A</v>
      </c>
    </row>
    <row r="790" spans="1:40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Row],[CEK_EXP]]&lt;D789,"err","")</f>
        <v/>
      </c>
      <c r="D790" s="50">
        <f>IF(NOTA[[#This Row],[TANGGAL]]="",D789,NOTA[[#This Row],[TANGGAL]])</f>
        <v>44954</v>
      </c>
      <c r="E790" s="50">
        <f ca="1">IF(NOTA[[#This Row],[NAMA BARANG]]="","",INDEX(NOTA[ID],MATCH(,INDIRECT(ADDRESS(ROW(NOTA[ID]),COLUMN(NOTA[ID]))&amp;":"&amp;ADDRESS(ROW(),COLUMN(NOTA[ID]))),-1)))</f>
        <v>150</v>
      </c>
      <c r="F790" s="23"/>
      <c r="G790" s="26"/>
      <c r="H790" s="26"/>
      <c r="I790" s="31"/>
      <c r="J790" s="26"/>
      <c r="K790" s="51"/>
      <c r="L790" s="26"/>
      <c r="M790" s="26" t="s">
        <v>914</v>
      </c>
      <c r="N790" s="39">
        <v>1</v>
      </c>
      <c r="O790" s="26">
        <v>500</v>
      </c>
      <c r="P790" s="26" t="s">
        <v>131</v>
      </c>
      <c r="Q790" s="49">
        <v>1600</v>
      </c>
      <c r="R790" s="52"/>
      <c r="S790" s="39" t="s">
        <v>479</v>
      </c>
      <c r="T790" s="53">
        <v>0.17</v>
      </c>
      <c r="U790" s="53"/>
      <c r="V790" s="54"/>
      <c r="W790" s="37"/>
      <c r="X790" s="54">
        <f>IF(NOTA[[#This Row],[HARGA/ CTN]]="",NOTA[[#This Row],[JUMLAH_H]],NOTA[[#This Row],[HARGA/ CTN]]*IF(NOTA[[#This Row],[C]]="",0,NOTA[[#This Row],[C]]))</f>
        <v>800000</v>
      </c>
      <c r="Y790" s="54">
        <f>IF(NOTA[[#This Row],[JUMLAH]]="","",NOTA[[#This Row],[JUMLAH]]*NOTA[[#This Row],[DISC 1]])</f>
        <v>136000</v>
      </c>
      <c r="Z790" s="54">
        <f>IF(NOTA[[#This Row],[JUMLAH]]="","",(NOTA[[#This Row],[JUMLAH]]-NOTA[[#This Row],[DISC 1-]])*NOTA[[#This Row],[DISC 2]])</f>
        <v>0</v>
      </c>
      <c r="AA790" s="54">
        <f>IF(NOTA[[#This Row],[JUMLAH]]="","",NOTA[[#This Row],[DISC 1-]]+NOTA[[#This Row],[DISC 2-]])</f>
        <v>136000</v>
      </c>
      <c r="AB790" s="54">
        <f>IF(NOTA[[#This Row],[JUMLAH]]="","",NOTA[[#This Row],[JUMLAH]]-NOTA[[#This Row],[DISC]])</f>
        <v>664000</v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790" s="54">
        <f>IF(OR(NOTA[[#This Row],[QTY]]="",NOTA[[#This Row],[HARGA SATUAN]]="",),"",NOTA[[#This Row],[QTY]]*NOTA[[#This Row],[HARGA SATUAN]])</f>
        <v>800000</v>
      </c>
      <c r="AG790" s="51">
        <f ca="1">IF(NOTA[ID_H]="","",INDEX(NOTA[TANGGAL],MATCH(,INDIRECT(ADDRESS(ROW(NOTA[TANGGAL]),COLUMN(NOTA[TANGGAL]))&amp;":"&amp;ADDRESS(ROW(),COLUMN(NOTA[TANGGAL]))),-1)))</f>
        <v>44954</v>
      </c>
      <c r="AH790" s="49" t="str">
        <f ca="1">IF(NOTA[[#This Row],[NAMA BARANG]]="","",INDEX(NOTA[SUPPLIER],MATCH(,INDIRECT(ADDRESS(ROW(NOTA[ID]),COLUMN(NOTA[ID]))&amp;":"&amp;ADDRESS(ROW(),COLUMN(NOTA[ID]))),-1)))</f>
        <v>KENKO SINAR INDONESIA</v>
      </c>
      <c r="AI790" s="49" t="str">
        <f ca="1">IF(NOTA[[#This Row],[ID_H]]="","",IF(NOTA[[#This Row],[FAKTUR]]="",INDIRECT(ADDRESS(ROW()-1,COLUMN())),NOTA[[#This Row],[FAKTUR]]))</f>
        <v>ARTO MORO</v>
      </c>
      <c r="AJ790" s="38" t="str">
        <f ca="1">IF(NOTA[[#This Row],[ID]]="","",COUNTIF(NOTA[ID_H],NOTA[[#This Row],[ID_H]]))</f>
        <v/>
      </c>
      <c r="AK790" s="38" t="str">
        <f ca="1">IF(NOTA[[#This Row],[TGL.NOTA]]="",IF(NOTA[[#This Row],[SUPPLIER_H]]="","",AK789),MONTH(NOTA[[#This Row],[TGL.NOTA]]))</f>
        <v/>
      </c>
      <c r="AL790" s="38" t="str">
        <f>LOWER(SUBSTITUTE(SUBSTITUTE(SUBSTITUTE(SUBSTITUTE(SUBSTITUTE(SUBSTITUTE(SUBSTITUTE(SUBSTITUTE(SUBSTITUTE(NOTA[NAMA BARANG]," ",),".",""),"-",""),"(",""),")",""),",",""),"/",""),"""",""),"+",""))</f>
        <v>clipkenkono3</v>
      </c>
      <c r="AM790" s="38" t="str">
        <f>IF(NOTA[C]="",NOTA[[#This Row],[CONCAT1]]&amp;NOTA[[#This Row],[HARGA SATUAN]],NOTA[[#This Row],[CONCAT1]]&amp;NOTA[[#This Row],[HARGA/ CTN_H]]&amp;NOTA[[#This Row],[DISC 1]]&amp;NOTA[[#This Row],[DISC 2]])</f>
        <v>clipkenkono38000000.17</v>
      </c>
      <c r="AN790" s="184" t="e">
        <f>IF(NOTA[[#This Row],[CONCAT1]]="","",MATCH(NOTA[[#This Row],[CONCAT1]],[1]!db[NB NOTA_C],0)+1)</f>
        <v>#N/A</v>
      </c>
    </row>
    <row r="791" spans="1:40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Row],[CEK_EXP]]&lt;D790,"err","")</f>
        <v/>
      </c>
      <c r="D791" s="50">
        <f>IF(NOTA[[#This Row],[TANGGAL]]="",D790,NOTA[[#This Row],[TANGGAL]])</f>
        <v>44954</v>
      </c>
      <c r="E791" s="50">
        <f ca="1">IF(NOTA[[#This Row],[NAMA BARANG]]="","",INDEX(NOTA[ID],MATCH(,INDIRECT(ADDRESS(ROW(NOTA[ID]),COLUMN(NOTA[ID]))&amp;":"&amp;ADDRESS(ROW(),COLUMN(NOTA[ID]))),-1)))</f>
        <v>150</v>
      </c>
      <c r="F791" s="23"/>
      <c r="G791" s="26"/>
      <c r="H791" s="26"/>
      <c r="I791" s="31"/>
      <c r="J791" s="26"/>
      <c r="K791" s="51"/>
      <c r="L791" s="26"/>
      <c r="M791" s="26" t="s">
        <v>915</v>
      </c>
      <c r="N791" s="39">
        <v>2</v>
      </c>
      <c r="O791" s="26">
        <v>72</v>
      </c>
      <c r="P791" s="26" t="s">
        <v>90</v>
      </c>
      <c r="Q791" s="49">
        <v>47100</v>
      </c>
      <c r="R791" s="52"/>
      <c r="S791" s="39" t="s">
        <v>826</v>
      </c>
      <c r="T791" s="53">
        <v>0.17</v>
      </c>
      <c r="U791" s="53"/>
      <c r="V791" s="54"/>
      <c r="W791" s="37"/>
      <c r="X791" s="54">
        <f>IF(NOTA[[#This Row],[HARGA/ CTN]]="",NOTA[[#This Row],[JUMLAH_H]],NOTA[[#This Row],[HARGA/ CTN]]*IF(NOTA[[#This Row],[C]]="",0,NOTA[[#This Row],[C]]))</f>
        <v>3391200</v>
      </c>
      <c r="Y791" s="54">
        <f>IF(NOTA[[#This Row],[JUMLAH]]="","",NOTA[[#This Row],[JUMLAH]]*NOTA[[#This Row],[DISC 1]])</f>
        <v>576504</v>
      </c>
      <c r="Z791" s="54">
        <f>IF(NOTA[[#This Row],[JUMLAH]]="","",(NOTA[[#This Row],[JUMLAH]]-NOTA[[#This Row],[DISC 1-]])*NOTA[[#This Row],[DISC 2]])</f>
        <v>0</v>
      </c>
      <c r="AA791" s="54">
        <f>IF(NOTA[[#This Row],[JUMLAH]]="","",NOTA[[#This Row],[DISC 1-]]+NOTA[[#This Row],[DISC 2-]])</f>
        <v>576504</v>
      </c>
      <c r="AB791" s="54">
        <f>IF(NOTA[[#This Row],[JUMLAH]]="","",NOTA[[#This Row],[JUMLAH]]-NOTA[[#This Row],[DISC]])</f>
        <v>2814696</v>
      </c>
      <c r="AC7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8958218</v>
      </c>
      <c r="AD7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43737182</v>
      </c>
      <c r="AE79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791" s="54">
        <f>IF(OR(NOTA[[#This Row],[QTY]]="",NOTA[[#This Row],[HARGA SATUAN]]="",),"",NOTA[[#This Row],[QTY]]*NOTA[[#This Row],[HARGA SATUAN]])</f>
        <v>3391200</v>
      </c>
      <c r="AG791" s="51">
        <f ca="1">IF(NOTA[ID_H]="","",INDEX(NOTA[TANGGAL],MATCH(,INDIRECT(ADDRESS(ROW(NOTA[TANGGAL]),COLUMN(NOTA[TANGGAL]))&amp;":"&amp;ADDRESS(ROW(),COLUMN(NOTA[TANGGAL]))),-1)))</f>
        <v>44954</v>
      </c>
      <c r="AH791" s="49" t="str">
        <f ca="1">IF(NOTA[[#This Row],[NAMA BARANG]]="","",INDEX(NOTA[SUPPLIER],MATCH(,INDIRECT(ADDRESS(ROW(NOTA[ID]),COLUMN(NOTA[ID]))&amp;":"&amp;ADDRESS(ROW(),COLUMN(NOTA[ID]))),-1)))</f>
        <v>KENKO SINAR INDONESIA</v>
      </c>
      <c r="AI791" s="49" t="str">
        <f ca="1">IF(NOTA[[#This Row],[ID_H]]="","",IF(NOTA[[#This Row],[FAKTUR]]="",INDIRECT(ADDRESS(ROW()-1,COLUMN())),NOTA[[#This Row],[FAKTUR]]))</f>
        <v>ARTO MORO</v>
      </c>
      <c r="AJ791" s="38" t="str">
        <f ca="1">IF(NOTA[[#This Row],[ID]]="","",COUNTIF(NOTA[ID_H],NOTA[[#This Row],[ID_H]]))</f>
        <v/>
      </c>
      <c r="AK791" s="38" t="str">
        <f ca="1">IF(NOTA[[#This Row],[TGL.NOTA]]="",IF(NOTA[[#This Row],[SUPPLIER_H]]="","",AK790),MONTH(NOTA[[#This Row],[TGL.NOTA]]))</f>
        <v/>
      </c>
      <c r="AL791" s="38" t="str">
        <f>LOWER(SUBSTITUTE(SUBSTITUTE(SUBSTITUTE(SUBSTITUTE(SUBSTITUTE(SUBSTITUTE(SUBSTITUTE(SUBSTITUTE(SUBSTITUTE(NOTA[NAMA BARANG]," ",),".",""),"-",""),"(",""),")",""),",",""),"/",""),"""",""),"+",""))</f>
        <v>tipkenke108</v>
      </c>
      <c r="AM791" s="38" t="str">
        <f>IF(NOTA[C]="",NOTA[[#This Row],[CONCAT1]]&amp;NOTA[[#This Row],[HARGA SATUAN]],NOTA[[#This Row],[CONCAT1]]&amp;NOTA[[#This Row],[HARGA/ CTN_H]]&amp;NOTA[[#This Row],[DISC 1]]&amp;NOTA[[#This Row],[DISC 2]])</f>
        <v>tipkenke10816956000.17</v>
      </c>
      <c r="AN791" s="184" t="e">
        <f>IF(NOTA[[#This Row],[CONCAT1]]="","",MATCH(NOTA[[#This Row],[CONCAT1]],[1]!db[NB NOTA_C],0)+1)</f>
        <v>#N/A</v>
      </c>
    </row>
    <row r="792" spans="1:40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Row],[CEK_EXP]]&lt;D791,"err","")</f>
        <v/>
      </c>
      <c r="D792" s="50">
        <f>IF(NOTA[[#This Row],[TANGGAL]]="",D791,NOTA[[#This Row],[TANGGAL]])</f>
        <v>44954</v>
      </c>
      <c r="E792" s="50" t="str">
        <f ca="1">IF(NOTA[[#This Row],[NAMA BARANG]]="","",INDEX(NOTA[ID],MATCH(,INDIRECT(ADDRESS(ROW(NOTA[ID]),COLUMN(NOTA[ID]))&amp;":"&amp;ADDRESS(ROW(),COLUMN(NOTA[ID]))),-1)))</f>
        <v/>
      </c>
      <c r="F792" s="23"/>
      <c r="G792" s="26"/>
      <c r="H792" s="26"/>
      <c r="I792" s="31"/>
      <c r="J792" s="26"/>
      <c r="K792" s="51"/>
      <c r="L792" s="26"/>
      <c r="M792" s="26"/>
      <c r="N792" s="39"/>
      <c r="O792" s="26"/>
      <c r="P792" s="26"/>
      <c r="Q792" s="49"/>
      <c r="R792" s="52"/>
      <c r="S792" s="39"/>
      <c r="T792" s="53"/>
      <c r="U792" s="53"/>
      <c r="V792" s="54"/>
      <c r="W792" s="37"/>
      <c r="X792" s="54" t="str">
        <f>IF(NOTA[[#This Row],[HARGA/ CTN]]="",NOTA[[#This Row],[JUMLAH_H]],NOTA[[#This Row],[HARGA/ CTN]]*IF(NOTA[[#This Row],[C]]="",0,NOTA[[#This Row],[C]]))</f>
        <v/>
      </c>
      <c r="Y792" s="54" t="str">
        <f>IF(NOTA[[#This Row],[JUMLAH]]="","",NOTA[[#This Row],[JUMLAH]]*NOTA[[#This Row],[DISC 1]])</f>
        <v/>
      </c>
      <c r="Z792" s="54" t="str">
        <f>IF(NOTA[[#This Row],[JUMLAH]]="","",(NOTA[[#This Row],[JUMLAH]]-NOTA[[#This Row],[DISC 1-]])*NOTA[[#This Row],[DISC 2]])</f>
        <v/>
      </c>
      <c r="AA792" s="54" t="str">
        <f>IF(NOTA[[#This Row],[JUMLAH]]="","",NOTA[[#This Row],[DISC 1-]]+NOTA[[#This Row],[DISC 2-]])</f>
        <v/>
      </c>
      <c r="AB792" s="54" t="str">
        <f>IF(NOTA[[#This Row],[JUMLAH]]="","",NOTA[[#This Row],[JUMLAH]]-NOTA[[#This Row],[DISC]])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54" t="str">
        <f>IF(OR(NOTA[[#This Row],[QTY]]="",NOTA[[#This Row],[HARGA SATUAN]]="",),"",NOTA[[#This Row],[QTY]]*NOTA[[#This Row],[HARGA SATUAN]])</f>
        <v/>
      </c>
      <c r="AG792" s="51" t="str">
        <f ca="1">IF(NOTA[ID_H]="","",INDEX(NOTA[TANGGAL],MATCH(,INDIRECT(ADDRESS(ROW(NOTA[TANGGAL]),COLUMN(NOTA[TANGGAL]))&amp;":"&amp;ADDRESS(ROW(),COLUMN(NOTA[TANGGAL]))),-1)))</f>
        <v/>
      </c>
      <c r="AH792" s="49" t="str">
        <f ca="1">IF(NOTA[[#This Row],[NAMA BARANG]]="","",INDEX(NOTA[SUPPLIER],MATCH(,INDIRECT(ADDRESS(ROW(NOTA[ID]),COLUMN(NOTA[ID]))&amp;":"&amp;ADDRESS(ROW(),COLUMN(NOTA[ID]))),-1)))</f>
        <v/>
      </c>
      <c r="AI792" s="49" t="str">
        <f ca="1">IF(NOTA[[#This Row],[ID_H]]="","",IF(NOTA[[#This Row],[FAKTUR]]="",INDIRECT(ADDRESS(ROW()-1,COLUMN())),NOTA[[#This Row],[FAKTUR]]))</f>
        <v/>
      </c>
      <c r="AJ792" s="38" t="str">
        <f ca="1">IF(NOTA[[#This Row],[ID]]="","",COUNTIF(NOTA[ID_H],NOTA[[#This Row],[ID_H]]))</f>
        <v/>
      </c>
      <c r="AK792" s="38" t="str">
        <f ca="1">IF(NOTA[[#This Row],[TGL.NOTA]]="",IF(NOTA[[#This Row],[SUPPLIER_H]]="","",AK791),MONTH(NOTA[[#This Row],[TGL.NOTA]]))</f>
        <v/>
      </c>
      <c r="AL792" s="38" t="str">
        <f>LOWER(SUBSTITUTE(SUBSTITUTE(SUBSTITUTE(SUBSTITUTE(SUBSTITUTE(SUBSTITUTE(SUBSTITUTE(SUBSTITUTE(SUBSTITUTE(NOTA[NAMA BARANG]," ",),".",""),"-",""),"(",""),")",""),",",""),"/",""),"""",""),"+",""))</f>
        <v/>
      </c>
      <c r="AM792" s="38" t="str">
        <f>IF(NOTA[C]="",NOTA[[#This Row],[CONCAT1]]&amp;NOTA[[#This Row],[HARGA SATUAN]],NOTA[[#This Row],[CONCAT1]]&amp;NOTA[[#This Row],[HARGA/ CTN_H]]&amp;NOTA[[#This Row],[DISC 1]]&amp;NOTA[[#This Row],[DISC 2]])</f>
        <v/>
      </c>
      <c r="AN792" s="184" t="str">
        <f>IF(NOTA[[#This Row],[CONCAT1]]="","",MATCH(NOTA[[#This Row],[CONCAT1]],[1]!db[NB NOTA_C],0)+1)</f>
        <v/>
      </c>
    </row>
    <row r="793" spans="1:40" ht="20.100000000000001" customHeight="1" x14ac:dyDescent="0.25">
      <c r="A793" s="49">
        <f ca="1">IF(INDIRECT(ADDRESS(ROW()-1,COLUMN(NOTA[[#Headers],[ID]])))="ID",1,IF(NOTA[[#This Row],[FAKTUR]]="","",COUNT(INDIRECT(ADDRESS(ROW(NOTA[ID]),COLUMN(NOTA[ID]))&amp;":"&amp;ADDRESS(ROW()-1,COLUMN(NOTA[ID]))))+1))</f>
        <v>151</v>
      </c>
      <c r="B7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ATA_2801_441-1</v>
      </c>
      <c r="C793" s="50" t="str">
        <f>IF(NOTA[[#This Row],[CEK_EXP]]&lt;D792,"err","")</f>
        <v/>
      </c>
      <c r="D793" s="50">
        <f>IF(NOTA[[#This Row],[TANGGAL]]="",D792,NOTA[[#This Row],[TANGGAL]])</f>
        <v>44954</v>
      </c>
      <c r="E793" s="50">
        <f ca="1">IF(NOTA[[#This Row],[NAMA BARANG]]="","",INDEX(NOTA[ID],MATCH(,INDIRECT(ADDRESS(ROW(NOTA[ID]),COLUMN(NOTA[ID]))&amp;":"&amp;ADDRESS(ROW(),COLUMN(NOTA[ID]))),-1)))</f>
        <v>151</v>
      </c>
      <c r="F793" s="23"/>
      <c r="G793" s="26" t="s">
        <v>25</v>
      </c>
      <c r="H793" s="26" t="s">
        <v>24</v>
      </c>
      <c r="I793" s="31" t="s">
        <v>916</v>
      </c>
      <c r="J793" s="26"/>
      <c r="K793" s="51">
        <v>44951</v>
      </c>
      <c r="L793" s="26"/>
      <c r="M793" s="26" t="s">
        <v>428</v>
      </c>
      <c r="N793" s="39">
        <v>8</v>
      </c>
      <c r="O793" s="26">
        <v>240</v>
      </c>
      <c r="P793" s="26" t="s">
        <v>274</v>
      </c>
      <c r="Q793" s="49">
        <v>104400</v>
      </c>
      <c r="R793" s="52"/>
      <c r="S793" s="39" t="s">
        <v>370</v>
      </c>
      <c r="T793" s="53">
        <v>0.125</v>
      </c>
      <c r="U793" s="53">
        <v>0.05</v>
      </c>
      <c r="V793" s="54"/>
      <c r="W793" s="37"/>
      <c r="X793" s="54">
        <f>IF(NOTA[[#This Row],[HARGA/ CTN]]="",NOTA[[#This Row],[JUMLAH_H]],NOTA[[#This Row],[HARGA/ CTN]]*IF(NOTA[[#This Row],[C]]="",0,NOTA[[#This Row],[C]]))</f>
        <v>25056000</v>
      </c>
      <c r="Y793" s="54">
        <f>IF(NOTA[[#This Row],[JUMLAH]]="","",NOTA[[#This Row],[JUMLAH]]*NOTA[[#This Row],[DISC 1]])</f>
        <v>3132000</v>
      </c>
      <c r="Z793" s="54">
        <f>IF(NOTA[[#This Row],[JUMLAH]]="","",(NOTA[[#This Row],[JUMLAH]]-NOTA[[#This Row],[DISC 1-]])*NOTA[[#This Row],[DISC 2]])</f>
        <v>1096200</v>
      </c>
      <c r="AA793" s="54">
        <f>IF(NOTA[[#This Row],[JUMLAH]]="","",NOTA[[#This Row],[DISC 1-]]+NOTA[[#This Row],[DISC 2-]])</f>
        <v>4228200</v>
      </c>
      <c r="AB793" s="54">
        <f>IF(NOTA[[#This Row],[JUMLAH]]="","",NOTA[[#This Row],[JUMLAH]]-NOTA[[#This Row],[DISC]])</f>
        <v>20827800</v>
      </c>
      <c r="AC7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4228200</v>
      </c>
      <c r="AD7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20827800</v>
      </c>
      <c r="AE793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93" s="54">
        <f>IF(OR(NOTA[[#This Row],[QTY]]="",NOTA[[#This Row],[HARGA SATUAN]]="",),"",NOTA[[#This Row],[QTY]]*NOTA[[#This Row],[HARGA SATUAN]])</f>
        <v>25056000</v>
      </c>
      <c r="AG793" s="51">
        <f ca="1">IF(NOTA[ID_H]="","",INDEX(NOTA[TANGGAL],MATCH(,INDIRECT(ADDRESS(ROW(NOTA[TANGGAL]),COLUMN(NOTA[TANGGAL]))&amp;":"&amp;ADDRESS(ROW(),COLUMN(NOTA[TANGGAL]))),-1)))</f>
        <v>44954</v>
      </c>
      <c r="AH793" s="49" t="str">
        <f ca="1">IF(NOTA[[#This Row],[NAMA BARANG]]="","",INDEX(NOTA[SUPPLIER],MATCH(,INDIRECT(ADDRESS(ROW(NOTA[ID]),COLUMN(NOTA[ID]))&amp;":"&amp;ADDRESS(ROW(),COLUMN(NOTA[ID]))),-1)))</f>
        <v>ATALI MAKMUR</v>
      </c>
      <c r="AI793" s="49" t="str">
        <f ca="1">IF(NOTA[[#This Row],[ID_H]]="","",IF(NOTA[[#This Row],[FAKTUR]]="",INDIRECT(ADDRESS(ROW()-1,COLUMN())),NOTA[[#This Row],[FAKTUR]]))</f>
        <v>ARTO MORO</v>
      </c>
      <c r="AJ793" s="38">
        <f ca="1">IF(NOTA[[#This Row],[ID]]="","",COUNTIF(NOTA[ID_H],NOTA[[#This Row],[ID_H]]))</f>
        <v>1</v>
      </c>
      <c r="AK793" s="38">
        <f>IF(NOTA[[#This Row],[TGL.NOTA]]="",IF(NOTA[[#This Row],[SUPPLIER_H]]="","",AK792),MONTH(NOTA[[#This Row],[TGL.NOTA]]))</f>
        <v>1</v>
      </c>
      <c r="AL79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793" s="38" t="str">
        <f>IF(NOTA[C]="",NOTA[[#This Row],[CONCAT1]]&amp;NOTA[[#This Row],[HARGA SATUAN]],NOTA[[#This Row],[CONCAT1]]&amp;NOTA[[#This Row],[HARGA/ CTN_H]]&amp;NOTA[[#This Row],[DISC 1]]&amp;NOTA[[#This Row],[DISC 2]])</f>
        <v>pencilp882bjk31320000.1250.05</v>
      </c>
      <c r="AN793" s="184">
        <f>IF(NOTA[[#This Row],[CONCAT1]]="","",MATCH(NOTA[[#This Row],[CONCAT1]],[1]!db[NB NOTA_C],0)+1)</f>
        <v>1765</v>
      </c>
    </row>
    <row r="794" spans="1:40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Row],[CEK_EXP]]&lt;D793,"err","")</f>
        <v/>
      </c>
      <c r="D794" s="50">
        <f>IF(NOTA[[#This Row],[TANGGAL]]="",D793,NOTA[[#This Row],[TANGGAL]])</f>
        <v>44954</v>
      </c>
      <c r="E794" s="50" t="str">
        <f ca="1">IF(NOTA[[#This Row],[NAMA BARANG]]="","",INDEX(NOTA[ID],MATCH(,INDIRECT(ADDRESS(ROW(NOTA[ID]),COLUMN(NOTA[ID]))&amp;":"&amp;ADDRESS(ROW(),COLUMN(NOTA[ID]))),-1)))</f>
        <v/>
      </c>
      <c r="F794" s="23"/>
      <c r="G794" s="26"/>
      <c r="H794" s="26"/>
      <c r="I794" s="31"/>
      <c r="J794" s="26"/>
      <c r="K794" s="51"/>
      <c r="L794" s="26"/>
      <c r="M794" s="26"/>
      <c r="N794" s="39"/>
      <c r="O794" s="26"/>
      <c r="P794" s="26"/>
      <c r="Q794" s="49"/>
      <c r="R794" s="52"/>
      <c r="S794" s="39"/>
      <c r="T794" s="53"/>
      <c r="U794" s="53"/>
      <c r="V794" s="54"/>
      <c r="W794" s="37"/>
      <c r="X794" s="54" t="str">
        <f>IF(NOTA[[#This Row],[HARGA/ CTN]]="",NOTA[[#This Row],[JUMLAH_H]],NOTA[[#This Row],[HARGA/ CTN]]*IF(NOTA[[#This Row],[C]]="",0,NOTA[[#This Row],[C]]))</f>
        <v/>
      </c>
      <c r="Y794" s="54" t="str">
        <f>IF(NOTA[[#This Row],[JUMLAH]]="","",NOTA[[#This Row],[JUMLAH]]*NOTA[[#This Row],[DISC 1]])</f>
        <v/>
      </c>
      <c r="Z794" s="54" t="str">
        <f>IF(NOTA[[#This Row],[JUMLAH]]="","",(NOTA[[#This Row],[JUMLAH]]-NOTA[[#This Row],[DISC 1-]])*NOTA[[#This Row],[DISC 2]])</f>
        <v/>
      </c>
      <c r="AA794" s="54" t="str">
        <f>IF(NOTA[[#This Row],[JUMLAH]]="","",NOTA[[#This Row],[DISC 1-]]+NOTA[[#This Row],[DISC 2-]])</f>
        <v/>
      </c>
      <c r="AB794" s="54" t="str">
        <f>IF(NOTA[[#This Row],[JUMLAH]]="","",NOTA[[#This Row],[JUMLAH]]-NOTA[[#This Row],[DISC]])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54" t="str">
        <f>IF(OR(NOTA[[#This Row],[QTY]]="",NOTA[[#This Row],[HARGA SATUAN]]="",),"",NOTA[[#This Row],[QTY]]*NOTA[[#This Row],[HARGA SATUAN]])</f>
        <v/>
      </c>
      <c r="AG794" s="51" t="str">
        <f ca="1">IF(NOTA[ID_H]="","",INDEX(NOTA[TANGGAL],MATCH(,INDIRECT(ADDRESS(ROW(NOTA[TANGGAL]),COLUMN(NOTA[TANGGAL]))&amp;":"&amp;ADDRESS(ROW(),COLUMN(NOTA[TANGGAL]))),-1)))</f>
        <v/>
      </c>
      <c r="AH794" s="49" t="str">
        <f ca="1">IF(NOTA[[#This Row],[NAMA BARANG]]="","",INDEX(NOTA[SUPPLIER],MATCH(,INDIRECT(ADDRESS(ROW(NOTA[ID]),COLUMN(NOTA[ID]))&amp;":"&amp;ADDRESS(ROW(),COLUMN(NOTA[ID]))),-1)))</f>
        <v/>
      </c>
      <c r="AI794" s="49" t="str">
        <f ca="1">IF(NOTA[[#This Row],[ID_H]]="","",IF(NOTA[[#This Row],[FAKTUR]]="",INDIRECT(ADDRESS(ROW()-1,COLUMN())),NOTA[[#This Row],[FAKTUR]]))</f>
        <v/>
      </c>
      <c r="AJ794" s="38" t="str">
        <f ca="1">IF(NOTA[[#This Row],[ID]]="","",COUNTIF(NOTA[ID_H],NOTA[[#This Row],[ID_H]]))</f>
        <v/>
      </c>
      <c r="AK794" s="38" t="str">
        <f ca="1">IF(NOTA[[#This Row],[TGL.NOTA]]="",IF(NOTA[[#This Row],[SUPPLIER_H]]="","",AK793),MONTH(NOTA[[#This Row],[TGL.NOTA]]))</f>
        <v/>
      </c>
      <c r="AL794" s="38" t="str">
        <f>LOWER(SUBSTITUTE(SUBSTITUTE(SUBSTITUTE(SUBSTITUTE(SUBSTITUTE(SUBSTITUTE(SUBSTITUTE(SUBSTITUTE(SUBSTITUTE(NOTA[NAMA BARANG]," ",),".",""),"-",""),"(",""),")",""),",",""),"/",""),"""",""),"+",""))</f>
        <v/>
      </c>
      <c r="AM794" s="38" t="str">
        <f>IF(NOTA[C]="",NOTA[[#This Row],[CONCAT1]]&amp;NOTA[[#This Row],[HARGA SATUAN]],NOTA[[#This Row],[CONCAT1]]&amp;NOTA[[#This Row],[HARGA/ CTN_H]]&amp;NOTA[[#This Row],[DISC 1]]&amp;NOTA[[#This Row],[DISC 2]])</f>
        <v/>
      </c>
      <c r="AN794" s="184" t="str">
        <f>IF(NOTA[[#This Row],[CONCAT1]]="","",MATCH(NOTA[[#This Row],[CONCAT1]],[1]!db[NB NOTA_C],0)+1)</f>
        <v/>
      </c>
    </row>
    <row r="795" spans="1:40" ht="20.100000000000001" customHeight="1" x14ac:dyDescent="0.25">
      <c r="A795" s="49">
        <f ca="1">IF(INDIRECT(ADDRESS(ROW()-1,COLUMN(NOTA[[#Headers],[ID]])))="ID",1,IF(NOTA[[#This Row],[FAKTUR]]="","",COUNT(INDIRECT(ADDRESS(ROW(NOTA[ID]),COLUMN(NOTA[ID]))&amp;":"&amp;ADDRESS(ROW()-1,COLUMN(NOTA[ID]))))+1))</f>
        <v>152</v>
      </c>
      <c r="B7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KEN_2801_764-6</v>
      </c>
      <c r="C795" s="50" t="str">
        <f>IF(NOTA[[#This Row],[CEK_EXP]]&lt;D794,"err","")</f>
        <v/>
      </c>
      <c r="D795" s="50">
        <f>IF(NOTA[[#This Row],[TANGGAL]]="",D794,NOTA[[#This Row],[TANGGAL]])</f>
        <v>44954</v>
      </c>
      <c r="E795" s="50">
        <f ca="1">IF(NOTA[[#This Row],[NAMA BARANG]]="","",INDEX(NOTA[ID],MATCH(,INDIRECT(ADDRESS(ROW(NOTA[ID]),COLUMN(NOTA[ID]))&amp;":"&amp;ADDRESS(ROW(),COLUMN(NOTA[ID]))),-1)))</f>
        <v>152</v>
      </c>
      <c r="F795" s="23"/>
      <c r="G795" s="26" t="s">
        <v>23</v>
      </c>
      <c r="H795" s="26" t="s">
        <v>24</v>
      </c>
      <c r="I795" s="31" t="s">
        <v>918</v>
      </c>
      <c r="J795" s="26" t="s">
        <v>917</v>
      </c>
      <c r="K795" s="51">
        <v>44952</v>
      </c>
      <c r="L795" s="26"/>
      <c r="M795" s="26" t="s">
        <v>405</v>
      </c>
      <c r="N795" s="39">
        <v>20</v>
      </c>
      <c r="O795" s="26"/>
      <c r="P795" s="26"/>
      <c r="Q795" s="49"/>
      <c r="R795" s="52">
        <v>1954800</v>
      </c>
      <c r="S795" s="39" t="s">
        <v>118</v>
      </c>
      <c r="T795" s="53">
        <v>0.17</v>
      </c>
      <c r="U795" s="53"/>
      <c r="V795" s="54"/>
      <c r="W795" s="37"/>
      <c r="X795" s="54">
        <f>IF(NOTA[[#This Row],[HARGA/ CTN]]="",NOTA[[#This Row],[JUMLAH_H]],NOTA[[#This Row],[HARGA/ CTN]]*IF(NOTA[[#This Row],[C]]="",0,NOTA[[#This Row],[C]]))</f>
        <v>39096000</v>
      </c>
      <c r="Y795" s="54">
        <f>IF(NOTA[[#This Row],[JUMLAH]]="","",NOTA[[#This Row],[JUMLAH]]*NOTA[[#This Row],[DISC 1]])</f>
        <v>6646320.0000000009</v>
      </c>
      <c r="Z795" s="54">
        <f>IF(NOTA[[#This Row],[JUMLAH]]="","",(NOTA[[#This Row],[JUMLAH]]-NOTA[[#This Row],[DISC 1-]])*NOTA[[#This Row],[DISC 2]])</f>
        <v>0</v>
      </c>
      <c r="AA795" s="54">
        <f>IF(NOTA[[#This Row],[JUMLAH]]="","",NOTA[[#This Row],[DISC 1-]]+NOTA[[#This Row],[DISC 2-]])</f>
        <v>6646320.0000000009</v>
      </c>
      <c r="AB795" s="54">
        <f>IF(NOTA[[#This Row],[JUMLAH]]="","",NOTA[[#This Row],[JUMLAH]]-NOTA[[#This Row],[DISC]])</f>
        <v>32449680</v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95" s="54" t="str">
        <f>IF(OR(NOTA[[#This Row],[QTY]]="",NOTA[[#This Row],[HARGA SATUAN]]="",),"",NOTA[[#This Row],[QTY]]*NOTA[[#This Row],[HARGA SATUAN]])</f>
        <v/>
      </c>
      <c r="AG795" s="51">
        <f ca="1">IF(NOTA[ID_H]="","",INDEX(NOTA[TANGGAL],MATCH(,INDIRECT(ADDRESS(ROW(NOTA[TANGGAL]),COLUMN(NOTA[TANGGAL]))&amp;":"&amp;ADDRESS(ROW(),COLUMN(NOTA[TANGGAL]))),-1)))</f>
        <v>44954</v>
      </c>
      <c r="AH795" s="49" t="str">
        <f ca="1">IF(NOTA[[#This Row],[NAMA BARANG]]="","",INDEX(NOTA[SUPPLIER],MATCH(,INDIRECT(ADDRESS(ROW(NOTA[ID]),COLUMN(NOTA[ID]))&amp;":"&amp;ADDRESS(ROW(),COLUMN(NOTA[ID]))),-1)))</f>
        <v>KENKO SINAR INDONESIA</v>
      </c>
      <c r="AI795" s="49" t="str">
        <f ca="1">IF(NOTA[[#This Row],[ID_H]]="","",IF(NOTA[[#This Row],[FAKTUR]]="",INDIRECT(ADDRESS(ROW()-1,COLUMN())),NOTA[[#This Row],[FAKTUR]]))</f>
        <v>ARTO MORO</v>
      </c>
      <c r="AJ795" s="38">
        <f ca="1">IF(NOTA[[#This Row],[ID]]="","",COUNTIF(NOTA[ID_H],NOTA[[#This Row],[ID_H]]))</f>
        <v>6</v>
      </c>
      <c r="AK795" s="38">
        <f>IF(NOTA[[#This Row],[TGL.NOTA]]="",IF(NOTA[[#This Row],[SUPPLIER_H]]="","",AK794),MONTH(NOTA[[#This Row],[TGL.NOTA]]))</f>
        <v>1</v>
      </c>
      <c r="AL79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95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N795" s="184">
        <f>IF(NOTA[[#This Row],[CONCAT1]]="","",MATCH(NOTA[[#This Row],[CONCAT1]],[1]!db[NB NOTA_C],0)+1)</f>
        <v>1102</v>
      </c>
    </row>
    <row r="796" spans="1:40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Row],[CEK_EXP]]&lt;D795,"err","")</f>
        <v/>
      </c>
      <c r="D796" s="50">
        <f>IF(NOTA[[#This Row],[TANGGAL]]="",D795,NOTA[[#This Row],[TANGGAL]])</f>
        <v>44954</v>
      </c>
      <c r="E796" s="50">
        <f ca="1">IF(NOTA[[#This Row],[NAMA BARANG]]="","",INDEX(NOTA[ID],MATCH(,INDIRECT(ADDRESS(ROW(NOTA[ID]),COLUMN(NOTA[ID]))&amp;":"&amp;ADDRESS(ROW(),COLUMN(NOTA[ID]))),-1)))</f>
        <v>152</v>
      </c>
      <c r="F796" s="23"/>
      <c r="G796" s="26"/>
      <c r="H796" s="26"/>
      <c r="I796" s="31"/>
      <c r="J796" s="26"/>
      <c r="K796" s="51"/>
      <c r="L796" s="26"/>
      <c r="M796" s="26" t="s">
        <v>742</v>
      </c>
      <c r="N796" s="39">
        <v>2</v>
      </c>
      <c r="O796" s="26"/>
      <c r="P796" s="26"/>
      <c r="Q796" s="49"/>
      <c r="R796" s="52">
        <v>2376000</v>
      </c>
      <c r="S796" s="39" t="s">
        <v>743</v>
      </c>
      <c r="T796" s="53">
        <v>0.17</v>
      </c>
      <c r="U796" s="53"/>
      <c r="V796" s="54"/>
      <c r="W796" s="37"/>
      <c r="X796" s="54">
        <f>IF(NOTA[[#This Row],[HARGA/ CTN]]="",NOTA[[#This Row],[JUMLAH_H]],NOTA[[#This Row],[HARGA/ CTN]]*IF(NOTA[[#This Row],[C]]="",0,NOTA[[#This Row],[C]]))</f>
        <v>4752000</v>
      </c>
      <c r="Y796" s="54">
        <f>IF(NOTA[[#This Row],[JUMLAH]]="","",NOTA[[#This Row],[JUMLAH]]*NOTA[[#This Row],[DISC 1]])</f>
        <v>807840</v>
      </c>
      <c r="Z796" s="54">
        <f>IF(NOTA[[#This Row],[JUMLAH]]="","",(NOTA[[#This Row],[JUMLAH]]-NOTA[[#This Row],[DISC 1-]])*NOTA[[#This Row],[DISC 2]])</f>
        <v>0</v>
      </c>
      <c r="AA796" s="54">
        <f>IF(NOTA[[#This Row],[JUMLAH]]="","",NOTA[[#This Row],[DISC 1-]]+NOTA[[#This Row],[DISC 2-]])</f>
        <v>807840</v>
      </c>
      <c r="AB796" s="54">
        <f>IF(NOTA[[#This Row],[JUMLAH]]="","",NOTA[[#This Row],[JUMLAH]]-NOTA[[#This Row],[DISC]])</f>
        <v>3944160</v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796" s="54" t="str">
        <f>IF(OR(NOTA[[#This Row],[QTY]]="",NOTA[[#This Row],[HARGA SATUAN]]="",),"",NOTA[[#This Row],[QTY]]*NOTA[[#This Row],[HARGA SATUAN]])</f>
        <v/>
      </c>
      <c r="AG796" s="51">
        <f ca="1">IF(NOTA[ID_H]="","",INDEX(NOTA[TANGGAL],MATCH(,INDIRECT(ADDRESS(ROW(NOTA[TANGGAL]),COLUMN(NOTA[TANGGAL]))&amp;":"&amp;ADDRESS(ROW(),COLUMN(NOTA[TANGGAL]))),-1)))</f>
        <v>44954</v>
      </c>
      <c r="AH796" s="49" t="str">
        <f ca="1">IF(NOTA[[#This Row],[NAMA BARANG]]="","",INDEX(NOTA[SUPPLIER],MATCH(,INDIRECT(ADDRESS(ROW(NOTA[ID]),COLUMN(NOTA[ID]))&amp;":"&amp;ADDRESS(ROW(),COLUMN(NOTA[ID]))),-1)))</f>
        <v>KENKO SINAR INDONESIA</v>
      </c>
      <c r="AI796" s="49" t="str">
        <f ca="1">IF(NOTA[[#This Row],[ID_H]]="","",IF(NOTA[[#This Row],[FAKTUR]]="",INDIRECT(ADDRESS(ROW()-1,COLUMN())),NOTA[[#This Row],[FAKTUR]]))</f>
        <v>ARTO MORO</v>
      </c>
      <c r="AJ796" s="38" t="str">
        <f ca="1">IF(NOTA[[#This Row],[ID]]="","",COUNTIF(NOTA[ID_H],NOTA[[#This Row],[ID_H]]))</f>
        <v/>
      </c>
      <c r="AK796" s="38">
        <f ca="1">IF(NOTA[[#This Row],[TGL.NOTA]]="",IF(NOTA[[#This Row],[SUPPLIER_H]]="","",AK795),MONTH(NOTA[[#This Row],[TGL.NOTA]]))</f>
        <v>1</v>
      </c>
      <c r="AL79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796" s="38" t="str">
        <f>IF(NOTA[C]="",NOTA[[#This Row],[CONCAT1]]&amp;NOTA[[#This Row],[HARGA SATUAN]],NOTA[[#This Row],[CONCAT1]]&amp;NOTA[[#This Row],[HARGA/ CTN_H]]&amp;NOTA[[#This Row],[DISC 1]]&amp;NOTA[[#This Row],[DISC 2]])</f>
        <v>kenkogluestick8grsmall23760000.17</v>
      </c>
      <c r="AN796" s="184">
        <f>IF(NOTA[[#This Row],[CONCAT1]]="","",MATCH(NOTA[[#This Row],[CONCAT1]],[1]!db[NB NOTA_C],0)+1)</f>
        <v>1190</v>
      </c>
    </row>
    <row r="797" spans="1:40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Row],[CEK_EXP]]&lt;D796,"err","")</f>
        <v/>
      </c>
      <c r="D797" s="50">
        <f>IF(NOTA[[#This Row],[TANGGAL]]="",D796,NOTA[[#This Row],[TANGGAL]])</f>
        <v>44954</v>
      </c>
      <c r="E797" s="50">
        <f ca="1">IF(NOTA[[#This Row],[NAMA BARANG]]="","",INDEX(NOTA[ID],MATCH(,INDIRECT(ADDRESS(ROW(NOTA[ID]),COLUMN(NOTA[ID]))&amp;":"&amp;ADDRESS(ROW(),COLUMN(NOTA[ID]))),-1)))</f>
        <v>152</v>
      </c>
      <c r="F797" s="23"/>
      <c r="G797" s="26"/>
      <c r="H797" s="26"/>
      <c r="I797" s="31"/>
      <c r="J797" s="26"/>
      <c r="K797" s="51"/>
      <c r="L797" s="26"/>
      <c r="M797" s="26" t="s">
        <v>919</v>
      </c>
      <c r="N797" s="39">
        <v>3</v>
      </c>
      <c r="O797" s="26"/>
      <c r="P797" s="26"/>
      <c r="Q797" s="49"/>
      <c r="R797" s="52">
        <v>1380000</v>
      </c>
      <c r="S797" s="39" t="s">
        <v>136</v>
      </c>
      <c r="T797" s="53">
        <v>0.17</v>
      </c>
      <c r="U797" s="53"/>
      <c r="V797" s="54"/>
      <c r="W797" s="37"/>
      <c r="X797" s="54">
        <f>IF(NOTA[[#This Row],[HARGA/ CTN]]="",NOTA[[#This Row],[JUMLAH_H]],NOTA[[#This Row],[HARGA/ CTN]]*IF(NOTA[[#This Row],[C]]="",0,NOTA[[#This Row],[C]]))</f>
        <v>4140000</v>
      </c>
      <c r="Y797" s="54">
        <f>IF(NOTA[[#This Row],[JUMLAH]]="","",NOTA[[#This Row],[JUMLAH]]*NOTA[[#This Row],[DISC 1]])</f>
        <v>703800</v>
      </c>
      <c r="Z797" s="54">
        <f>IF(NOTA[[#This Row],[JUMLAH]]="","",(NOTA[[#This Row],[JUMLAH]]-NOTA[[#This Row],[DISC 1-]])*NOTA[[#This Row],[DISC 2]])</f>
        <v>0</v>
      </c>
      <c r="AA797" s="54">
        <f>IF(NOTA[[#This Row],[JUMLAH]]="","",NOTA[[#This Row],[DISC 1-]]+NOTA[[#This Row],[DISC 2-]])</f>
        <v>703800</v>
      </c>
      <c r="AB797" s="54">
        <f>IF(NOTA[[#This Row],[JUMLAH]]="","",NOTA[[#This Row],[JUMLAH]]-NOTA[[#This Row],[DISC]])</f>
        <v>3436200</v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97" s="54" t="str">
        <f>IF(OR(NOTA[[#This Row],[QTY]]="",NOTA[[#This Row],[HARGA SATUAN]]="",),"",NOTA[[#This Row],[QTY]]*NOTA[[#This Row],[HARGA SATUAN]])</f>
        <v/>
      </c>
      <c r="AG797" s="51">
        <f ca="1">IF(NOTA[ID_H]="","",INDEX(NOTA[TANGGAL],MATCH(,INDIRECT(ADDRESS(ROW(NOTA[TANGGAL]),COLUMN(NOTA[TANGGAL]))&amp;":"&amp;ADDRESS(ROW(),COLUMN(NOTA[TANGGAL]))),-1)))</f>
        <v>44954</v>
      </c>
      <c r="AH797" s="49" t="str">
        <f ca="1">IF(NOTA[[#This Row],[NAMA BARANG]]="","",INDEX(NOTA[SUPPLIER],MATCH(,INDIRECT(ADDRESS(ROW(NOTA[ID]),COLUMN(NOTA[ID]))&amp;":"&amp;ADDRESS(ROW(),COLUMN(NOTA[ID]))),-1)))</f>
        <v>KENKO SINAR INDONESIA</v>
      </c>
      <c r="AI797" s="49" t="str">
        <f ca="1">IF(NOTA[[#This Row],[ID_H]]="","",IF(NOTA[[#This Row],[FAKTUR]]="",INDIRECT(ADDRESS(ROW()-1,COLUMN())),NOTA[[#This Row],[FAKTUR]]))</f>
        <v>ARTO MORO</v>
      </c>
      <c r="AJ797" s="38" t="str">
        <f ca="1">IF(NOTA[[#This Row],[ID]]="","",COUNTIF(NOTA[ID_H],NOTA[[#This Row],[ID_H]]))</f>
        <v/>
      </c>
      <c r="AK797" s="38">
        <f ca="1">IF(NOTA[[#This Row],[TGL.NOTA]]="",IF(NOTA[[#This Row],[SUPPLIER_H]]="","",AK796),MONTH(NOTA[[#This Row],[TGL.NOTA]]))</f>
        <v>1</v>
      </c>
      <c r="AL797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97" s="38" t="str">
        <f>IF(NOTA[C]="",NOTA[[#This Row],[CONCAT1]]&amp;NOTA[[#This Row],[HARGA SATUAN]],NOTA[[#This Row],[CONCAT1]]&amp;NOTA[[#This Row],[HARGA/ CTN_H]]&amp;NOTA[[#This Row],[DISC 1]]&amp;NOTA[[#This Row],[DISC 2]])</f>
        <v>kenkobinderclipno15513800000.17</v>
      </c>
      <c r="AN797" s="184">
        <f>IF(NOTA[[#This Row],[CONCAT1]]="","",MATCH(NOTA[[#This Row],[CONCAT1]],[1]!db[NB NOTA_C],0)+1)</f>
        <v>1052</v>
      </c>
    </row>
    <row r="798" spans="1:40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Row],[CEK_EXP]]&lt;D797,"err","")</f>
        <v/>
      </c>
      <c r="D798" s="50">
        <f>IF(NOTA[[#This Row],[TANGGAL]]="",D797,NOTA[[#This Row],[TANGGAL]])</f>
        <v>44954</v>
      </c>
      <c r="E798" s="50">
        <f ca="1">IF(NOTA[[#This Row],[NAMA BARANG]]="","",INDEX(NOTA[ID],MATCH(,INDIRECT(ADDRESS(ROW(NOTA[ID]),COLUMN(NOTA[ID]))&amp;":"&amp;ADDRESS(ROW(),COLUMN(NOTA[ID]))),-1)))</f>
        <v>152</v>
      </c>
      <c r="F798" s="23"/>
      <c r="G798" s="26"/>
      <c r="H798" s="26"/>
      <c r="I798" s="31"/>
      <c r="J798" s="26"/>
      <c r="K798" s="51"/>
      <c r="L798" s="26"/>
      <c r="M798" s="26" t="s">
        <v>920</v>
      </c>
      <c r="N798" s="39">
        <v>2</v>
      </c>
      <c r="O798" s="26"/>
      <c r="P798" s="26"/>
      <c r="Q798" s="49"/>
      <c r="R798" s="52">
        <v>1200000</v>
      </c>
      <c r="S798" s="39" t="s">
        <v>900</v>
      </c>
      <c r="T798" s="53">
        <v>0.17</v>
      </c>
      <c r="U798" s="53"/>
      <c r="V798" s="54"/>
      <c r="W798" s="37"/>
      <c r="X798" s="54">
        <f>IF(NOTA[[#This Row],[HARGA/ CTN]]="",NOTA[[#This Row],[JUMLAH_H]],NOTA[[#This Row],[HARGA/ CTN]]*IF(NOTA[[#This Row],[C]]="",0,NOTA[[#This Row],[C]]))</f>
        <v>2400000</v>
      </c>
      <c r="Y798" s="54">
        <f>IF(NOTA[[#This Row],[JUMLAH]]="","",NOTA[[#This Row],[JUMLAH]]*NOTA[[#This Row],[DISC 1]])</f>
        <v>408000.00000000006</v>
      </c>
      <c r="Z798" s="54">
        <f>IF(NOTA[[#This Row],[JUMLAH]]="","",(NOTA[[#This Row],[JUMLAH]]-NOTA[[#This Row],[DISC 1-]])*NOTA[[#This Row],[DISC 2]])</f>
        <v>0</v>
      </c>
      <c r="AA798" s="54">
        <f>IF(NOTA[[#This Row],[JUMLAH]]="","",NOTA[[#This Row],[DISC 1-]]+NOTA[[#This Row],[DISC 2-]])</f>
        <v>408000.00000000006</v>
      </c>
      <c r="AB798" s="54">
        <f>IF(NOTA[[#This Row],[JUMLAH]]="","",NOTA[[#This Row],[JUMLAH]]-NOTA[[#This Row],[DISC]])</f>
        <v>1992000</v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98" s="54" t="str">
        <f>IF(OR(NOTA[[#This Row],[QTY]]="",NOTA[[#This Row],[HARGA SATUAN]]="",),"",NOTA[[#This Row],[QTY]]*NOTA[[#This Row],[HARGA SATUAN]])</f>
        <v/>
      </c>
      <c r="AG798" s="51">
        <f ca="1">IF(NOTA[ID_H]="","",INDEX(NOTA[TANGGAL],MATCH(,INDIRECT(ADDRESS(ROW(NOTA[TANGGAL]),COLUMN(NOTA[TANGGAL]))&amp;":"&amp;ADDRESS(ROW(),COLUMN(NOTA[TANGGAL]))),-1)))</f>
        <v>44954</v>
      </c>
      <c r="AH798" s="49" t="str">
        <f ca="1">IF(NOTA[[#This Row],[NAMA BARANG]]="","",INDEX(NOTA[SUPPLIER],MATCH(,INDIRECT(ADDRESS(ROW(NOTA[ID]),COLUMN(NOTA[ID]))&amp;":"&amp;ADDRESS(ROW(),COLUMN(NOTA[ID]))),-1)))</f>
        <v>KENKO SINAR INDONESIA</v>
      </c>
      <c r="AI798" s="49" t="str">
        <f ca="1">IF(NOTA[[#This Row],[ID_H]]="","",IF(NOTA[[#This Row],[FAKTUR]]="",INDIRECT(ADDRESS(ROW()-1,COLUMN())),NOTA[[#This Row],[FAKTUR]]))</f>
        <v>ARTO MORO</v>
      </c>
      <c r="AJ798" s="38" t="str">
        <f ca="1">IF(NOTA[[#This Row],[ID]]="","",COUNTIF(NOTA[ID_H],NOTA[[#This Row],[ID_H]]))</f>
        <v/>
      </c>
      <c r="AK798" s="38">
        <f ca="1">IF(NOTA[[#This Row],[TGL.NOTA]]="",IF(NOTA[[#This Row],[SUPPLIER_H]]="","",AK797),MONTH(NOTA[[#This Row],[TGL.NOTA]]))</f>
        <v>1</v>
      </c>
      <c r="AL798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98" s="38" t="str">
        <f>IF(NOTA[C]="",NOTA[[#This Row],[CONCAT1]]&amp;NOTA[[#This Row],[HARGA SATUAN]],NOTA[[#This Row],[CONCAT1]]&amp;NOTA[[#This Row],[HARGA/ CTN_H]]&amp;NOTA[[#This Row],[DISC 1]]&amp;NOTA[[#This Row],[DISC 2]])</f>
        <v>kenkobinderclipno20012000000.17</v>
      </c>
      <c r="AN798" s="184">
        <f>IF(NOTA[[#This Row],[CONCAT1]]="","",MATCH(NOTA[[#This Row],[CONCAT1]],[1]!db[NB NOTA_C],0)+1)</f>
        <v>1053</v>
      </c>
    </row>
    <row r="799" spans="1:40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Row],[CEK_EXP]]&lt;D798,"err","")</f>
        <v/>
      </c>
      <c r="D799" s="50">
        <f>IF(NOTA[[#This Row],[TANGGAL]]="",D798,NOTA[[#This Row],[TANGGAL]])</f>
        <v>44954</v>
      </c>
      <c r="E799" s="50">
        <f ca="1">IF(NOTA[[#This Row],[NAMA BARANG]]="","",INDEX(NOTA[ID],MATCH(,INDIRECT(ADDRESS(ROW(NOTA[ID]),COLUMN(NOTA[ID]))&amp;":"&amp;ADDRESS(ROW(),COLUMN(NOTA[ID]))),-1)))</f>
        <v>152</v>
      </c>
      <c r="F799" s="23"/>
      <c r="G799" s="26"/>
      <c r="H799" s="26"/>
      <c r="I799" s="31"/>
      <c r="J799" s="26"/>
      <c r="K799" s="51"/>
      <c r="L799" s="26"/>
      <c r="M799" s="26" t="s">
        <v>396</v>
      </c>
      <c r="N799" s="39">
        <v>6</v>
      </c>
      <c r="O799" s="26"/>
      <c r="P799" s="26"/>
      <c r="Q799" s="49"/>
      <c r="R799" s="52">
        <v>900000</v>
      </c>
      <c r="S799" s="39" t="s">
        <v>411</v>
      </c>
      <c r="T799" s="53">
        <v>0.17</v>
      </c>
      <c r="U799" s="53"/>
      <c r="V799" s="54"/>
      <c r="W799" s="37"/>
      <c r="X799" s="54">
        <f>IF(NOTA[[#This Row],[HARGA/ CTN]]="",NOTA[[#This Row],[JUMLAH_H]],NOTA[[#This Row],[HARGA/ CTN]]*IF(NOTA[[#This Row],[C]]="",0,NOTA[[#This Row],[C]]))</f>
        <v>5400000</v>
      </c>
      <c r="Y799" s="54">
        <f>IF(NOTA[[#This Row],[JUMLAH]]="","",NOTA[[#This Row],[JUMLAH]]*NOTA[[#This Row],[DISC 1]])</f>
        <v>918000.00000000012</v>
      </c>
      <c r="Z799" s="54">
        <f>IF(NOTA[[#This Row],[JUMLAH]]="","",(NOTA[[#This Row],[JUMLAH]]-NOTA[[#This Row],[DISC 1-]])*NOTA[[#This Row],[DISC 2]])</f>
        <v>0</v>
      </c>
      <c r="AA799" s="54">
        <f>IF(NOTA[[#This Row],[JUMLAH]]="","",NOTA[[#This Row],[DISC 1-]]+NOTA[[#This Row],[DISC 2-]])</f>
        <v>918000.00000000012</v>
      </c>
      <c r="AB799" s="54">
        <f>IF(NOTA[[#This Row],[JUMLAH]]="","",NOTA[[#This Row],[JUMLAH]]-NOTA[[#This Row],[DISC]])</f>
        <v>4482000</v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99" s="54" t="str">
        <f>IF(OR(NOTA[[#This Row],[QTY]]="",NOTA[[#This Row],[HARGA SATUAN]]="",),"",NOTA[[#This Row],[QTY]]*NOTA[[#This Row],[HARGA SATUAN]])</f>
        <v/>
      </c>
      <c r="AG799" s="51">
        <f ca="1">IF(NOTA[ID_H]="","",INDEX(NOTA[TANGGAL],MATCH(,INDIRECT(ADDRESS(ROW(NOTA[TANGGAL]),COLUMN(NOTA[TANGGAL]))&amp;":"&amp;ADDRESS(ROW(),COLUMN(NOTA[TANGGAL]))),-1)))</f>
        <v>44954</v>
      </c>
      <c r="AH799" s="49" t="str">
        <f ca="1">IF(NOTA[[#This Row],[NAMA BARANG]]="","",INDEX(NOTA[SUPPLIER],MATCH(,INDIRECT(ADDRESS(ROW(NOTA[ID]),COLUMN(NOTA[ID]))&amp;":"&amp;ADDRESS(ROW(),COLUMN(NOTA[ID]))),-1)))</f>
        <v>KENKO SINAR INDONESIA</v>
      </c>
      <c r="AI799" s="49" t="str">
        <f ca="1">IF(NOTA[[#This Row],[ID_H]]="","",IF(NOTA[[#This Row],[FAKTUR]]="",INDIRECT(ADDRESS(ROW()-1,COLUMN())),NOTA[[#This Row],[FAKTUR]]))</f>
        <v>ARTO MORO</v>
      </c>
      <c r="AJ799" s="38" t="str">
        <f ca="1">IF(NOTA[[#This Row],[ID]]="","",COUNTIF(NOTA[ID_H],NOTA[[#This Row],[ID_H]]))</f>
        <v/>
      </c>
      <c r="AK799" s="38">
        <f ca="1">IF(NOTA[[#This Row],[TGL.NOTA]]="",IF(NOTA[[#This Row],[SUPPLIER_H]]="","",AK798),MONTH(NOTA[[#This Row],[TGL.NOTA]]))</f>
        <v>1</v>
      </c>
      <c r="AL79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99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N799" s="184">
        <f>IF(NOTA[[#This Row],[CONCAT1]]="","",MATCH(NOTA[[#This Row],[CONCAT1]],[1]!db[NB NOTA_C],0)+1)</f>
        <v>1054</v>
      </c>
    </row>
    <row r="800" spans="1:40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Row],[CEK_EXP]]&lt;D799,"err","")</f>
        <v/>
      </c>
      <c r="D800" s="50">
        <f>IF(NOTA[[#This Row],[TANGGAL]]="",D799,NOTA[[#This Row],[TANGGAL]])</f>
        <v>44954</v>
      </c>
      <c r="E800" s="50">
        <f ca="1">IF(NOTA[[#This Row],[NAMA BARANG]]="","",INDEX(NOTA[ID],MATCH(,INDIRECT(ADDRESS(ROW(NOTA[ID]),COLUMN(NOTA[ID]))&amp;":"&amp;ADDRESS(ROW(),COLUMN(NOTA[ID]))),-1)))</f>
        <v>152</v>
      </c>
      <c r="F800" s="23"/>
      <c r="G800" s="26"/>
      <c r="H800" s="26"/>
      <c r="I800" s="31"/>
      <c r="J800" s="26" t="s">
        <v>922</v>
      </c>
      <c r="K800" s="51"/>
      <c r="L800" s="26"/>
      <c r="M800" s="26" t="s">
        <v>921</v>
      </c>
      <c r="N800" s="39">
        <v>1</v>
      </c>
      <c r="O800" s="26"/>
      <c r="P800" s="26"/>
      <c r="Q800" s="49"/>
      <c r="R800" s="52">
        <v>2592000</v>
      </c>
      <c r="S800" s="39" t="s">
        <v>121</v>
      </c>
      <c r="T800" s="53">
        <v>0.17</v>
      </c>
      <c r="U800" s="53"/>
      <c r="V800" s="54"/>
      <c r="W800" s="37"/>
      <c r="X800" s="54">
        <f>IF(NOTA[[#This Row],[HARGA/ CTN]]="",NOTA[[#This Row],[JUMLAH_H]],NOTA[[#This Row],[HARGA/ CTN]]*IF(NOTA[[#This Row],[C]]="",0,NOTA[[#This Row],[C]]))</f>
        <v>2592000</v>
      </c>
      <c r="Y800" s="54">
        <f>IF(NOTA[[#This Row],[JUMLAH]]="","",NOTA[[#This Row],[JUMLAH]]*NOTA[[#This Row],[DISC 1]])</f>
        <v>440640.00000000006</v>
      </c>
      <c r="Z800" s="54">
        <f>IF(NOTA[[#This Row],[JUMLAH]]="","",(NOTA[[#This Row],[JUMLAH]]-NOTA[[#This Row],[DISC 1-]])*NOTA[[#This Row],[DISC 2]])</f>
        <v>0</v>
      </c>
      <c r="AA800" s="54">
        <f>IF(NOTA[[#This Row],[JUMLAH]]="","",NOTA[[#This Row],[DISC 1-]]+NOTA[[#This Row],[DISC 2-]])</f>
        <v>440640.00000000006</v>
      </c>
      <c r="AB800" s="54">
        <f>IF(NOTA[[#This Row],[JUMLAH]]="","",NOTA[[#This Row],[JUMLAH]]-NOTA[[#This Row],[DISC]])</f>
        <v>2151360</v>
      </c>
      <c r="AC8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9924600.0000000019</v>
      </c>
      <c r="AD8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48455400</v>
      </c>
      <c r="AE8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00" s="54" t="str">
        <f>IF(OR(NOTA[[#This Row],[QTY]]="",NOTA[[#This Row],[HARGA SATUAN]]="",),"",NOTA[[#This Row],[QTY]]*NOTA[[#This Row],[HARGA SATUAN]])</f>
        <v/>
      </c>
      <c r="AG800" s="51">
        <f ca="1">IF(NOTA[ID_H]="","",INDEX(NOTA[TANGGAL],MATCH(,INDIRECT(ADDRESS(ROW(NOTA[TANGGAL]),COLUMN(NOTA[TANGGAL]))&amp;":"&amp;ADDRESS(ROW(),COLUMN(NOTA[TANGGAL]))),-1)))</f>
        <v>44954</v>
      </c>
      <c r="AH800" s="49" t="str">
        <f ca="1">IF(NOTA[[#This Row],[NAMA BARANG]]="","",INDEX(NOTA[SUPPLIER],MATCH(,INDIRECT(ADDRESS(ROW(NOTA[ID]),COLUMN(NOTA[ID]))&amp;":"&amp;ADDRESS(ROW(),COLUMN(NOTA[ID]))),-1)))</f>
        <v>KENKO SINAR INDONESIA</v>
      </c>
      <c r="AI800" s="49" t="str">
        <f ca="1">IF(NOTA[[#This Row],[ID_H]]="","",IF(NOTA[[#This Row],[FAKTUR]]="",INDIRECT(ADDRESS(ROW()-1,COLUMN())),NOTA[[#This Row],[FAKTUR]]))</f>
        <v>ARTO MORO</v>
      </c>
      <c r="AJ800" s="38" t="str">
        <f ca="1">IF(NOTA[[#This Row],[ID]]="","",COUNTIF(NOTA[ID_H],NOTA[[#This Row],[ID_H]]))</f>
        <v/>
      </c>
      <c r="AK800" s="38">
        <f ca="1">IF(NOTA[[#This Row],[TGL.NOTA]]="",IF(NOTA[[#This Row],[SUPPLIER_H]]="","",AK799),MONTH(NOTA[[#This Row],[TGL.NOTA]]))</f>
        <v>1</v>
      </c>
      <c r="AL800" s="38" t="str">
        <f>LOWER(SUBSTITUTE(SUBSTITUTE(SUBSTITUTE(SUBSTITUTE(SUBSTITUTE(SUBSTITUTE(SUBSTITUTE(SUBSTITUTE(SUBSTITUTE(NOTA[NAMA BARANG]," ",),".",""),"-",""),"(",""),")",""),",",""),"/",""),"""",""),"+",""))</f>
        <v>kenkocorrectiontapect831*8mx5mm</v>
      </c>
      <c r="AM800" s="38" t="str">
        <f>IF(NOTA[C]="",NOTA[[#This Row],[CONCAT1]]&amp;NOTA[[#This Row],[HARGA SATUAN]],NOTA[[#This Row],[CONCAT1]]&amp;NOTA[[#This Row],[HARGA/ CTN_H]]&amp;NOTA[[#This Row],[DISC 1]]&amp;NOTA[[#This Row],[DISC 2]])</f>
        <v>kenkocorrectiontapect831*8mx5mm25920000.17</v>
      </c>
      <c r="AN800" s="184">
        <f>IF(NOTA[[#This Row],[CONCAT1]]="","",MATCH(NOTA[[#This Row],[CONCAT1]],[1]!db[NB NOTA_C],0)+1)</f>
        <v>1122</v>
      </c>
    </row>
    <row r="801" spans="1:40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Row],[CEK_EXP]]&lt;D800,"err","")</f>
        <v/>
      </c>
      <c r="D801" s="50">
        <f>IF(NOTA[[#This Row],[TANGGAL]]="",D800,NOTA[[#This Row],[TANGGAL]])</f>
        <v>44954</v>
      </c>
      <c r="E801" s="50" t="str">
        <f ca="1">IF(NOTA[[#This Row],[NAMA BARANG]]="","",INDEX(NOTA[ID],MATCH(,INDIRECT(ADDRESS(ROW(NOTA[ID]),COLUMN(NOTA[ID]))&amp;":"&amp;ADDRESS(ROW(),COLUMN(NOTA[ID]))),-1)))</f>
        <v/>
      </c>
      <c r="F801" s="23"/>
      <c r="G801" s="26"/>
      <c r="H801" s="26"/>
      <c r="I801" s="31"/>
      <c r="J801" s="26"/>
      <c r="K801" s="51"/>
      <c r="L801" s="26"/>
      <c r="M801" s="26"/>
      <c r="N801" s="39"/>
      <c r="O801" s="26"/>
      <c r="P801" s="26"/>
      <c r="Q801" s="49"/>
      <c r="R801" s="52"/>
      <c r="S801" s="39"/>
      <c r="T801" s="53"/>
      <c r="U801" s="53"/>
      <c r="V801" s="54"/>
      <c r="W801" s="37"/>
      <c r="X801" s="54" t="str">
        <f>IF(NOTA[[#This Row],[HARGA/ CTN]]="",NOTA[[#This Row],[JUMLAH_H]],NOTA[[#This Row],[HARGA/ CTN]]*IF(NOTA[[#This Row],[C]]="",0,NOTA[[#This Row],[C]]))</f>
        <v/>
      </c>
      <c r="Y801" s="54" t="str">
        <f>IF(NOTA[[#This Row],[JUMLAH]]="","",NOTA[[#This Row],[JUMLAH]]*NOTA[[#This Row],[DISC 1]])</f>
        <v/>
      </c>
      <c r="Z801" s="54" t="str">
        <f>IF(NOTA[[#This Row],[JUMLAH]]="","",(NOTA[[#This Row],[JUMLAH]]-NOTA[[#This Row],[DISC 1-]])*NOTA[[#This Row],[DISC 2]])</f>
        <v/>
      </c>
      <c r="AA801" s="54" t="str">
        <f>IF(NOTA[[#This Row],[JUMLAH]]="","",NOTA[[#This Row],[DISC 1-]]+NOTA[[#This Row],[DISC 2-]])</f>
        <v/>
      </c>
      <c r="AB801" s="54" t="str">
        <f>IF(NOTA[[#This Row],[JUMLAH]]="","",NOTA[[#This Row],[JUMLAH]]-NOTA[[#This Row],[DISC]])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54" t="str">
        <f>IF(OR(NOTA[[#This Row],[QTY]]="",NOTA[[#This Row],[HARGA SATUAN]]="",),"",NOTA[[#This Row],[QTY]]*NOTA[[#This Row],[HARGA SATUAN]])</f>
        <v/>
      </c>
      <c r="AG801" s="51" t="str">
        <f ca="1">IF(NOTA[ID_H]="","",INDEX(NOTA[TANGGAL],MATCH(,INDIRECT(ADDRESS(ROW(NOTA[TANGGAL]),COLUMN(NOTA[TANGGAL]))&amp;":"&amp;ADDRESS(ROW(),COLUMN(NOTA[TANGGAL]))),-1)))</f>
        <v/>
      </c>
      <c r="AH801" s="49" t="str">
        <f ca="1">IF(NOTA[[#This Row],[NAMA BARANG]]="","",INDEX(NOTA[SUPPLIER],MATCH(,INDIRECT(ADDRESS(ROW(NOTA[ID]),COLUMN(NOTA[ID]))&amp;":"&amp;ADDRESS(ROW(),COLUMN(NOTA[ID]))),-1)))</f>
        <v/>
      </c>
      <c r="AI801" s="49" t="str">
        <f ca="1">IF(NOTA[[#This Row],[ID_H]]="","",IF(NOTA[[#This Row],[FAKTUR]]="",INDIRECT(ADDRESS(ROW()-1,COLUMN())),NOTA[[#This Row],[FAKTUR]]))</f>
        <v/>
      </c>
      <c r="AJ801" s="38" t="str">
        <f ca="1">IF(NOTA[[#This Row],[ID]]="","",COUNTIF(NOTA[ID_H],NOTA[[#This Row],[ID_H]]))</f>
        <v/>
      </c>
      <c r="AK801" s="38" t="str">
        <f ca="1">IF(NOTA[[#This Row],[TGL.NOTA]]="",IF(NOTA[[#This Row],[SUPPLIER_H]]="","",AK800),MONTH(NOTA[[#This Row],[TGL.NOTA]]))</f>
        <v/>
      </c>
      <c r="AL801" s="38" t="str">
        <f>LOWER(SUBSTITUTE(SUBSTITUTE(SUBSTITUTE(SUBSTITUTE(SUBSTITUTE(SUBSTITUTE(SUBSTITUTE(SUBSTITUTE(SUBSTITUTE(NOTA[NAMA BARANG]," ",),".",""),"-",""),"(",""),")",""),",",""),"/",""),"""",""),"+",""))</f>
        <v/>
      </c>
      <c r="AM801" s="38" t="str">
        <f>IF(NOTA[C]="",NOTA[[#This Row],[CONCAT1]]&amp;NOTA[[#This Row],[HARGA SATUAN]],NOTA[[#This Row],[CONCAT1]]&amp;NOTA[[#This Row],[HARGA/ CTN_H]]&amp;NOTA[[#This Row],[DISC 1]]&amp;NOTA[[#This Row],[DISC 2]])</f>
        <v/>
      </c>
      <c r="AN801" s="184" t="str">
        <f>IF(NOTA[[#This Row],[CONCAT1]]="","",MATCH(NOTA[[#This Row],[CONCAT1]],[1]!db[NB NOTA_C],0)+1)</f>
        <v/>
      </c>
    </row>
    <row r="802" spans="1:40" ht="20.100000000000001" customHeight="1" x14ac:dyDescent="0.25">
      <c r="A802" s="49">
        <f ca="1">IF(INDIRECT(ADDRESS(ROW()-1,COLUMN(NOTA[[#Headers],[ID]])))="ID",1,IF(NOTA[[#This Row],[FAKTUR]]="","",COUNT(INDIRECT(ADDRESS(ROW(NOTA[ID]),COLUMN(NOTA[ID]))&amp;":"&amp;ADDRESS(ROW()-1,COLUMN(NOTA[ID]))))+1))</f>
        <v>153</v>
      </c>
      <c r="B8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KEN_2801_733-10</v>
      </c>
      <c r="C802" s="50" t="str">
        <f>IF(NOTA[[#This Row],[CEK_EXP]]&lt;D801,"err","")</f>
        <v/>
      </c>
      <c r="D802" s="50">
        <f>IF(NOTA[[#This Row],[TANGGAL]]="",D801,NOTA[[#This Row],[TANGGAL]])</f>
        <v>44954</v>
      </c>
      <c r="E802" s="50">
        <f ca="1">IF(NOTA[[#This Row],[NAMA BARANG]]="","",INDEX(NOTA[ID],MATCH(,INDIRECT(ADDRESS(ROW(NOTA[ID]),COLUMN(NOTA[ID]))&amp;":"&amp;ADDRESS(ROW(),COLUMN(NOTA[ID]))),-1)))</f>
        <v>153</v>
      </c>
      <c r="F802" s="23"/>
      <c r="G802" s="26" t="s">
        <v>23</v>
      </c>
      <c r="H802" s="26" t="s">
        <v>24</v>
      </c>
      <c r="I802" s="31" t="s">
        <v>923</v>
      </c>
      <c r="J802" s="26" t="s">
        <v>924</v>
      </c>
      <c r="K802" s="51">
        <v>44952</v>
      </c>
      <c r="L802" s="26"/>
      <c r="M802" s="26" t="s">
        <v>925</v>
      </c>
      <c r="N802" s="39">
        <v>1</v>
      </c>
      <c r="O802" s="26"/>
      <c r="P802" s="26"/>
      <c r="Q802" s="49"/>
      <c r="R802" s="52">
        <v>801600</v>
      </c>
      <c r="S802" s="39" t="s">
        <v>695</v>
      </c>
      <c r="T802" s="53">
        <v>0.17</v>
      </c>
      <c r="U802" s="53"/>
      <c r="V802" s="54"/>
      <c r="W802" s="37"/>
      <c r="X802" s="54">
        <f>IF(NOTA[[#This Row],[HARGA/ CTN]]="",NOTA[[#This Row],[JUMLAH_H]],NOTA[[#This Row],[HARGA/ CTN]]*IF(NOTA[[#This Row],[C]]="",0,NOTA[[#This Row],[C]]))</f>
        <v>801600</v>
      </c>
      <c r="Y802" s="54">
        <f>IF(NOTA[[#This Row],[JUMLAH]]="","",NOTA[[#This Row],[JUMLAH]]*NOTA[[#This Row],[DISC 1]])</f>
        <v>136272</v>
      </c>
      <c r="Z802" s="54">
        <f>IF(NOTA[[#This Row],[JUMLAH]]="","",(NOTA[[#This Row],[JUMLAH]]-NOTA[[#This Row],[DISC 1-]])*NOTA[[#This Row],[DISC 2]])</f>
        <v>0</v>
      </c>
      <c r="AA802" s="54">
        <f>IF(NOTA[[#This Row],[JUMLAH]]="","",NOTA[[#This Row],[DISC 1-]]+NOTA[[#This Row],[DISC 2-]])</f>
        <v>136272</v>
      </c>
      <c r="AB802" s="54">
        <f>IF(NOTA[[#This Row],[JUMLAH]]="","",NOTA[[#This Row],[JUMLAH]]-NOTA[[#This Row],[DISC]])</f>
        <v>665328</v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802" s="54" t="str">
        <f>IF(OR(NOTA[[#This Row],[QTY]]="",NOTA[[#This Row],[HARGA SATUAN]]="",),"",NOTA[[#This Row],[QTY]]*NOTA[[#This Row],[HARGA SATUAN]])</f>
        <v/>
      </c>
      <c r="AG802" s="51">
        <f ca="1">IF(NOTA[ID_H]="","",INDEX(NOTA[TANGGAL],MATCH(,INDIRECT(ADDRESS(ROW(NOTA[TANGGAL]),COLUMN(NOTA[TANGGAL]))&amp;":"&amp;ADDRESS(ROW(),COLUMN(NOTA[TANGGAL]))),-1)))</f>
        <v>44954</v>
      </c>
      <c r="AH802" s="49" t="str">
        <f ca="1">IF(NOTA[[#This Row],[NAMA BARANG]]="","",INDEX(NOTA[SUPPLIER],MATCH(,INDIRECT(ADDRESS(ROW(NOTA[ID]),COLUMN(NOTA[ID]))&amp;":"&amp;ADDRESS(ROW(),COLUMN(NOTA[ID]))),-1)))</f>
        <v>KENKO SINAR INDONESIA</v>
      </c>
      <c r="AI802" s="49" t="str">
        <f ca="1">IF(NOTA[[#This Row],[ID_H]]="","",IF(NOTA[[#This Row],[FAKTUR]]="",INDIRECT(ADDRESS(ROW()-1,COLUMN())),NOTA[[#This Row],[FAKTUR]]))</f>
        <v>ARTO MORO</v>
      </c>
      <c r="AJ802" s="38">
        <f ca="1">IF(NOTA[[#This Row],[ID]]="","",COUNTIF(NOTA[ID_H],NOTA[[#This Row],[ID_H]]))</f>
        <v>10</v>
      </c>
      <c r="AK802" s="38">
        <f>IF(NOTA[[#This Row],[TGL.NOTA]]="",IF(NOTA[[#This Row],[SUPPLIER_H]]="","",AK801),MONTH(NOTA[[#This Row],[TGL.NOTA]]))</f>
        <v>1</v>
      </c>
      <c r="AL802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802" s="38" t="str">
        <f>IF(NOTA[C]="",NOTA[[#This Row],[CONCAT1]]&amp;NOTA[[#This Row],[HARGA SATUAN]],NOTA[[#This Row],[CONCAT1]]&amp;NOTA[[#This Row],[HARGA/ CTN_H]]&amp;NOTA[[#This Row],[DISC 1]]&amp;NOTA[[#This Row],[DISC 2]])</f>
        <v>kenkolooseleafa5ll10020708016000.17</v>
      </c>
      <c r="AN802" s="184">
        <f>IF(NOTA[[#This Row],[CONCAT1]]="","",MATCH(NOTA[[#This Row],[CONCAT1]],[1]!db[NB NOTA_C],0)+1)</f>
        <v>1214</v>
      </c>
    </row>
    <row r="803" spans="1:40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Row],[CEK_EXP]]&lt;D802,"err","")</f>
        <v/>
      </c>
      <c r="D803" s="50">
        <f>IF(NOTA[[#This Row],[TANGGAL]]="",D802,NOTA[[#This Row],[TANGGAL]])</f>
        <v>44954</v>
      </c>
      <c r="E803" s="50">
        <f ca="1">IF(NOTA[[#This Row],[NAMA BARANG]]="","",INDEX(NOTA[ID],MATCH(,INDIRECT(ADDRESS(ROW(NOTA[ID]),COLUMN(NOTA[ID]))&amp;":"&amp;ADDRESS(ROW(),COLUMN(NOTA[ID]))),-1)))</f>
        <v>153</v>
      </c>
      <c r="F803" s="23"/>
      <c r="G803" s="26"/>
      <c r="H803" s="26"/>
      <c r="I803" s="31"/>
      <c r="J803" s="26"/>
      <c r="K803" s="51"/>
      <c r="L803" s="26"/>
      <c r="M803" s="26" t="s">
        <v>928</v>
      </c>
      <c r="N803" s="39">
        <v>1</v>
      </c>
      <c r="O803" s="26"/>
      <c r="P803" s="26"/>
      <c r="Q803" s="49"/>
      <c r="R803" s="52">
        <v>2764800</v>
      </c>
      <c r="S803" s="39" t="s">
        <v>117</v>
      </c>
      <c r="T803" s="53">
        <v>0.17</v>
      </c>
      <c r="U803" s="53"/>
      <c r="V803" s="54"/>
      <c r="W803" s="37"/>
      <c r="X803" s="54">
        <f>IF(NOTA[[#This Row],[HARGA/ CTN]]="",NOTA[[#This Row],[JUMLAH_H]],NOTA[[#This Row],[HARGA/ CTN]]*IF(NOTA[[#This Row],[C]]="",0,NOTA[[#This Row],[C]]))</f>
        <v>2764800</v>
      </c>
      <c r="Y803" s="54">
        <f>IF(NOTA[[#This Row],[JUMLAH]]="","",NOTA[[#This Row],[JUMLAH]]*NOTA[[#This Row],[DISC 1]])</f>
        <v>470016.00000000006</v>
      </c>
      <c r="Z803" s="54">
        <f>IF(NOTA[[#This Row],[JUMLAH]]="","",(NOTA[[#This Row],[JUMLAH]]-NOTA[[#This Row],[DISC 1-]])*NOTA[[#This Row],[DISC 2]])</f>
        <v>0</v>
      </c>
      <c r="AA803" s="54">
        <f>IF(NOTA[[#This Row],[JUMLAH]]="","",NOTA[[#This Row],[DISC 1-]]+NOTA[[#This Row],[DISC 2-]])</f>
        <v>470016.00000000006</v>
      </c>
      <c r="AB803" s="54">
        <f>IF(NOTA[[#This Row],[JUMLAH]]="","",NOTA[[#This Row],[JUMLAH]]-NOTA[[#This Row],[DISC]])</f>
        <v>2294784</v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803" s="54" t="str">
        <f>IF(OR(NOTA[[#This Row],[QTY]]="",NOTA[[#This Row],[HARGA SATUAN]]="",),"",NOTA[[#This Row],[QTY]]*NOTA[[#This Row],[HARGA SATUAN]])</f>
        <v/>
      </c>
      <c r="AG803" s="51">
        <f ca="1">IF(NOTA[ID_H]="","",INDEX(NOTA[TANGGAL],MATCH(,INDIRECT(ADDRESS(ROW(NOTA[TANGGAL]),COLUMN(NOTA[TANGGAL]))&amp;":"&amp;ADDRESS(ROW(),COLUMN(NOTA[TANGGAL]))),-1)))</f>
        <v>44954</v>
      </c>
      <c r="AH803" s="49" t="str">
        <f ca="1">IF(NOTA[[#This Row],[NAMA BARANG]]="","",INDEX(NOTA[SUPPLIER],MATCH(,INDIRECT(ADDRESS(ROW(NOTA[ID]),COLUMN(NOTA[ID]))&amp;":"&amp;ADDRESS(ROW(),COLUMN(NOTA[ID]))),-1)))</f>
        <v>KENKO SINAR INDONESIA</v>
      </c>
      <c r="AI803" s="49" t="str">
        <f ca="1">IF(NOTA[[#This Row],[ID_H]]="","",IF(NOTA[[#This Row],[FAKTUR]]="",INDIRECT(ADDRESS(ROW()-1,COLUMN())),NOTA[[#This Row],[FAKTUR]]))</f>
        <v>ARTO MORO</v>
      </c>
      <c r="AJ803" s="38" t="str">
        <f ca="1">IF(NOTA[[#This Row],[ID]]="","",COUNTIF(NOTA[ID_H],NOTA[[#This Row],[ID_H]]))</f>
        <v/>
      </c>
      <c r="AK803" s="38">
        <f ca="1">IF(NOTA[[#This Row],[TGL.NOTA]]="",IF(NOTA[[#This Row],[SUPPLIER_H]]="","",AK802),MONTH(NOTA[[#This Row],[TGL.NOTA]]))</f>
        <v>1</v>
      </c>
      <c r="AL803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803" s="38" t="str">
        <f>IF(NOTA[C]="",NOTA[[#This Row],[CONCAT1]]&amp;NOTA[[#This Row],[HARGA SATUAN]],NOTA[[#This Row],[CONCAT1]]&amp;NOTA[[#This Row],[HARGA/ CTN_H]]&amp;NOTA[[#This Row],[DISC 1]]&amp;NOTA[[#This Row],[DISC 2]])</f>
        <v>kenkogelpenke100black27648000.17</v>
      </c>
      <c r="AN803" s="184">
        <f>IF(NOTA[[#This Row],[CONCAT1]]="","",MATCH(NOTA[[#This Row],[CONCAT1]],[1]!db[NB NOTA_C],0)+1)</f>
        <v>1168</v>
      </c>
    </row>
    <row r="804" spans="1:40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Row],[CEK_EXP]]&lt;D803,"err","")</f>
        <v/>
      </c>
      <c r="D804" s="50">
        <f>IF(NOTA[[#This Row],[TANGGAL]]="",D803,NOTA[[#This Row],[TANGGAL]])</f>
        <v>44954</v>
      </c>
      <c r="E804" s="50">
        <f ca="1">IF(NOTA[[#This Row],[NAMA BARANG]]="","",INDEX(NOTA[ID],MATCH(,INDIRECT(ADDRESS(ROW(NOTA[ID]),COLUMN(NOTA[ID]))&amp;":"&amp;ADDRESS(ROW(),COLUMN(NOTA[ID]))),-1)))</f>
        <v>153</v>
      </c>
      <c r="F804" s="23"/>
      <c r="G804" s="26"/>
      <c r="H804" s="26"/>
      <c r="I804" s="31"/>
      <c r="J804" s="26"/>
      <c r="K804" s="51"/>
      <c r="L804" s="26"/>
      <c r="M804" s="26" t="s">
        <v>405</v>
      </c>
      <c r="N804" s="39">
        <v>5</v>
      </c>
      <c r="O804" s="26"/>
      <c r="P804" s="26"/>
      <c r="Q804" s="49"/>
      <c r="R804" s="52">
        <v>1954800</v>
      </c>
      <c r="S804" s="39" t="s">
        <v>118</v>
      </c>
      <c r="T804" s="53">
        <v>0.17</v>
      </c>
      <c r="U804" s="53"/>
      <c r="V804" s="54"/>
      <c r="W804" s="37"/>
      <c r="X804" s="54">
        <f>IF(NOTA[[#This Row],[HARGA/ CTN]]="",NOTA[[#This Row],[JUMLAH_H]],NOTA[[#This Row],[HARGA/ CTN]]*IF(NOTA[[#This Row],[C]]="",0,NOTA[[#This Row],[C]]))</f>
        <v>9774000</v>
      </c>
      <c r="Y804" s="54">
        <f>IF(NOTA[[#This Row],[JUMLAH]]="","",NOTA[[#This Row],[JUMLAH]]*NOTA[[#This Row],[DISC 1]])</f>
        <v>1661580.0000000002</v>
      </c>
      <c r="Z804" s="54">
        <f>IF(NOTA[[#This Row],[JUMLAH]]="","",(NOTA[[#This Row],[JUMLAH]]-NOTA[[#This Row],[DISC 1-]])*NOTA[[#This Row],[DISC 2]])</f>
        <v>0</v>
      </c>
      <c r="AA804" s="54">
        <f>IF(NOTA[[#This Row],[JUMLAH]]="","",NOTA[[#This Row],[DISC 1-]]+NOTA[[#This Row],[DISC 2-]])</f>
        <v>1661580.0000000002</v>
      </c>
      <c r="AB804" s="54">
        <f>IF(NOTA[[#This Row],[JUMLAH]]="","",NOTA[[#This Row],[JUMLAH]]-NOTA[[#This Row],[DISC]])</f>
        <v>8112420</v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804" s="54" t="str">
        <f>IF(OR(NOTA[[#This Row],[QTY]]="",NOTA[[#This Row],[HARGA SATUAN]]="",),"",NOTA[[#This Row],[QTY]]*NOTA[[#This Row],[HARGA SATUAN]])</f>
        <v/>
      </c>
      <c r="AG804" s="51">
        <f ca="1">IF(NOTA[ID_H]="","",INDEX(NOTA[TANGGAL],MATCH(,INDIRECT(ADDRESS(ROW(NOTA[TANGGAL]),COLUMN(NOTA[TANGGAL]))&amp;":"&amp;ADDRESS(ROW(),COLUMN(NOTA[TANGGAL]))),-1)))</f>
        <v>44954</v>
      </c>
      <c r="AH804" s="49" t="str">
        <f ca="1">IF(NOTA[[#This Row],[NAMA BARANG]]="","",INDEX(NOTA[SUPPLIER],MATCH(,INDIRECT(ADDRESS(ROW(NOTA[ID]),COLUMN(NOTA[ID]))&amp;":"&amp;ADDRESS(ROW(),COLUMN(NOTA[ID]))),-1)))</f>
        <v>KENKO SINAR INDONESIA</v>
      </c>
      <c r="AI804" s="49" t="str">
        <f ca="1">IF(NOTA[[#This Row],[ID_H]]="","",IF(NOTA[[#This Row],[FAKTUR]]="",INDIRECT(ADDRESS(ROW()-1,COLUMN())),NOTA[[#This Row],[FAKTUR]]))</f>
        <v>ARTO MORO</v>
      </c>
      <c r="AJ804" s="38" t="str">
        <f ca="1">IF(NOTA[[#This Row],[ID]]="","",COUNTIF(NOTA[ID_H],NOTA[[#This Row],[ID_H]]))</f>
        <v/>
      </c>
      <c r="AK804" s="38">
        <f ca="1">IF(NOTA[[#This Row],[TGL.NOTA]]="",IF(NOTA[[#This Row],[SUPPLIER_H]]="","",AK803),MONTH(NOTA[[#This Row],[TGL.NOTA]]))</f>
        <v>1</v>
      </c>
      <c r="AL80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804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N804" s="184">
        <f>IF(NOTA[[#This Row],[CONCAT1]]="","",MATCH(NOTA[[#This Row],[CONCAT1]],[1]!db[NB NOTA_C],0)+1)</f>
        <v>1102</v>
      </c>
    </row>
    <row r="805" spans="1:40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Row],[CEK_EXP]]&lt;D804,"err","")</f>
        <v/>
      </c>
      <c r="D805" s="50">
        <f>IF(NOTA[[#This Row],[TANGGAL]]="",D804,NOTA[[#This Row],[TANGGAL]])</f>
        <v>44954</v>
      </c>
      <c r="E805" s="50">
        <f ca="1">IF(NOTA[[#This Row],[NAMA BARANG]]="","",INDEX(NOTA[ID],MATCH(,INDIRECT(ADDRESS(ROW(NOTA[ID]),COLUMN(NOTA[ID]))&amp;":"&amp;ADDRESS(ROW(),COLUMN(NOTA[ID]))),-1)))</f>
        <v>153</v>
      </c>
      <c r="F805" s="23"/>
      <c r="G805" s="26"/>
      <c r="H805" s="26"/>
      <c r="I805" s="31"/>
      <c r="J805" s="26"/>
      <c r="K805" s="51"/>
      <c r="L805" s="26"/>
      <c r="M805" s="26" t="s">
        <v>134</v>
      </c>
      <c r="N805" s="39">
        <v>1</v>
      </c>
      <c r="O805" s="26"/>
      <c r="P805" s="26"/>
      <c r="Q805" s="49"/>
      <c r="R805" s="52">
        <v>2980800</v>
      </c>
      <c r="S805" s="39" t="s">
        <v>124</v>
      </c>
      <c r="T805" s="53">
        <v>0.17</v>
      </c>
      <c r="U805" s="53"/>
      <c r="V805" s="54"/>
      <c r="W805" s="37"/>
      <c r="X805" s="54">
        <f>IF(NOTA[[#This Row],[HARGA/ CTN]]="",NOTA[[#This Row],[JUMLAH_H]],NOTA[[#This Row],[HARGA/ CTN]]*IF(NOTA[[#This Row],[C]]="",0,NOTA[[#This Row],[C]]))</f>
        <v>2980800</v>
      </c>
      <c r="Y805" s="54">
        <f>IF(NOTA[[#This Row],[JUMLAH]]="","",NOTA[[#This Row],[JUMLAH]]*NOTA[[#This Row],[DISC 1]])</f>
        <v>506736.00000000006</v>
      </c>
      <c r="Z805" s="54">
        <f>IF(NOTA[[#This Row],[JUMLAH]]="","",(NOTA[[#This Row],[JUMLAH]]-NOTA[[#This Row],[DISC 1-]])*NOTA[[#This Row],[DISC 2]])</f>
        <v>0</v>
      </c>
      <c r="AA805" s="54">
        <f>IF(NOTA[[#This Row],[JUMLAH]]="","",NOTA[[#This Row],[DISC 1-]]+NOTA[[#This Row],[DISC 2-]])</f>
        <v>506736.00000000006</v>
      </c>
      <c r="AB805" s="54">
        <f>IF(NOTA[[#This Row],[JUMLAH]]="","",NOTA[[#This Row],[JUMLAH]]-NOTA[[#This Row],[DISC]])</f>
        <v>2474064</v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805" s="54" t="str">
        <f>IF(OR(NOTA[[#This Row],[QTY]]="",NOTA[[#This Row],[HARGA SATUAN]]="",),"",NOTA[[#This Row],[QTY]]*NOTA[[#This Row],[HARGA SATUAN]])</f>
        <v/>
      </c>
      <c r="AG805" s="51">
        <f ca="1">IF(NOTA[ID_H]="","",INDEX(NOTA[TANGGAL],MATCH(,INDIRECT(ADDRESS(ROW(NOTA[TANGGAL]),COLUMN(NOTA[TANGGAL]))&amp;":"&amp;ADDRESS(ROW(),COLUMN(NOTA[TANGGAL]))),-1)))</f>
        <v>44954</v>
      </c>
      <c r="AH805" s="49" t="str">
        <f ca="1">IF(NOTA[[#This Row],[NAMA BARANG]]="","",INDEX(NOTA[SUPPLIER],MATCH(,INDIRECT(ADDRESS(ROW(NOTA[ID]),COLUMN(NOTA[ID]))&amp;":"&amp;ADDRESS(ROW(),COLUMN(NOTA[ID]))),-1)))</f>
        <v>KENKO SINAR INDONESIA</v>
      </c>
      <c r="AI805" s="49" t="str">
        <f ca="1">IF(NOTA[[#This Row],[ID_H]]="","",IF(NOTA[[#This Row],[FAKTUR]]="",INDIRECT(ADDRESS(ROW()-1,COLUMN())),NOTA[[#This Row],[FAKTUR]]))</f>
        <v>ARTO MORO</v>
      </c>
      <c r="AJ805" s="38" t="str">
        <f ca="1">IF(NOTA[[#This Row],[ID]]="","",COUNTIF(NOTA[ID_H],NOTA[[#This Row],[ID_H]]))</f>
        <v/>
      </c>
      <c r="AK805" s="38">
        <f ca="1">IF(NOTA[[#This Row],[TGL.NOTA]]="",IF(NOTA[[#This Row],[SUPPLIER_H]]="","",AK804),MONTH(NOTA[[#This Row],[TGL.NOTA]]))</f>
        <v>1</v>
      </c>
      <c r="AL80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805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N805" s="184">
        <f>IF(NOTA[[#This Row],[CONCAT1]]="","",MATCH(NOTA[[#This Row],[CONCAT1]],[1]!db[NB NOTA_C],0)+1)</f>
        <v>1035</v>
      </c>
    </row>
    <row r="806" spans="1:40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Row],[CEK_EXP]]&lt;D805,"err","")</f>
        <v/>
      </c>
      <c r="D806" s="50">
        <f>IF(NOTA[[#This Row],[TANGGAL]]="",D805,NOTA[[#This Row],[TANGGAL]])</f>
        <v>44954</v>
      </c>
      <c r="E806" s="50">
        <f ca="1">IF(NOTA[[#This Row],[NAMA BARANG]]="","",INDEX(NOTA[ID],MATCH(,INDIRECT(ADDRESS(ROW(NOTA[ID]),COLUMN(NOTA[ID]))&amp;":"&amp;ADDRESS(ROW(),COLUMN(NOTA[ID]))),-1)))</f>
        <v>153</v>
      </c>
      <c r="F806" s="23"/>
      <c r="G806" s="26"/>
      <c r="H806" s="26"/>
      <c r="I806" s="31"/>
      <c r="J806" s="26"/>
      <c r="K806" s="51"/>
      <c r="L806" s="26"/>
      <c r="M806" s="26" t="s">
        <v>135</v>
      </c>
      <c r="N806" s="39">
        <v>2</v>
      </c>
      <c r="O806" s="26"/>
      <c r="P806" s="26"/>
      <c r="Q806" s="49"/>
      <c r="R806" s="52">
        <v>462000</v>
      </c>
      <c r="S806" s="39" t="s">
        <v>130</v>
      </c>
      <c r="T806" s="53">
        <v>0.17</v>
      </c>
      <c r="U806" s="53"/>
      <c r="V806" s="54"/>
      <c r="W806" s="37"/>
      <c r="X806" s="54">
        <f>IF(NOTA[[#This Row],[HARGA/ CTN]]="",NOTA[[#This Row],[JUMLAH_H]],NOTA[[#This Row],[HARGA/ CTN]]*IF(NOTA[[#This Row],[C]]="",0,NOTA[[#This Row],[C]]))</f>
        <v>924000</v>
      </c>
      <c r="Y806" s="54">
        <f>IF(NOTA[[#This Row],[JUMLAH]]="","",NOTA[[#This Row],[JUMLAH]]*NOTA[[#This Row],[DISC 1]])</f>
        <v>157080</v>
      </c>
      <c r="Z806" s="54">
        <f>IF(NOTA[[#This Row],[JUMLAH]]="","",(NOTA[[#This Row],[JUMLAH]]-NOTA[[#This Row],[DISC 1-]])*NOTA[[#This Row],[DISC 2]])</f>
        <v>0</v>
      </c>
      <c r="AA806" s="54">
        <f>IF(NOTA[[#This Row],[JUMLAH]]="","",NOTA[[#This Row],[DISC 1-]]+NOTA[[#This Row],[DISC 2-]])</f>
        <v>157080</v>
      </c>
      <c r="AB806" s="54">
        <f>IF(NOTA[[#This Row],[JUMLAH]]="","",NOTA[[#This Row],[JUMLAH]]-NOTA[[#This Row],[DISC]])</f>
        <v>766920</v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806" s="54" t="str">
        <f>IF(OR(NOTA[[#This Row],[QTY]]="",NOTA[[#This Row],[HARGA SATUAN]]="",),"",NOTA[[#This Row],[QTY]]*NOTA[[#This Row],[HARGA SATUAN]])</f>
        <v/>
      </c>
      <c r="AG806" s="51">
        <f ca="1">IF(NOTA[ID_H]="","",INDEX(NOTA[TANGGAL],MATCH(,INDIRECT(ADDRESS(ROW(NOTA[TANGGAL]),COLUMN(NOTA[TANGGAL]))&amp;":"&amp;ADDRESS(ROW(),COLUMN(NOTA[TANGGAL]))),-1)))</f>
        <v>44954</v>
      </c>
      <c r="AH806" s="49" t="str">
        <f ca="1">IF(NOTA[[#This Row],[NAMA BARANG]]="","",INDEX(NOTA[SUPPLIER],MATCH(,INDIRECT(ADDRESS(ROW(NOTA[ID]),COLUMN(NOTA[ID]))&amp;":"&amp;ADDRESS(ROW(),COLUMN(NOTA[ID]))),-1)))</f>
        <v>KENKO SINAR INDONESIA</v>
      </c>
      <c r="AI806" s="49" t="str">
        <f ca="1">IF(NOTA[[#This Row],[ID_H]]="","",IF(NOTA[[#This Row],[FAKTUR]]="",INDIRECT(ADDRESS(ROW()-1,COLUMN())),NOTA[[#This Row],[FAKTUR]]))</f>
        <v>ARTO MORO</v>
      </c>
      <c r="AJ806" s="38" t="str">
        <f ca="1">IF(NOTA[[#This Row],[ID]]="","",COUNTIF(NOTA[ID_H],NOTA[[#This Row],[ID_H]]))</f>
        <v/>
      </c>
      <c r="AK806" s="38">
        <f ca="1">IF(NOTA[[#This Row],[TGL.NOTA]]="",IF(NOTA[[#This Row],[SUPPLIER_H]]="","",AK805),MONTH(NOTA[[#This Row],[TGL.NOTA]]))</f>
        <v>1</v>
      </c>
      <c r="AL80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806" s="38" t="str">
        <f>IF(NOTA[C]="",NOTA[[#This Row],[CONCAT1]]&amp;NOTA[[#This Row],[HARGA SATUAN]],NOTA[[#This Row],[CONCAT1]]&amp;NOTA[[#This Row],[HARGA/ CTN_H]]&amp;NOTA[[#This Row],[DISC 1]]&amp;NOTA[[#This Row],[DISC 2]])</f>
        <v>kenkotapedispensertd3231&amp;3core4620000.17</v>
      </c>
      <c r="AN806" s="184">
        <f>IF(NOTA[[#This Row],[CONCAT1]]="","",MATCH(NOTA[[#This Row],[CONCAT1]],[1]!db[NB NOTA_C],0)+1)</f>
        <v>1307</v>
      </c>
    </row>
    <row r="807" spans="1:40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Row],[CEK_EXP]]&lt;D806,"err","")</f>
        <v/>
      </c>
      <c r="D807" s="50">
        <f>IF(NOTA[[#This Row],[TANGGAL]]="",D806,NOTA[[#This Row],[TANGGAL]])</f>
        <v>44954</v>
      </c>
      <c r="E807" s="50">
        <f ca="1">IF(NOTA[[#This Row],[NAMA BARANG]]="","",INDEX(NOTA[ID],MATCH(,INDIRECT(ADDRESS(ROW(NOTA[ID]),COLUMN(NOTA[ID]))&amp;":"&amp;ADDRESS(ROW(),COLUMN(NOTA[ID]))),-1)))</f>
        <v>153</v>
      </c>
      <c r="F807" s="23"/>
      <c r="G807" s="26"/>
      <c r="H807" s="26"/>
      <c r="I807" s="31"/>
      <c r="J807" s="26"/>
      <c r="K807" s="51"/>
      <c r="L807" s="26"/>
      <c r="M807" s="26" t="s">
        <v>926</v>
      </c>
      <c r="N807" s="39">
        <v>1</v>
      </c>
      <c r="O807" s="26"/>
      <c r="P807" s="26"/>
      <c r="Q807" s="49"/>
      <c r="R807" s="52">
        <v>1590000</v>
      </c>
      <c r="S807" s="39" t="s">
        <v>910</v>
      </c>
      <c r="T807" s="53">
        <v>0.17</v>
      </c>
      <c r="U807" s="53"/>
      <c r="V807" s="54"/>
      <c r="W807" s="37"/>
      <c r="X807" s="54">
        <f>IF(NOTA[[#This Row],[HARGA/ CTN]]="",NOTA[[#This Row],[JUMLAH_H]],NOTA[[#This Row],[HARGA/ CTN]]*IF(NOTA[[#This Row],[C]]="",0,NOTA[[#This Row],[C]]))</f>
        <v>1590000</v>
      </c>
      <c r="Y807" s="54">
        <f>IF(NOTA[[#This Row],[JUMLAH]]="","",NOTA[[#This Row],[JUMLAH]]*NOTA[[#This Row],[DISC 1]])</f>
        <v>270300</v>
      </c>
      <c r="Z807" s="54">
        <f>IF(NOTA[[#This Row],[JUMLAH]]="","",(NOTA[[#This Row],[JUMLAH]]-NOTA[[#This Row],[DISC 1-]])*NOTA[[#This Row],[DISC 2]])</f>
        <v>0</v>
      </c>
      <c r="AA807" s="54">
        <f>IF(NOTA[[#This Row],[JUMLAH]]="","",NOTA[[#This Row],[DISC 1-]]+NOTA[[#This Row],[DISC 2-]])</f>
        <v>270300</v>
      </c>
      <c r="AB807" s="54">
        <f>IF(NOTA[[#This Row],[JUMLAH]]="","",NOTA[[#This Row],[JUMLAH]]-NOTA[[#This Row],[DISC]])</f>
        <v>1319700</v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807" s="54" t="str">
        <f>IF(OR(NOTA[[#This Row],[QTY]]="",NOTA[[#This Row],[HARGA SATUAN]]="",),"",NOTA[[#This Row],[QTY]]*NOTA[[#This Row],[HARGA SATUAN]])</f>
        <v/>
      </c>
      <c r="AG807" s="51">
        <f ca="1">IF(NOTA[ID_H]="","",INDEX(NOTA[TANGGAL],MATCH(,INDIRECT(ADDRESS(ROW(NOTA[TANGGAL]),COLUMN(NOTA[TANGGAL]))&amp;":"&amp;ADDRESS(ROW(),COLUMN(NOTA[TANGGAL]))),-1)))</f>
        <v>44954</v>
      </c>
      <c r="AH807" s="49" t="str">
        <f ca="1">IF(NOTA[[#This Row],[NAMA BARANG]]="","",INDEX(NOTA[SUPPLIER],MATCH(,INDIRECT(ADDRESS(ROW(NOTA[ID]),COLUMN(NOTA[ID]))&amp;":"&amp;ADDRESS(ROW(),COLUMN(NOTA[ID]))),-1)))</f>
        <v>KENKO SINAR INDONESIA</v>
      </c>
      <c r="AI807" s="49" t="str">
        <f ca="1">IF(NOTA[[#This Row],[ID_H]]="","",IF(NOTA[[#This Row],[FAKTUR]]="",INDIRECT(ADDRESS(ROW()-1,COLUMN())),NOTA[[#This Row],[FAKTUR]]))</f>
        <v>ARTO MORO</v>
      </c>
      <c r="AJ807" s="38" t="str">
        <f ca="1">IF(NOTA[[#This Row],[ID]]="","",COUNTIF(NOTA[ID_H],NOTA[[#This Row],[ID_H]]))</f>
        <v/>
      </c>
      <c r="AK807" s="38">
        <f ca="1">IF(NOTA[[#This Row],[TGL.NOTA]]="",IF(NOTA[[#This Row],[SUPPLIER_H]]="","",AK806),MONTH(NOTA[[#This Row],[TGL.NOTA]]))</f>
        <v>1</v>
      </c>
      <c r="AL807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807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N807" s="184">
        <f>IF(NOTA[[#This Row],[CONCAT1]]="","",MATCH(NOTA[[#This Row],[CONCAT1]],[1]!db[NB NOTA_C],0)+1)</f>
        <v>1050</v>
      </c>
    </row>
    <row r="808" spans="1:40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Row],[CEK_EXP]]&lt;D807,"err","")</f>
        <v/>
      </c>
      <c r="D808" s="50">
        <f>IF(NOTA[[#This Row],[TANGGAL]]="",D807,NOTA[[#This Row],[TANGGAL]])</f>
        <v>44954</v>
      </c>
      <c r="E808" s="50">
        <f ca="1">IF(NOTA[[#This Row],[NAMA BARANG]]="","",INDEX(NOTA[ID],MATCH(,INDIRECT(ADDRESS(ROW(NOTA[ID]),COLUMN(NOTA[ID]))&amp;":"&amp;ADDRESS(ROW(),COLUMN(NOTA[ID]))),-1)))</f>
        <v>153</v>
      </c>
      <c r="F808" s="23"/>
      <c r="G808" s="26"/>
      <c r="H808" s="26"/>
      <c r="I808" s="31"/>
      <c r="J808" s="26"/>
      <c r="K808" s="51"/>
      <c r="L808" s="26"/>
      <c r="M808" s="26" t="s">
        <v>929</v>
      </c>
      <c r="N808" s="39">
        <v>2</v>
      </c>
      <c r="O808" s="26"/>
      <c r="P808" s="26"/>
      <c r="Q808" s="49"/>
      <c r="R808" s="52">
        <v>2952000</v>
      </c>
      <c r="S808" s="39" t="s">
        <v>119</v>
      </c>
      <c r="T808" s="53">
        <v>0.17</v>
      </c>
      <c r="U808" s="53"/>
      <c r="V808" s="54"/>
      <c r="W808" s="37"/>
      <c r="X808" s="54">
        <f>IF(NOTA[[#This Row],[HARGA/ CTN]]="",NOTA[[#This Row],[JUMLAH_H]],NOTA[[#This Row],[HARGA/ CTN]]*IF(NOTA[[#This Row],[C]]="",0,NOTA[[#This Row],[C]]))</f>
        <v>5904000</v>
      </c>
      <c r="Y808" s="54">
        <f>IF(NOTA[[#This Row],[JUMLAH]]="","",NOTA[[#This Row],[JUMLAH]]*NOTA[[#This Row],[DISC 1]])</f>
        <v>1003680.0000000001</v>
      </c>
      <c r="Z808" s="54">
        <f>IF(NOTA[[#This Row],[JUMLAH]]="","",(NOTA[[#This Row],[JUMLAH]]-NOTA[[#This Row],[DISC 1-]])*NOTA[[#This Row],[DISC 2]])</f>
        <v>0</v>
      </c>
      <c r="AA808" s="54">
        <f>IF(NOTA[[#This Row],[JUMLAH]]="","",NOTA[[#This Row],[DISC 1-]]+NOTA[[#This Row],[DISC 2-]])</f>
        <v>1003680.0000000001</v>
      </c>
      <c r="AB808" s="54">
        <f>IF(NOTA[[#This Row],[JUMLAH]]="","",NOTA[[#This Row],[JUMLAH]]-NOTA[[#This Row],[DISC]])</f>
        <v>4900320</v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08" s="54" t="str">
        <f>IF(OR(NOTA[[#This Row],[QTY]]="",NOTA[[#This Row],[HARGA SATUAN]]="",),"",NOTA[[#This Row],[QTY]]*NOTA[[#This Row],[HARGA SATUAN]])</f>
        <v/>
      </c>
      <c r="AG808" s="51">
        <f ca="1">IF(NOTA[ID_H]="","",INDEX(NOTA[TANGGAL],MATCH(,INDIRECT(ADDRESS(ROW(NOTA[TANGGAL]),COLUMN(NOTA[TANGGAL]))&amp;":"&amp;ADDRESS(ROW(),COLUMN(NOTA[TANGGAL]))),-1)))</f>
        <v>44954</v>
      </c>
      <c r="AH808" s="49" t="str">
        <f ca="1">IF(NOTA[[#This Row],[NAMA BARANG]]="","",INDEX(NOTA[SUPPLIER],MATCH(,INDIRECT(ADDRESS(ROW(NOTA[ID]),COLUMN(NOTA[ID]))&amp;":"&amp;ADDRESS(ROW(),COLUMN(NOTA[ID]))),-1)))</f>
        <v>KENKO SINAR INDONESIA</v>
      </c>
      <c r="AI808" s="49" t="str">
        <f ca="1">IF(NOTA[[#This Row],[ID_H]]="","",IF(NOTA[[#This Row],[FAKTUR]]="",INDIRECT(ADDRESS(ROW()-1,COLUMN())),NOTA[[#This Row],[FAKTUR]]))</f>
        <v>ARTO MORO</v>
      </c>
      <c r="AJ808" s="38" t="str">
        <f ca="1">IF(NOTA[[#This Row],[ID]]="","",COUNTIF(NOTA[ID_H],NOTA[[#This Row],[ID_H]]))</f>
        <v/>
      </c>
      <c r="AK808" s="38">
        <f ca="1">IF(NOTA[[#This Row],[TGL.NOTA]]="",IF(NOTA[[#This Row],[SUPPLIER_H]]="","",AK807),MONTH(NOTA[[#This Row],[TGL.NOTA]]))</f>
        <v>1</v>
      </c>
      <c r="AL80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808" s="38" t="str">
        <f>IF(NOTA[C]="",NOTA[[#This Row],[CONCAT1]]&amp;NOTA[[#This Row],[HARGA SATUAN]],NOTA[[#This Row],[CONCAT1]]&amp;NOTA[[#This Row],[HARGA/ CTN_H]]&amp;NOTA[[#This Row],[DISC 1]]&amp;NOTA[[#This Row],[DISC 2]])</f>
        <v>kenkocutterl50018mmblade29520000.17</v>
      </c>
      <c r="AN808" s="184">
        <f>IF(NOTA[[#This Row],[CONCAT1]]="","",MATCH(NOTA[[#This Row],[CONCAT1]],[1]!db[NB NOTA_C],0)+1)</f>
        <v>1136</v>
      </c>
    </row>
    <row r="809" spans="1:40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Row],[CEK_EXP]]&lt;D808,"err","")</f>
        <v/>
      </c>
      <c r="D809" s="50">
        <f>IF(NOTA[[#This Row],[TANGGAL]]="",D808,NOTA[[#This Row],[TANGGAL]])</f>
        <v>44954</v>
      </c>
      <c r="E809" s="50">
        <f ca="1">IF(NOTA[[#This Row],[NAMA BARANG]]="","",INDEX(NOTA[ID],MATCH(,INDIRECT(ADDRESS(ROW(NOTA[ID]),COLUMN(NOTA[ID]))&amp;":"&amp;ADDRESS(ROW(),COLUMN(NOTA[ID]))),-1)))</f>
        <v>153</v>
      </c>
      <c r="F809" s="23"/>
      <c r="G809" s="26"/>
      <c r="H809" s="26"/>
      <c r="I809" s="31"/>
      <c r="J809" s="26"/>
      <c r="K809" s="51"/>
      <c r="L809" s="26"/>
      <c r="M809" s="26" t="s">
        <v>397</v>
      </c>
      <c r="N809" s="39">
        <v>3</v>
      </c>
      <c r="O809" s="26"/>
      <c r="P809" s="26"/>
      <c r="Q809" s="49"/>
      <c r="R809" s="52">
        <v>840000</v>
      </c>
      <c r="S809" s="39" t="s">
        <v>927</v>
      </c>
      <c r="T809" s="53">
        <v>0.17</v>
      </c>
      <c r="U809" s="53"/>
      <c r="V809" s="54"/>
      <c r="W809" s="37"/>
      <c r="X809" s="54">
        <f>IF(NOTA[[#This Row],[HARGA/ CTN]]="",NOTA[[#This Row],[JUMLAH_H]],NOTA[[#This Row],[HARGA/ CTN]]*IF(NOTA[[#This Row],[C]]="",0,NOTA[[#This Row],[C]]))</f>
        <v>2520000</v>
      </c>
      <c r="Y809" s="54">
        <f>IF(NOTA[[#This Row],[JUMLAH]]="","",NOTA[[#This Row],[JUMLAH]]*NOTA[[#This Row],[DISC 1]])</f>
        <v>428400.00000000006</v>
      </c>
      <c r="Z809" s="54">
        <f>IF(NOTA[[#This Row],[JUMLAH]]="","",(NOTA[[#This Row],[JUMLAH]]-NOTA[[#This Row],[DISC 1-]])*NOTA[[#This Row],[DISC 2]])</f>
        <v>0</v>
      </c>
      <c r="AA809" s="54">
        <f>IF(NOTA[[#This Row],[JUMLAH]]="","",NOTA[[#This Row],[DISC 1-]]+NOTA[[#This Row],[DISC 2-]])</f>
        <v>428400.00000000006</v>
      </c>
      <c r="AB809" s="54">
        <f>IF(NOTA[[#This Row],[JUMLAH]]="","",NOTA[[#This Row],[JUMLAH]]-NOTA[[#This Row],[DISC]])</f>
        <v>2091600</v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809" s="54" t="str">
        <f>IF(OR(NOTA[[#This Row],[QTY]]="",NOTA[[#This Row],[HARGA SATUAN]]="",),"",NOTA[[#This Row],[QTY]]*NOTA[[#This Row],[HARGA SATUAN]])</f>
        <v/>
      </c>
      <c r="AG809" s="51">
        <f ca="1">IF(NOTA[ID_H]="","",INDEX(NOTA[TANGGAL],MATCH(,INDIRECT(ADDRESS(ROW(NOTA[TANGGAL]),COLUMN(NOTA[TANGGAL]))&amp;":"&amp;ADDRESS(ROW(),COLUMN(NOTA[TANGGAL]))),-1)))</f>
        <v>44954</v>
      </c>
      <c r="AH809" s="49" t="str">
        <f ca="1">IF(NOTA[[#This Row],[NAMA BARANG]]="","",INDEX(NOTA[SUPPLIER],MATCH(,INDIRECT(ADDRESS(ROW(NOTA[ID]),COLUMN(NOTA[ID]))&amp;":"&amp;ADDRESS(ROW(),COLUMN(NOTA[ID]))),-1)))</f>
        <v>KENKO SINAR INDONESIA</v>
      </c>
      <c r="AI809" s="49" t="str">
        <f ca="1">IF(NOTA[[#This Row],[ID_H]]="","",IF(NOTA[[#This Row],[FAKTUR]]="",INDIRECT(ADDRESS(ROW()-1,COLUMN())),NOTA[[#This Row],[FAKTUR]]))</f>
        <v>ARTO MORO</v>
      </c>
      <c r="AJ809" s="38" t="str">
        <f ca="1">IF(NOTA[[#This Row],[ID]]="","",COUNTIF(NOTA[ID_H],NOTA[[#This Row],[ID_H]]))</f>
        <v/>
      </c>
      <c r="AK809" s="38">
        <f ca="1">IF(NOTA[[#This Row],[TGL.NOTA]]="",IF(NOTA[[#This Row],[SUPPLIER_H]]="","",AK808),MONTH(NOTA[[#This Row],[TGL.NOTA]]))</f>
        <v>1</v>
      </c>
      <c r="AL809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809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N809" s="184">
        <f>IF(NOTA[[#This Row],[CONCAT1]]="","",MATCH(NOTA[[#This Row],[CONCAT1]],[1]!db[NB NOTA_C],0)+1)</f>
        <v>1302</v>
      </c>
    </row>
    <row r="810" spans="1:40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Row],[CEK_EXP]]&lt;D809,"err","")</f>
        <v/>
      </c>
      <c r="D810" s="50">
        <f>IF(NOTA[[#This Row],[TANGGAL]]="",D809,NOTA[[#This Row],[TANGGAL]])</f>
        <v>44954</v>
      </c>
      <c r="E810" s="50">
        <f ca="1">IF(NOTA[[#This Row],[NAMA BARANG]]="","",INDEX(NOTA[ID],MATCH(,INDIRECT(ADDRESS(ROW(NOTA[ID]),COLUMN(NOTA[ID]))&amp;":"&amp;ADDRESS(ROW(),COLUMN(NOTA[ID]))),-1)))</f>
        <v>153</v>
      </c>
      <c r="F810" s="23"/>
      <c r="G810" s="26"/>
      <c r="H810" s="26"/>
      <c r="I810" s="31"/>
      <c r="J810" s="26"/>
      <c r="K810" s="51"/>
      <c r="L810" s="26"/>
      <c r="M810" s="26" t="s">
        <v>337</v>
      </c>
      <c r="N810" s="39">
        <v>1</v>
      </c>
      <c r="O810" s="26"/>
      <c r="P810" s="26"/>
      <c r="Q810" s="49"/>
      <c r="R810" s="52">
        <v>800000</v>
      </c>
      <c r="S810" s="39" t="s">
        <v>727</v>
      </c>
      <c r="T810" s="53">
        <v>0.17</v>
      </c>
      <c r="U810" s="53"/>
      <c r="V810" s="54"/>
      <c r="W810" s="37"/>
      <c r="X810" s="54">
        <f>IF(NOTA[[#This Row],[HARGA/ CTN]]="",NOTA[[#This Row],[JUMLAH_H]],NOTA[[#This Row],[HARGA/ CTN]]*IF(NOTA[[#This Row],[C]]="",0,NOTA[[#This Row],[C]]))</f>
        <v>800000</v>
      </c>
      <c r="Y810" s="54">
        <f>IF(NOTA[[#This Row],[JUMLAH]]="","",NOTA[[#This Row],[JUMLAH]]*NOTA[[#This Row],[DISC 1]])</f>
        <v>136000</v>
      </c>
      <c r="Z810" s="54">
        <f>IF(NOTA[[#This Row],[JUMLAH]]="","",(NOTA[[#This Row],[JUMLAH]]-NOTA[[#This Row],[DISC 1-]])*NOTA[[#This Row],[DISC 2]])</f>
        <v>0</v>
      </c>
      <c r="AA810" s="54">
        <f>IF(NOTA[[#This Row],[JUMLAH]]="","",NOTA[[#This Row],[DISC 1-]]+NOTA[[#This Row],[DISC 2-]])</f>
        <v>136000</v>
      </c>
      <c r="AB810" s="54">
        <f>IF(NOTA[[#This Row],[JUMLAH]]="","",NOTA[[#This Row],[JUMLAH]]-NOTA[[#This Row],[DISC]])</f>
        <v>664000</v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10" s="54" t="str">
        <f>IF(OR(NOTA[[#This Row],[QTY]]="",NOTA[[#This Row],[HARGA SATUAN]]="",),"",NOTA[[#This Row],[QTY]]*NOTA[[#This Row],[HARGA SATUAN]])</f>
        <v/>
      </c>
      <c r="AG810" s="51">
        <f ca="1">IF(NOTA[ID_H]="","",INDEX(NOTA[TANGGAL],MATCH(,INDIRECT(ADDRESS(ROW(NOTA[TANGGAL]),COLUMN(NOTA[TANGGAL]))&amp;":"&amp;ADDRESS(ROW(),COLUMN(NOTA[TANGGAL]))),-1)))</f>
        <v>44954</v>
      </c>
      <c r="AH810" s="49" t="str">
        <f ca="1">IF(NOTA[[#This Row],[NAMA BARANG]]="","",INDEX(NOTA[SUPPLIER],MATCH(,INDIRECT(ADDRESS(ROW(NOTA[ID]),COLUMN(NOTA[ID]))&amp;":"&amp;ADDRESS(ROW(),COLUMN(NOTA[ID]))),-1)))</f>
        <v>KENKO SINAR INDONESIA</v>
      </c>
      <c r="AI810" s="49" t="str">
        <f ca="1">IF(NOTA[[#This Row],[ID_H]]="","",IF(NOTA[[#This Row],[FAKTUR]]="",INDIRECT(ADDRESS(ROW()-1,COLUMN())),NOTA[[#This Row],[FAKTUR]]))</f>
        <v>ARTO MORO</v>
      </c>
      <c r="AJ810" s="38" t="str">
        <f ca="1">IF(NOTA[[#This Row],[ID]]="","",COUNTIF(NOTA[ID_H],NOTA[[#This Row],[ID_H]]))</f>
        <v/>
      </c>
      <c r="AK810" s="38">
        <f ca="1">IF(NOTA[[#This Row],[TGL.NOTA]]="",IF(NOTA[[#This Row],[SUPPLIER_H]]="","",AK809),MONTH(NOTA[[#This Row],[TGL.NOTA]]))</f>
        <v>1</v>
      </c>
      <c r="AL81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810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N810" s="184">
        <f>IF(NOTA[[#This Row],[CONCAT1]]="","",MATCH(NOTA[[#This Row],[CONCAT1]],[1]!db[NB NOTA_C],0)+1)</f>
        <v>1312</v>
      </c>
    </row>
    <row r="811" spans="1:40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Row],[CEK_EXP]]&lt;D810,"err","")</f>
        <v/>
      </c>
      <c r="D811" s="50">
        <f>IF(NOTA[[#This Row],[TANGGAL]]="",D810,NOTA[[#This Row],[TANGGAL]])</f>
        <v>44954</v>
      </c>
      <c r="E811" s="50">
        <f ca="1">IF(NOTA[[#This Row],[NAMA BARANG]]="","",INDEX(NOTA[ID],MATCH(,INDIRECT(ADDRESS(ROW(NOTA[ID]),COLUMN(NOTA[ID]))&amp;":"&amp;ADDRESS(ROW(),COLUMN(NOTA[ID]))),-1)))</f>
        <v>153</v>
      </c>
      <c r="F811" s="23"/>
      <c r="G811" s="26"/>
      <c r="H811" s="26"/>
      <c r="I811" s="31"/>
      <c r="J811" s="26"/>
      <c r="K811" s="51"/>
      <c r="L811" s="26"/>
      <c r="M811" s="26" t="s">
        <v>138</v>
      </c>
      <c r="N811" s="39">
        <v>2</v>
      </c>
      <c r="O811" s="26"/>
      <c r="P811" s="26"/>
      <c r="Q811" s="49"/>
      <c r="R811" s="52">
        <v>1695600</v>
      </c>
      <c r="S811" s="39" t="s">
        <v>118</v>
      </c>
      <c r="T811" s="53">
        <v>0.17</v>
      </c>
      <c r="U811" s="53"/>
      <c r="V811" s="54"/>
      <c r="W811" s="37"/>
      <c r="X811" s="54">
        <f>IF(NOTA[[#This Row],[HARGA/ CTN]]="",NOTA[[#This Row],[JUMLAH_H]],NOTA[[#This Row],[HARGA/ CTN]]*IF(NOTA[[#This Row],[C]]="",0,NOTA[[#This Row],[C]]))</f>
        <v>3391200</v>
      </c>
      <c r="Y811" s="54">
        <f>IF(NOTA[[#This Row],[JUMLAH]]="","",NOTA[[#This Row],[JUMLAH]]*NOTA[[#This Row],[DISC 1]])</f>
        <v>576504</v>
      </c>
      <c r="Z811" s="54">
        <f>IF(NOTA[[#This Row],[JUMLAH]]="","",(NOTA[[#This Row],[JUMLAH]]-NOTA[[#This Row],[DISC 1-]])*NOTA[[#This Row],[DISC 2]])</f>
        <v>0</v>
      </c>
      <c r="AA811" s="54">
        <f>IF(NOTA[[#This Row],[JUMLAH]]="","",NOTA[[#This Row],[DISC 1-]]+NOTA[[#This Row],[DISC 2-]])</f>
        <v>576504</v>
      </c>
      <c r="AB811" s="54">
        <f>IF(NOTA[[#This Row],[JUMLAH]]="","",NOTA[[#This Row],[JUMLAH]]-NOTA[[#This Row],[DISC]])</f>
        <v>2814696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5346568</v>
      </c>
      <c r="AD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26103832</v>
      </c>
      <c r="AE81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811" s="54" t="str">
        <f>IF(OR(NOTA[[#This Row],[QTY]]="",NOTA[[#This Row],[HARGA SATUAN]]="",),"",NOTA[[#This Row],[QTY]]*NOTA[[#This Row],[HARGA SATUAN]])</f>
        <v/>
      </c>
      <c r="AG811" s="51">
        <f ca="1">IF(NOTA[ID_H]="","",INDEX(NOTA[TANGGAL],MATCH(,INDIRECT(ADDRESS(ROW(NOTA[TANGGAL]),COLUMN(NOTA[TANGGAL]))&amp;":"&amp;ADDRESS(ROW(),COLUMN(NOTA[TANGGAL]))),-1)))</f>
        <v>44954</v>
      </c>
      <c r="AH811" s="49" t="str">
        <f ca="1">IF(NOTA[[#This Row],[NAMA BARANG]]="","",INDEX(NOTA[SUPPLIER],MATCH(,INDIRECT(ADDRESS(ROW(NOTA[ID]),COLUMN(NOTA[ID]))&amp;":"&amp;ADDRESS(ROW(),COLUMN(NOTA[ID]))),-1)))</f>
        <v>KENKO SINAR INDONESIA</v>
      </c>
      <c r="AI811" s="49" t="str">
        <f ca="1">IF(NOTA[[#This Row],[ID_H]]="","",IF(NOTA[[#This Row],[FAKTUR]]="",INDIRECT(ADDRESS(ROW()-1,COLUMN())),NOTA[[#This Row],[FAKTUR]]))</f>
        <v>ARTO MORO</v>
      </c>
      <c r="AJ811" s="38" t="str">
        <f ca="1">IF(NOTA[[#This Row],[ID]]="","",COUNTIF(NOTA[ID_H],NOTA[[#This Row],[ID_H]]))</f>
        <v/>
      </c>
      <c r="AK811" s="38">
        <f ca="1">IF(NOTA[[#This Row],[TGL.NOTA]]="",IF(NOTA[[#This Row],[SUPPLIER_H]]="","",AK810),MONTH(NOTA[[#This Row],[TGL.NOTA]]))</f>
        <v>1</v>
      </c>
      <c r="AL81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811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N811" s="184">
        <f>IF(NOTA[[#This Row],[CONCAT1]]="","",MATCH(NOTA[[#This Row],[CONCAT1]],[1]!db[NB NOTA_C],0)+1)</f>
        <v>1104</v>
      </c>
    </row>
    <row r="812" spans="1:40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Row],[CEK_EXP]]&lt;D811,"err","")</f>
        <v/>
      </c>
      <c r="D812" s="50">
        <f>IF(NOTA[[#This Row],[TANGGAL]]="",D811,NOTA[[#This Row],[TANGGAL]])</f>
        <v>44954</v>
      </c>
      <c r="E812" s="50" t="str">
        <f ca="1">IF(NOTA[[#This Row],[NAMA BARANG]]="","",INDEX(NOTA[ID],MATCH(,INDIRECT(ADDRESS(ROW(NOTA[ID]),COLUMN(NOTA[ID]))&amp;":"&amp;ADDRESS(ROW(),COLUMN(NOTA[ID]))),-1)))</f>
        <v/>
      </c>
      <c r="F812" s="23"/>
      <c r="G812" s="26"/>
      <c r="H812" s="26"/>
      <c r="I812" s="31"/>
      <c r="J812" s="26"/>
      <c r="K812" s="51"/>
      <c r="L812" s="26"/>
      <c r="M812" s="26"/>
      <c r="N812" s="39"/>
      <c r="O812" s="26"/>
      <c r="P812" s="26"/>
      <c r="Q812" s="49"/>
      <c r="R812" s="52"/>
      <c r="S812" s="39"/>
      <c r="T812" s="53"/>
      <c r="U812" s="53"/>
      <c r="V812" s="54"/>
      <c r="W812" s="37"/>
      <c r="X812" s="54" t="str">
        <f>IF(NOTA[[#This Row],[HARGA/ CTN]]="",NOTA[[#This Row],[JUMLAH_H]],NOTA[[#This Row],[HARGA/ CTN]]*IF(NOTA[[#This Row],[C]]="",0,NOTA[[#This Row],[C]]))</f>
        <v/>
      </c>
      <c r="Y812" s="54" t="str">
        <f>IF(NOTA[[#This Row],[JUMLAH]]="","",NOTA[[#This Row],[JUMLAH]]*NOTA[[#This Row],[DISC 1]])</f>
        <v/>
      </c>
      <c r="Z812" s="54" t="str">
        <f>IF(NOTA[[#This Row],[JUMLAH]]="","",(NOTA[[#This Row],[JUMLAH]]-NOTA[[#This Row],[DISC 1-]])*NOTA[[#This Row],[DISC 2]])</f>
        <v/>
      </c>
      <c r="AA812" s="54" t="str">
        <f>IF(NOTA[[#This Row],[JUMLAH]]="","",NOTA[[#This Row],[DISC 1-]]+NOTA[[#This Row],[DISC 2-]])</f>
        <v/>
      </c>
      <c r="AB812" s="54" t="str">
        <f>IF(NOTA[[#This Row],[JUMLAH]]="","",NOTA[[#This Row],[JUMLAH]]-NOTA[[#This Row],[DISC]])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54" t="str">
        <f>IF(OR(NOTA[[#This Row],[QTY]]="",NOTA[[#This Row],[HARGA SATUAN]]="",),"",NOTA[[#This Row],[QTY]]*NOTA[[#This Row],[HARGA SATUAN]])</f>
        <v/>
      </c>
      <c r="AG812" s="51" t="str">
        <f ca="1">IF(NOTA[ID_H]="","",INDEX(NOTA[TANGGAL],MATCH(,INDIRECT(ADDRESS(ROW(NOTA[TANGGAL]),COLUMN(NOTA[TANGGAL]))&amp;":"&amp;ADDRESS(ROW(),COLUMN(NOTA[TANGGAL]))),-1)))</f>
        <v/>
      </c>
      <c r="AH812" s="49" t="str">
        <f ca="1">IF(NOTA[[#This Row],[NAMA BARANG]]="","",INDEX(NOTA[SUPPLIER],MATCH(,INDIRECT(ADDRESS(ROW(NOTA[ID]),COLUMN(NOTA[ID]))&amp;":"&amp;ADDRESS(ROW(),COLUMN(NOTA[ID]))),-1)))</f>
        <v/>
      </c>
      <c r="AI812" s="49" t="str">
        <f ca="1">IF(NOTA[[#This Row],[ID_H]]="","",IF(NOTA[[#This Row],[FAKTUR]]="",INDIRECT(ADDRESS(ROW()-1,COLUMN())),NOTA[[#This Row],[FAKTUR]]))</f>
        <v/>
      </c>
      <c r="AJ812" s="38" t="str">
        <f ca="1">IF(NOTA[[#This Row],[ID]]="","",COUNTIF(NOTA[ID_H],NOTA[[#This Row],[ID_H]]))</f>
        <v/>
      </c>
      <c r="AK812" s="38" t="str">
        <f ca="1">IF(NOTA[[#This Row],[TGL.NOTA]]="",IF(NOTA[[#This Row],[SUPPLIER_H]]="","",AK811),MONTH(NOTA[[#This Row],[TGL.NOTA]]))</f>
        <v/>
      </c>
      <c r="AL812" s="38" t="str">
        <f>LOWER(SUBSTITUTE(SUBSTITUTE(SUBSTITUTE(SUBSTITUTE(SUBSTITUTE(SUBSTITUTE(SUBSTITUTE(SUBSTITUTE(SUBSTITUTE(NOTA[NAMA BARANG]," ",),".",""),"-",""),"(",""),")",""),",",""),"/",""),"""",""),"+",""))</f>
        <v/>
      </c>
      <c r="AM812" s="38" t="str">
        <f>IF(NOTA[C]="",NOTA[[#This Row],[CONCAT1]]&amp;NOTA[[#This Row],[HARGA SATUAN]],NOTA[[#This Row],[CONCAT1]]&amp;NOTA[[#This Row],[HARGA/ CTN_H]]&amp;NOTA[[#This Row],[DISC 1]]&amp;NOTA[[#This Row],[DISC 2]])</f>
        <v/>
      </c>
      <c r="AN812" s="184" t="str">
        <f>IF(NOTA[[#This Row],[CONCAT1]]="","",MATCH(NOTA[[#This Row],[CONCAT1]],[1]!db[NB NOTA_C],0)+1)</f>
        <v/>
      </c>
    </row>
    <row r="813" spans="1:40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154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GLO_2801_ 26-1</v>
      </c>
      <c r="C813" s="50" t="str">
        <f>IF(NOTA[[#This Row],[CEK_EXP]]&lt;D812,"err","")</f>
        <v/>
      </c>
      <c r="D813" s="50">
        <f>IF(NOTA[[#This Row],[TANGGAL]]="",D812,NOTA[[#This Row],[TANGGAL]])</f>
        <v>44954</v>
      </c>
      <c r="E813" s="50">
        <f ca="1">IF(NOTA[[#This Row],[NAMA BARANG]]="","",INDEX(NOTA[ID],MATCH(,INDIRECT(ADDRESS(ROW(NOTA[ID]),COLUMN(NOTA[ID]))&amp;":"&amp;ADDRESS(ROW(),COLUMN(NOTA[ID]))),-1)))</f>
        <v>154</v>
      </c>
      <c r="F813" s="23"/>
      <c r="G813" s="26" t="s">
        <v>215</v>
      </c>
      <c r="H813" s="26" t="s">
        <v>87</v>
      </c>
      <c r="I813" s="31" t="s">
        <v>930</v>
      </c>
      <c r="J813" s="26"/>
      <c r="K813" s="51">
        <v>44954</v>
      </c>
      <c r="L813" s="26"/>
      <c r="M813" s="26" t="s">
        <v>941</v>
      </c>
      <c r="N813" s="39"/>
      <c r="O813" s="26">
        <v>120</v>
      </c>
      <c r="P813" s="26" t="s">
        <v>104</v>
      </c>
      <c r="Q813" s="49">
        <v>13000</v>
      </c>
      <c r="R813" s="52"/>
      <c r="S813" s="39"/>
      <c r="T813" s="53"/>
      <c r="U813" s="53"/>
      <c r="V813" s="54">
        <v>78000</v>
      </c>
      <c r="W813" s="37" t="s">
        <v>931</v>
      </c>
      <c r="X813" s="54">
        <f>IF(NOTA[[#This Row],[HARGA/ CTN]]="",NOTA[[#This Row],[JUMLAH_H]],NOTA[[#This Row],[HARGA/ CTN]]*IF(NOTA[[#This Row],[C]]="",0,NOTA[[#This Row],[C]]))</f>
        <v>1560000</v>
      </c>
      <c r="Y813" s="54">
        <f>IF(NOTA[[#This Row],[JUMLAH]]="","",NOTA[[#This Row],[JUMLAH]]*NOTA[[#This Row],[DISC 1]])</f>
        <v>0</v>
      </c>
      <c r="Z813" s="54">
        <f>IF(NOTA[[#This Row],[JUMLAH]]="","",(NOTA[[#This Row],[JUMLAH]]-NOTA[[#This Row],[DISC 1-]])*NOTA[[#This Row],[DISC 2]])</f>
        <v>0</v>
      </c>
      <c r="AA813" s="54">
        <f>IF(NOTA[[#This Row],[JUMLAH]]="","",NOTA[[#This Row],[DISC 1-]]+NOTA[[#This Row],[DISC 2-]])</f>
        <v>0</v>
      </c>
      <c r="AB813" s="54">
        <f>IF(NOTA[[#This Row],[JUMLAH]]="","",NOTA[[#This Row],[JUMLAH]]-NOTA[[#This Row],[DISC]])</f>
        <v>1560000</v>
      </c>
      <c r="AC8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8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81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813" s="54">
        <f>IF(OR(NOTA[[#This Row],[QTY]]="",NOTA[[#This Row],[HARGA SATUAN]]="",),"",NOTA[[#This Row],[QTY]]*NOTA[[#This Row],[HARGA SATUAN]])</f>
        <v>1560000</v>
      </c>
      <c r="AG813" s="51">
        <f ca="1">IF(NOTA[ID_H]="","",INDEX(NOTA[TANGGAL],MATCH(,INDIRECT(ADDRESS(ROW(NOTA[TANGGAL]),COLUMN(NOTA[TANGGAL]))&amp;":"&amp;ADDRESS(ROW(),COLUMN(NOTA[TANGGAL]))),-1)))</f>
        <v>44954</v>
      </c>
      <c r="AH813" s="49" t="str">
        <f ca="1">IF(NOTA[[#This Row],[NAMA BARANG]]="","",INDEX(NOTA[SUPPLIER],MATCH(,INDIRECT(ADDRESS(ROW(NOTA[ID]),COLUMN(NOTA[ID]))&amp;":"&amp;ADDRESS(ROW(),COLUMN(NOTA[ID]))),-1)))</f>
        <v>GLORY</v>
      </c>
      <c r="AI813" s="49" t="str">
        <f ca="1">IF(NOTA[[#This Row],[ID_H]]="","",IF(NOTA[[#This Row],[FAKTUR]]="",INDIRECT(ADDRESS(ROW()-1,COLUMN())),NOTA[[#This Row],[FAKTUR]]))</f>
        <v>UNTANA</v>
      </c>
      <c r="AJ813" s="38">
        <f ca="1">IF(NOTA[[#This Row],[ID]]="","",COUNTIF(NOTA[ID_H],NOTA[[#This Row],[ID_H]]))</f>
        <v>1</v>
      </c>
      <c r="AK813" s="38">
        <f>IF(NOTA[[#This Row],[TGL.NOTA]]="",IF(NOTA[[#This Row],[SUPPLIER_H]]="","",AK812),MONTH(NOTA[[#This Row],[TGL.NOTA]]))</f>
        <v>1</v>
      </c>
      <c r="AL813" s="38" t="str">
        <f>LOWER(SUBSTITUTE(SUBSTITUTE(SUBSTITUTE(SUBSTITUTE(SUBSTITUTE(SUBSTITUTE(SUBSTITUTE(SUBSTITUTE(SUBSTITUTE(NOTA[NAMA BARANG]," ",),".",""),"-",""),"(",""),")",""),",",""),"/",""),"""",""),"+",""))</f>
        <v>agckkombinasi</v>
      </c>
      <c r="AM813" s="38" t="str">
        <f>IF(NOTA[C]="",NOTA[[#This Row],[CONCAT1]]&amp;NOTA[[#This Row],[HARGA SATUAN]],NOTA[[#This Row],[CONCAT1]]&amp;NOTA[[#This Row],[HARGA/ CTN_H]]&amp;NOTA[[#This Row],[DISC 1]]&amp;NOTA[[#This Row],[DISC 2]])</f>
        <v>agckkombinasi13000</v>
      </c>
      <c r="AN813" s="184">
        <f>IF(NOTA[[#This Row],[CONCAT1]]="","",MATCH(NOTA[[#This Row],[CONCAT1]],[1]!db[NB NOTA_C],0)+1)</f>
        <v>38</v>
      </c>
    </row>
    <row r="814" spans="1:40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Row],[CEK_EXP]]&lt;D813,"err","")</f>
        <v/>
      </c>
      <c r="D814" s="50">
        <f>IF(NOTA[[#This Row],[TANGGAL]]="",D813,NOTA[[#This Row],[TANGGAL]])</f>
        <v>44954</v>
      </c>
      <c r="E814" s="50" t="str">
        <f ca="1">IF(NOTA[[#This Row],[NAMA BARANG]]="","",INDEX(NOTA[ID],MATCH(,INDIRECT(ADDRESS(ROW(NOTA[ID]),COLUMN(NOTA[ID]))&amp;":"&amp;ADDRESS(ROW(),COLUMN(NOTA[ID]))),-1)))</f>
        <v/>
      </c>
      <c r="F814" s="23"/>
      <c r="G814" s="26"/>
      <c r="H814" s="26"/>
      <c r="I814" s="31"/>
      <c r="J814" s="26"/>
      <c r="K814" s="51"/>
      <c r="L814" s="26"/>
      <c r="M814" s="26"/>
      <c r="N814" s="39"/>
      <c r="O814" s="26"/>
      <c r="P814" s="26"/>
      <c r="Q814" s="49"/>
      <c r="R814" s="52"/>
      <c r="S814" s="39"/>
      <c r="T814" s="53"/>
      <c r="U814" s="53"/>
      <c r="V814" s="54"/>
      <c r="W814" s="37"/>
      <c r="X814" s="54" t="str">
        <f>IF(NOTA[[#This Row],[HARGA/ CTN]]="",NOTA[[#This Row],[JUMLAH_H]],NOTA[[#This Row],[HARGA/ CTN]]*IF(NOTA[[#This Row],[C]]="",0,NOTA[[#This Row],[C]]))</f>
        <v/>
      </c>
      <c r="Y814" s="54" t="str">
        <f>IF(NOTA[[#This Row],[JUMLAH]]="","",NOTA[[#This Row],[JUMLAH]]*NOTA[[#This Row],[DISC 1]])</f>
        <v/>
      </c>
      <c r="Z814" s="54" t="str">
        <f>IF(NOTA[[#This Row],[JUMLAH]]="","",(NOTA[[#This Row],[JUMLAH]]-NOTA[[#This Row],[DISC 1-]])*NOTA[[#This Row],[DISC 2]])</f>
        <v/>
      </c>
      <c r="AA814" s="54" t="str">
        <f>IF(NOTA[[#This Row],[JUMLAH]]="","",NOTA[[#This Row],[DISC 1-]]+NOTA[[#This Row],[DISC 2-]])</f>
        <v/>
      </c>
      <c r="AB814" s="54" t="str">
        <f>IF(NOTA[[#This Row],[JUMLAH]]="","",NOTA[[#This Row],[JUMLAH]]-NOTA[[#This Row],[DISC]])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54" t="str">
        <f>IF(OR(NOTA[[#This Row],[QTY]]="",NOTA[[#This Row],[HARGA SATUAN]]="",),"",NOTA[[#This Row],[QTY]]*NOTA[[#This Row],[HARGA SATUAN]])</f>
        <v/>
      </c>
      <c r="AG814" s="51" t="str">
        <f ca="1">IF(NOTA[ID_H]="","",INDEX(NOTA[TANGGAL],MATCH(,INDIRECT(ADDRESS(ROW(NOTA[TANGGAL]),COLUMN(NOTA[TANGGAL]))&amp;":"&amp;ADDRESS(ROW(),COLUMN(NOTA[TANGGAL]))),-1)))</f>
        <v/>
      </c>
      <c r="AH814" s="49" t="str">
        <f ca="1">IF(NOTA[[#This Row],[NAMA BARANG]]="","",INDEX(NOTA[SUPPLIER],MATCH(,INDIRECT(ADDRESS(ROW(NOTA[ID]),COLUMN(NOTA[ID]))&amp;":"&amp;ADDRESS(ROW(),COLUMN(NOTA[ID]))),-1)))</f>
        <v/>
      </c>
      <c r="AI814" s="49" t="str">
        <f ca="1">IF(NOTA[[#This Row],[ID_H]]="","",IF(NOTA[[#This Row],[FAKTUR]]="",INDIRECT(ADDRESS(ROW()-1,COLUMN())),NOTA[[#This Row],[FAKTUR]]))</f>
        <v/>
      </c>
      <c r="AJ814" s="38" t="str">
        <f ca="1">IF(NOTA[[#This Row],[ID]]="","",COUNTIF(NOTA[ID_H],NOTA[[#This Row],[ID_H]]))</f>
        <v/>
      </c>
      <c r="AK814" s="38" t="str">
        <f ca="1">IF(NOTA[[#This Row],[TGL.NOTA]]="",IF(NOTA[[#This Row],[SUPPLIER_H]]="","",AK813),MONTH(NOTA[[#This Row],[TGL.NOTA]]))</f>
        <v/>
      </c>
      <c r="AL814" s="38" t="str">
        <f>LOWER(SUBSTITUTE(SUBSTITUTE(SUBSTITUTE(SUBSTITUTE(SUBSTITUTE(SUBSTITUTE(SUBSTITUTE(SUBSTITUTE(SUBSTITUTE(NOTA[NAMA BARANG]," ",),".",""),"-",""),"(",""),")",""),",",""),"/",""),"""",""),"+",""))</f>
        <v/>
      </c>
      <c r="AM81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14" s="184" t="str">
        <f>IF(NOTA[[#This Row],[CONCAT1]]="","",MATCH(NOTA[[#This Row],[CONCAT1]],[1]!db[NB NOTA_C],0)+1)</f>
        <v/>
      </c>
    </row>
    <row r="815" spans="1:40" ht="20.100000000000001" customHeight="1" x14ac:dyDescent="0.25">
      <c r="A815" s="49">
        <f ca="1">IF(INDIRECT(ADDRESS(ROW()-1,COLUMN(NOTA[[#Headers],[ID]])))="ID",1,IF(NOTA[[#This Row],[FAKTUR]]="","",COUNT(INDIRECT(ADDRESS(ROW(NOTA[ID]),COLUMN(NOTA[ID]))&amp;":"&amp;ADDRESS(ROW()-1,COLUMN(NOTA[ID]))))+1))</f>
        <v>155</v>
      </c>
      <c r="B8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ETJ_2801_123-1</v>
      </c>
      <c r="C815" s="50" t="str">
        <f>IF(NOTA[[#This Row],[CEK_EXP]]&lt;D814,"err","")</f>
        <v/>
      </c>
      <c r="D815" s="50">
        <f>IF(NOTA[[#This Row],[TANGGAL]]="",D814,NOTA[[#This Row],[TANGGAL]])</f>
        <v>44954</v>
      </c>
      <c r="E815" s="50">
        <f ca="1">IF(NOTA[[#This Row],[NAMA BARANG]]="","",INDEX(NOTA[ID],MATCH(,INDIRECT(ADDRESS(ROW(NOTA[ID]),COLUMN(NOTA[ID]))&amp;":"&amp;ADDRESS(ROW(),COLUMN(NOTA[ID]))),-1)))</f>
        <v>155</v>
      </c>
      <c r="F815" s="23"/>
      <c r="G815" s="26" t="s">
        <v>144</v>
      </c>
      <c r="H815" s="26" t="s">
        <v>87</v>
      </c>
      <c r="I815" s="31" t="s">
        <v>932</v>
      </c>
      <c r="J815" s="26"/>
      <c r="K815" s="51">
        <v>44951</v>
      </c>
      <c r="L815" s="26"/>
      <c r="M815" s="26" t="s">
        <v>933</v>
      </c>
      <c r="N815" s="39">
        <v>10</v>
      </c>
      <c r="O815" s="26">
        <v>2000</v>
      </c>
      <c r="P815" s="26" t="s">
        <v>116</v>
      </c>
      <c r="Q815" s="49">
        <v>8750</v>
      </c>
      <c r="R815" s="52"/>
      <c r="S815" s="39" t="s">
        <v>934</v>
      </c>
      <c r="T815" s="53"/>
      <c r="U815" s="53"/>
      <c r="V815" s="54"/>
      <c r="W815" s="37"/>
      <c r="X815" s="54">
        <f>IF(NOTA[[#This Row],[HARGA/ CTN]]="",NOTA[[#This Row],[JUMLAH_H]],NOTA[[#This Row],[HARGA/ CTN]]*IF(NOTA[[#This Row],[C]]="",0,NOTA[[#This Row],[C]]))</f>
        <v>17500000</v>
      </c>
      <c r="Y815" s="54">
        <f>IF(NOTA[[#This Row],[JUMLAH]]="","",NOTA[[#This Row],[JUMLAH]]*NOTA[[#This Row],[DISC 1]])</f>
        <v>0</v>
      </c>
      <c r="Z815" s="54">
        <f>IF(NOTA[[#This Row],[JUMLAH]]="","",(NOTA[[#This Row],[JUMLAH]]-NOTA[[#This Row],[DISC 1-]])*NOTA[[#This Row],[DISC 2]])</f>
        <v>0</v>
      </c>
      <c r="AA815" s="54">
        <f>IF(NOTA[[#This Row],[JUMLAH]]="","",NOTA[[#This Row],[DISC 1-]]+NOTA[[#This Row],[DISC 2-]])</f>
        <v>0</v>
      </c>
      <c r="AB815" s="54">
        <f>IF(NOTA[[#This Row],[JUMLAH]]="","",NOTA[[#This Row],[JUMLAH]]-NOTA[[#This Row],[DISC]])</f>
        <v>17500000</v>
      </c>
      <c r="AC8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815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815" s="54">
        <f>IF(OR(NOTA[[#This Row],[QTY]]="",NOTA[[#This Row],[HARGA SATUAN]]="",),"",NOTA[[#This Row],[QTY]]*NOTA[[#This Row],[HARGA SATUAN]])</f>
        <v>17500000</v>
      </c>
      <c r="AG815" s="51">
        <f ca="1">IF(NOTA[ID_H]="","",INDEX(NOTA[TANGGAL],MATCH(,INDIRECT(ADDRESS(ROW(NOTA[TANGGAL]),COLUMN(NOTA[TANGGAL]))&amp;":"&amp;ADDRESS(ROW(),COLUMN(NOTA[TANGGAL]))),-1)))</f>
        <v>44954</v>
      </c>
      <c r="AH815" s="49" t="str">
        <f ca="1">IF(NOTA[[#This Row],[NAMA BARANG]]="","",INDEX(NOTA[SUPPLIER],MATCH(,INDIRECT(ADDRESS(ROW(NOTA[ID]),COLUMN(NOTA[ID]))&amp;":"&amp;ADDRESS(ROW(),COLUMN(NOTA[ID]))),-1)))</f>
        <v>ETJ</v>
      </c>
      <c r="AI815" s="49" t="str">
        <f ca="1">IF(NOTA[[#This Row],[ID_H]]="","",IF(NOTA[[#This Row],[FAKTUR]]="",INDIRECT(ADDRESS(ROW()-1,COLUMN())),NOTA[[#This Row],[FAKTUR]]))</f>
        <v>UNTANA</v>
      </c>
      <c r="AJ815" s="38">
        <f ca="1">IF(NOTA[[#This Row],[ID]]="","",COUNTIF(NOTA[ID_H],NOTA[[#This Row],[ID_H]]))</f>
        <v>1</v>
      </c>
      <c r="AK815" s="38">
        <f>IF(NOTA[[#This Row],[TGL.NOTA]]="",IF(NOTA[[#This Row],[SUPPLIER_H]]="","",#REF!),MONTH(NOTA[[#This Row],[TGL.NOTA]]))</f>
        <v>1</v>
      </c>
      <c r="AL815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M815" s="38" t="str">
        <f>IF(NOTA[C]="",NOTA[[#This Row],[CONCAT1]]&amp;NOTA[[#This Row],[HARGA SATUAN]],NOTA[[#This Row],[CONCAT1]]&amp;NOTA[[#This Row],[HARGA/ CTN_H]]&amp;NOTA[[#This Row],[DISC 1]]&amp;NOTA[[#This Row],[DISC 2]])</f>
        <v>enter30cm6751750000</v>
      </c>
      <c r="AN815" s="184">
        <f>IF(NOTA[[#This Row],[CONCAT1]]="","",MATCH(NOTA[[#This Row],[CONCAT1]],[1]!db[NB NOTA_C],0)+1)</f>
        <v>652</v>
      </c>
    </row>
    <row r="816" spans="1:40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Row],[CEK_EXP]]&lt;D815,"err","")</f>
        <v/>
      </c>
      <c r="D816" s="50">
        <f>IF(NOTA[[#This Row],[TANGGAL]]="",D815,NOTA[[#This Row],[TANGGAL]])</f>
        <v>44954</v>
      </c>
      <c r="E816" s="50" t="str">
        <f ca="1">IF(NOTA[[#This Row],[NAMA BARANG]]="","",INDEX(NOTA[ID],MATCH(,INDIRECT(ADDRESS(ROW(NOTA[ID]),COLUMN(NOTA[ID]))&amp;":"&amp;ADDRESS(ROW(),COLUMN(NOTA[ID]))),-1)))</f>
        <v/>
      </c>
      <c r="F816" s="23"/>
      <c r="G816" s="26"/>
      <c r="H816" s="26"/>
      <c r="I816" s="31"/>
      <c r="J816" s="26"/>
      <c r="K816" s="51"/>
      <c r="L816" s="26"/>
      <c r="M816" s="26"/>
      <c r="N816" s="39"/>
      <c r="O816" s="26"/>
      <c r="P816" s="26"/>
      <c r="Q816" s="49"/>
      <c r="R816" s="52"/>
      <c r="S816" s="39"/>
      <c r="T816" s="53"/>
      <c r="U816" s="53"/>
      <c r="V816" s="54"/>
      <c r="W816" s="37"/>
      <c r="X816" s="54" t="str">
        <f>IF(NOTA[[#This Row],[HARGA/ CTN]]="",NOTA[[#This Row],[JUMLAH_H]],NOTA[[#This Row],[HARGA/ CTN]]*IF(NOTA[[#This Row],[C]]="",0,NOTA[[#This Row],[C]]))</f>
        <v/>
      </c>
      <c r="Y816" s="54" t="str">
        <f>IF(NOTA[[#This Row],[JUMLAH]]="","",NOTA[[#This Row],[JUMLAH]]*NOTA[[#This Row],[DISC 1]])</f>
        <v/>
      </c>
      <c r="Z816" s="54" t="str">
        <f>IF(NOTA[[#This Row],[JUMLAH]]="","",(NOTA[[#This Row],[JUMLAH]]-NOTA[[#This Row],[DISC 1-]])*NOTA[[#This Row],[DISC 2]])</f>
        <v/>
      </c>
      <c r="AA816" s="54" t="str">
        <f>IF(NOTA[[#This Row],[JUMLAH]]="","",NOTA[[#This Row],[DISC 1-]]+NOTA[[#This Row],[DISC 2-]])</f>
        <v/>
      </c>
      <c r="AB816" s="54" t="str">
        <f>IF(NOTA[[#This Row],[JUMLAH]]="","",NOTA[[#This Row],[JUMLAH]]-NOTA[[#This Row],[DISC]])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54" t="str">
        <f>IF(OR(NOTA[[#This Row],[QTY]]="",NOTA[[#This Row],[HARGA SATUAN]]="",),"",NOTA[[#This Row],[QTY]]*NOTA[[#This Row],[HARGA SATUAN]])</f>
        <v/>
      </c>
      <c r="AG816" s="51" t="str">
        <f ca="1">IF(NOTA[ID_H]="","",INDEX(NOTA[TANGGAL],MATCH(,INDIRECT(ADDRESS(ROW(NOTA[TANGGAL]),COLUMN(NOTA[TANGGAL]))&amp;":"&amp;ADDRESS(ROW(),COLUMN(NOTA[TANGGAL]))),-1)))</f>
        <v/>
      </c>
      <c r="AH816" s="49" t="str">
        <f ca="1">IF(NOTA[[#This Row],[NAMA BARANG]]="","",INDEX(NOTA[SUPPLIER],MATCH(,INDIRECT(ADDRESS(ROW(NOTA[ID]),COLUMN(NOTA[ID]))&amp;":"&amp;ADDRESS(ROW(),COLUMN(NOTA[ID]))),-1)))</f>
        <v/>
      </c>
      <c r="AI816" s="49" t="str">
        <f ca="1">IF(NOTA[[#This Row],[ID_H]]="","",IF(NOTA[[#This Row],[FAKTUR]]="",INDIRECT(ADDRESS(ROW()-1,COLUMN())),NOTA[[#This Row],[FAKTUR]]))</f>
        <v/>
      </c>
      <c r="AJ816" s="38" t="str">
        <f ca="1">IF(NOTA[[#This Row],[ID]]="","",COUNTIF(NOTA[ID_H],NOTA[[#This Row],[ID_H]]))</f>
        <v/>
      </c>
      <c r="AK816" s="38" t="str">
        <f ca="1">IF(NOTA[[#This Row],[TGL.NOTA]]="",IF(NOTA[[#This Row],[SUPPLIER_H]]="","",AK815),MONTH(NOTA[[#This Row],[TGL.NOTA]]))</f>
        <v/>
      </c>
      <c r="AL816" s="38" t="str">
        <f>LOWER(SUBSTITUTE(SUBSTITUTE(SUBSTITUTE(SUBSTITUTE(SUBSTITUTE(SUBSTITUTE(SUBSTITUTE(SUBSTITUTE(SUBSTITUTE(NOTA[NAMA BARANG]," ",),".",""),"-",""),"(",""),")",""),",",""),"/",""),"""",""),"+",""))</f>
        <v/>
      </c>
      <c r="AM816" s="38" t="str">
        <f>IF(NOTA[C]="",NOTA[[#This Row],[CONCAT1]]&amp;NOTA[[#This Row],[HARGA SATUAN]],NOTA[[#This Row],[CONCAT1]]&amp;NOTA[[#This Row],[HARGA/ CTN_H]]&amp;NOTA[[#This Row],[DISC 1]]&amp;NOTA[[#This Row],[DISC 2]])</f>
        <v/>
      </c>
      <c r="AN816" s="184" t="str">
        <f>IF(NOTA[[#This Row],[CONCAT1]]="","",MATCH(NOTA[[#This Row],[CONCAT1]],[1]!db[NB NOTA_C],0)+1)</f>
        <v/>
      </c>
    </row>
    <row r="817" spans="1:40" ht="20.100000000000001" customHeight="1" x14ac:dyDescent="0.25">
      <c r="A817" s="49">
        <f ca="1">IF(INDIRECT(ADDRESS(ROW()-1,COLUMN(NOTA[[#Headers],[ID]])))="ID",1,IF(NOTA[[#This Row],[FAKTUR]]="","",COUNT(INDIRECT(ADDRESS(ROW(NOTA[ID]),COLUMN(NOTA[ID]))&amp;":"&amp;ADDRESS(ROW()-1,COLUMN(NOTA[ID]))))+1))</f>
        <v>156</v>
      </c>
      <c r="B8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DBS_2901_233-2</v>
      </c>
      <c r="C817" s="50" t="str">
        <f>IF(NOTA[[#This Row],[CEK_EXP]]&lt;D816,"err","")</f>
        <v/>
      </c>
      <c r="D817" s="50">
        <f>IF(NOTA[[#This Row],[TANGGAL]]="",D816,NOTA[[#This Row],[TANGGAL]])</f>
        <v>44955</v>
      </c>
      <c r="E817" s="50">
        <f ca="1">IF(NOTA[[#This Row],[NAMA BARANG]]="","",INDEX(NOTA[ID],MATCH(,INDIRECT(ADDRESS(ROW(NOTA[ID]),COLUMN(NOTA[ID]))&amp;":"&amp;ADDRESS(ROW(),COLUMN(NOTA[ID]))),-1)))</f>
        <v>156</v>
      </c>
      <c r="F817" s="23">
        <v>44955</v>
      </c>
      <c r="G817" s="26" t="s">
        <v>220</v>
      </c>
      <c r="H817" s="26" t="s">
        <v>87</v>
      </c>
      <c r="I817" s="31" t="s">
        <v>935</v>
      </c>
      <c r="J817" s="26"/>
      <c r="K817" s="51">
        <v>44952</v>
      </c>
      <c r="L817" s="26"/>
      <c r="M817" s="26" t="s">
        <v>936</v>
      </c>
      <c r="N817" s="39">
        <v>3</v>
      </c>
      <c r="O817" s="26">
        <v>72</v>
      </c>
      <c r="P817" s="26" t="s">
        <v>104</v>
      </c>
      <c r="Q817" s="49">
        <v>106000</v>
      </c>
      <c r="R817" s="52"/>
      <c r="S817" s="39" t="s">
        <v>130</v>
      </c>
      <c r="T817" s="53"/>
      <c r="U817" s="53"/>
      <c r="V817" s="54"/>
      <c r="W817" s="37"/>
      <c r="X817" s="54">
        <f>IF(NOTA[[#This Row],[HARGA/ CTN]]="",NOTA[[#This Row],[JUMLAH_H]],NOTA[[#This Row],[HARGA/ CTN]]*IF(NOTA[[#This Row],[C]]="",0,NOTA[[#This Row],[C]]))</f>
        <v>7632000</v>
      </c>
      <c r="Y817" s="54">
        <f>IF(NOTA[[#This Row],[JUMLAH]]="","",NOTA[[#This Row],[JUMLAH]]*NOTA[[#This Row],[DISC 1]])</f>
        <v>0</v>
      </c>
      <c r="Z817" s="54">
        <f>IF(NOTA[[#This Row],[JUMLAH]]="","",(NOTA[[#This Row],[JUMLAH]]-NOTA[[#This Row],[DISC 1-]])*NOTA[[#This Row],[DISC 2]])</f>
        <v>0</v>
      </c>
      <c r="AA817" s="54">
        <f>IF(NOTA[[#This Row],[JUMLAH]]="","",NOTA[[#This Row],[DISC 1-]]+NOTA[[#This Row],[DISC 2-]])</f>
        <v>0</v>
      </c>
      <c r="AB817" s="54">
        <f>IF(NOTA[[#This Row],[JUMLAH]]="","",NOTA[[#This Row],[JUMLAH]]-NOTA[[#This Row],[DISC]])</f>
        <v>7632000</v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17" s="54">
        <f>IF(OR(NOTA[[#This Row],[QTY]]="",NOTA[[#This Row],[HARGA SATUAN]]="",),"",NOTA[[#This Row],[QTY]]*NOTA[[#This Row],[HARGA SATUAN]])</f>
        <v>7632000</v>
      </c>
      <c r="AG817" s="51">
        <f ca="1">IF(NOTA[ID_H]="","",INDEX(NOTA[TANGGAL],MATCH(,INDIRECT(ADDRESS(ROW(NOTA[TANGGAL]),COLUMN(NOTA[TANGGAL]))&amp;":"&amp;ADDRESS(ROW(),COLUMN(NOTA[TANGGAL]))),-1)))</f>
        <v>44955</v>
      </c>
      <c r="AH817" s="49" t="str">
        <f ca="1">IF(NOTA[[#This Row],[NAMA BARANG]]="","",INDEX(NOTA[SUPPLIER],MATCH(,INDIRECT(ADDRESS(ROW(NOTA[ID]),COLUMN(NOTA[ID]))&amp;":"&amp;ADDRESS(ROW(),COLUMN(NOTA[ID]))),-1)))</f>
        <v>DB STATIONERY</v>
      </c>
      <c r="AI817" s="49" t="str">
        <f ca="1">IF(NOTA[[#This Row],[ID_H]]="","",IF(NOTA[[#This Row],[FAKTUR]]="",INDIRECT(ADDRESS(ROW()-1,COLUMN())),NOTA[[#This Row],[FAKTUR]]))</f>
        <v>UNTANA</v>
      </c>
      <c r="AJ817" s="38">
        <f ca="1">IF(NOTA[[#This Row],[ID]]="","",COUNTIF(NOTA[ID_H],NOTA[[#This Row],[ID_H]]))</f>
        <v>2</v>
      </c>
      <c r="AK817" s="38">
        <f>IF(NOTA[[#This Row],[TGL.NOTA]]="",IF(NOTA[[#This Row],[SUPPLIER_H]]="","",AK816),MONTH(NOTA[[#This Row],[TGL.NOTA]]))</f>
        <v>1</v>
      </c>
      <c r="AL817" s="38" t="str">
        <f>LOWER(SUBSTITUTE(SUBSTITUTE(SUBSTITUTE(SUBSTITUTE(SUBSTITUTE(SUBSTITUTE(SUBSTITUTE(SUBSTITUTE(SUBSTITUTE(NOTA[NAMA BARANG]," ",),".",""),"-",""),"(",""),")",""),",",""),"/",""),"""",""),"+",""))</f>
        <v>stabilotizo54pctf610</v>
      </c>
      <c r="AM817" s="38" t="str">
        <f>IF(NOTA[C]="",NOTA[[#This Row],[CONCAT1]]&amp;NOTA[[#This Row],[HARGA SATUAN]],NOTA[[#This Row],[CONCAT1]]&amp;NOTA[[#This Row],[HARGA/ CTN_H]]&amp;NOTA[[#This Row],[DISC 1]]&amp;NOTA[[#This Row],[DISC 2]])</f>
        <v>stabilotizo54pctf6102544000</v>
      </c>
      <c r="AN817" s="184">
        <f>IF(NOTA[[#This Row],[CONCAT1]]="","",MATCH(NOTA[[#This Row],[CONCAT1]],[1]!db[NB NOTA_C],0)+1)</f>
        <v>1976</v>
      </c>
    </row>
    <row r="818" spans="1:40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Row],[CEK_EXP]]&lt;D817,"err","")</f>
        <v/>
      </c>
      <c r="D818" s="50">
        <f>IF(NOTA[[#This Row],[TANGGAL]]="",D817,NOTA[[#This Row],[TANGGAL]])</f>
        <v>44955</v>
      </c>
      <c r="E818" s="50">
        <f ca="1">IF(NOTA[[#This Row],[NAMA BARANG]]="","",INDEX(NOTA[ID],MATCH(,INDIRECT(ADDRESS(ROW(NOTA[ID]),COLUMN(NOTA[ID]))&amp;":"&amp;ADDRESS(ROW(),COLUMN(NOTA[ID]))),-1)))</f>
        <v>156</v>
      </c>
      <c r="F818" s="23"/>
      <c r="G818" s="26"/>
      <c r="H818" s="26"/>
      <c r="I818" s="31"/>
      <c r="J818" s="26"/>
      <c r="K818" s="51"/>
      <c r="L818" s="26"/>
      <c r="M818" s="26" t="s">
        <v>937</v>
      </c>
      <c r="N818" s="39">
        <v>3</v>
      </c>
      <c r="O818" s="26">
        <v>96</v>
      </c>
      <c r="P818" s="26" t="s">
        <v>104</v>
      </c>
      <c r="Q818" s="49">
        <v>49500</v>
      </c>
      <c r="R818" s="52"/>
      <c r="S818" s="39" t="s">
        <v>938</v>
      </c>
      <c r="T818" s="53"/>
      <c r="U818" s="53"/>
      <c r="V818" s="54"/>
      <c r="W818" s="37" t="s">
        <v>939</v>
      </c>
      <c r="X818" s="54">
        <f>IF(NOTA[[#This Row],[HARGA/ CTN]]="",NOTA[[#This Row],[JUMLAH_H]],NOTA[[#This Row],[HARGA/ CTN]]*IF(NOTA[[#This Row],[C]]="",0,NOTA[[#This Row],[C]]))</f>
        <v>4752000</v>
      </c>
      <c r="Y818" s="54">
        <f>IF(NOTA[[#This Row],[JUMLAH]]="","",NOTA[[#This Row],[JUMLAH]]*NOTA[[#This Row],[DISC 1]])</f>
        <v>0</v>
      </c>
      <c r="Z818" s="54">
        <f>IF(NOTA[[#This Row],[JUMLAH]]="","",(NOTA[[#This Row],[JUMLAH]]-NOTA[[#This Row],[DISC 1-]])*NOTA[[#This Row],[DISC 2]])</f>
        <v>0</v>
      </c>
      <c r="AA818" s="54">
        <f>IF(NOTA[[#This Row],[JUMLAH]]="","",NOTA[[#This Row],[DISC 1-]]+NOTA[[#This Row],[DISC 2-]])</f>
        <v>0</v>
      </c>
      <c r="AB818" s="54">
        <f>IF(NOTA[[#This Row],[JUMLAH]]="","",NOTA[[#This Row],[JUMLAH]]-NOTA[[#This Row],[DISC]])</f>
        <v>4752000</v>
      </c>
      <c r="AC8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12384000</v>
      </c>
      <c r="AE818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18" s="54">
        <f>IF(OR(NOTA[[#This Row],[QTY]]="",NOTA[[#This Row],[HARGA SATUAN]]="",),"",NOTA[[#This Row],[QTY]]*NOTA[[#This Row],[HARGA SATUAN]])</f>
        <v>4752000</v>
      </c>
      <c r="AG818" s="51">
        <f ca="1">IF(NOTA[ID_H]="","",INDEX(NOTA[TANGGAL],MATCH(,INDIRECT(ADDRESS(ROW(NOTA[TANGGAL]),COLUMN(NOTA[TANGGAL]))&amp;":"&amp;ADDRESS(ROW(),COLUMN(NOTA[TANGGAL]))),-1)))</f>
        <v>44955</v>
      </c>
      <c r="AH818" s="49" t="str">
        <f ca="1">IF(NOTA[[#This Row],[NAMA BARANG]]="","",INDEX(NOTA[SUPPLIER],MATCH(,INDIRECT(ADDRESS(ROW(NOTA[ID]),COLUMN(NOTA[ID]))&amp;":"&amp;ADDRESS(ROW(),COLUMN(NOTA[ID]))),-1)))</f>
        <v>DB STATIONERY</v>
      </c>
      <c r="AI818" s="49" t="str">
        <f ca="1">IF(NOTA[[#This Row],[ID_H]]="","",IF(NOTA[[#This Row],[FAKTUR]]="",INDIRECT(ADDRESS(ROW()-1,COLUMN())),NOTA[[#This Row],[FAKTUR]]))</f>
        <v>UNTANA</v>
      </c>
      <c r="AJ818" s="38" t="str">
        <f ca="1">IF(NOTA[[#This Row],[ID]]="","",COUNTIF(NOTA[ID_H],NOTA[[#This Row],[ID_H]]))</f>
        <v/>
      </c>
      <c r="AK818" s="38">
        <f ca="1">IF(NOTA[[#This Row],[TGL.NOTA]]="",IF(NOTA[[#This Row],[SUPPLIER_H]]="","",AK817),MONTH(NOTA[[#This Row],[TGL.NOTA]]))</f>
        <v>1</v>
      </c>
      <c r="AL818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M818" s="38" t="str">
        <f>IF(NOTA[C]="",NOTA[[#This Row],[CONCAT1]]&amp;NOTA[[#This Row],[HARGA SATUAN]],NOTA[[#This Row],[CONCAT1]]&amp;NOTA[[#This Row],[HARGA/ CTN_H]]&amp;NOTA[[#This Row],[DISC 1]]&amp;NOTA[[#This Row],[DISC 2]])</f>
        <v>highlighter24pcstf6161584000</v>
      </c>
      <c r="AN818" s="184">
        <f>IF(NOTA[[#This Row],[CONCAT1]]="","",MATCH(NOTA[[#This Row],[CONCAT1]],[1]!db[NB NOTA_C],0)+1)</f>
        <v>973</v>
      </c>
    </row>
    <row r="819" spans="1:40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Row],[CEK_EXP]]&lt;D818,"err","")</f>
        <v/>
      </c>
      <c r="D819" s="50">
        <f>IF(NOTA[[#This Row],[TANGGAL]]="",D818,NOTA[[#This Row],[TANGGAL]])</f>
        <v>44955</v>
      </c>
      <c r="E819" s="50" t="str">
        <f ca="1">IF(NOTA[[#This Row],[NAMA BARANG]]="","",INDEX(NOTA[ID],MATCH(,INDIRECT(ADDRESS(ROW(NOTA[ID]),COLUMN(NOTA[ID]))&amp;":"&amp;ADDRESS(ROW(),COLUMN(NOTA[ID]))),-1)))</f>
        <v/>
      </c>
      <c r="F819" s="23"/>
      <c r="G819" s="26"/>
      <c r="H819" s="26"/>
      <c r="I819" s="31"/>
      <c r="J819" s="26"/>
      <c r="K819" s="51"/>
      <c r="L819" s="26"/>
      <c r="M819" s="26"/>
      <c r="N819" s="39"/>
      <c r="O819" s="26"/>
      <c r="P819" s="26"/>
      <c r="Q819" s="49"/>
      <c r="R819" s="52"/>
      <c r="S819" s="39"/>
      <c r="T819" s="53"/>
      <c r="U819" s="53"/>
      <c r="V819" s="54"/>
      <c r="W819" s="37"/>
      <c r="X819" s="54" t="str">
        <f>IF(NOTA[[#This Row],[HARGA/ CTN]]="",NOTA[[#This Row],[JUMLAH_H]],NOTA[[#This Row],[HARGA/ CTN]]*IF(NOTA[[#This Row],[C]]="",0,NOTA[[#This Row],[C]]))</f>
        <v/>
      </c>
      <c r="Y819" s="54" t="str">
        <f>IF(NOTA[[#This Row],[JUMLAH]]="","",NOTA[[#This Row],[JUMLAH]]*NOTA[[#This Row],[DISC 1]])</f>
        <v/>
      </c>
      <c r="Z819" s="54" t="str">
        <f>IF(NOTA[[#This Row],[JUMLAH]]="","",(NOTA[[#This Row],[JUMLAH]]-NOTA[[#This Row],[DISC 1-]])*NOTA[[#This Row],[DISC 2]])</f>
        <v/>
      </c>
      <c r="AA819" s="54" t="str">
        <f>IF(NOTA[[#This Row],[JUMLAH]]="","",NOTA[[#This Row],[DISC 1-]]+NOTA[[#This Row],[DISC 2-]])</f>
        <v/>
      </c>
      <c r="AB819" s="54" t="str">
        <f>IF(NOTA[[#This Row],[JUMLAH]]="","",NOTA[[#This Row],[JUMLAH]]-NOTA[[#This Row],[DISC]])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54" t="str">
        <f>IF(OR(NOTA[[#This Row],[QTY]]="",NOTA[[#This Row],[HARGA SATUAN]]="",),"",NOTA[[#This Row],[QTY]]*NOTA[[#This Row],[HARGA SATUAN]])</f>
        <v/>
      </c>
      <c r="AG819" s="51" t="str">
        <f ca="1">IF(NOTA[ID_H]="","",INDEX(NOTA[TANGGAL],MATCH(,INDIRECT(ADDRESS(ROW(NOTA[TANGGAL]),COLUMN(NOTA[TANGGAL]))&amp;":"&amp;ADDRESS(ROW(),COLUMN(NOTA[TANGGAL]))),-1)))</f>
        <v/>
      </c>
      <c r="AH819" s="49" t="str">
        <f ca="1">IF(NOTA[[#This Row],[NAMA BARANG]]="","",INDEX(NOTA[SUPPLIER],MATCH(,INDIRECT(ADDRESS(ROW(NOTA[ID]),COLUMN(NOTA[ID]))&amp;":"&amp;ADDRESS(ROW(),COLUMN(NOTA[ID]))),-1)))</f>
        <v/>
      </c>
      <c r="AI819" s="49" t="str">
        <f ca="1">IF(NOTA[[#This Row],[ID_H]]="","",IF(NOTA[[#This Row],[FAKTUR]]="",INDIRECT(ADDRESS(ROW()-1,COLUMN())),NOTA[[#This Row],[FAKTUR]]))</f>
        <v/>
      </c>
      <c r="AJ819" s="38" t="str">
        <f ca="1">IF(NOTA[[#This Row],[ID]]="","",COUNTIF(NOTA[ID_H],NOTA[[#This Row],[ID_H]]))</f>
        <v/>
      </c>
      <c r="AK819" s="38" t="str">
        <f ca="1">IF(NOTA[[#This Row],[TGL.NOTA]]="",IF(NOTA[[#This Row],[SUPPLIER_H]]="","",AK818),MONTH(NOTA[[#This Row],[TGL.NOTA]]))</f>
        <v/>
      </c>
      <c r="AL819" s="38" t="str">
        <f>LOWER(SUBSTITUTE(SUBSTITUTE(SUBSTITUTE(SUBSTITUTE(SUBSTITUTE(SUBSTITUTE(SUBSTITUTE(SUBSTITUTE(SUBSTITUTE(NOTA[NAMA BARANG]," ",),".",""),"-",""),"(",""),")",""),",",""),"/",""),"""",""),"+",""))</f>
        <v/>
      </c>
      <c r="AM819" s="38" t="str">
        <f>IF(NOTA[C]="",NOTA[[#This Row],[CONCAT1]]&amp;NOTA[[#This Row],[HARGA SATUAN]],NOTA[[#This Row],[CONCAT1]]&amp;NOTA[[#This Row],[HARGA/ CTN_H]]&amp;NOTA[[#This Row],[DISC 1]]&amp;NOTA[[#This Row],[DISC 2]])</f>
        <v/>
      </c>
      <c r="AN819" s="184" t="str">
        <f>IF(NOTA[[#This Row],[CONCAT1]]="","",MATCH(NOTA[[#This Row],[CONCAT1]],[1]!db[NB NOTA_C],0)+1)</f>
        <v/>
      </c>
    </row>
    <row r="820" spans="1:40" ht="20.100000000000001" customHeight="1" x14ac:dyDescent="0.25">
      <c r="A820" s="49">
        <f ca="1">IF(INDIRECT(ADDRESS(ROW()-1,COLUMN(NOTA[[#Headers],[ID]])))="ID",1,IF(NOTA[[#This Row],[FAKTUR]]="","",COUNT(INDIRECT(ADDRESS(ROW(NOTA[ID]),COLUMN(NOTA[ID]))&amp;":"&amp;ADDRESS(ROW()-1,COLUMN(NOTA[ID]))))+1))</f>
        <v>157</v>
      </c>
      <c r="B8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ATA_3001_591-6</v>
      </c>
      <c r="C820" s="50" t="str">
        <f>IF(NOTA[[#This Row],[CEK_EXP]]&lt;D819,"err","")</f>
        <v/>
      </c>
      <c r="D820" s="50">
        <f>IF(NOTA[[#This Row],[TANGGAL]]="",D819,NOTA[[#This Row],[TANGGAL]])</f>
        <v>44956</v>
      </c>
      <c r="E820" s="50">
        <f ca="1">IF(NOTA[[#This Row],[NAMA BARANG]]="","",INDEX(NOTA[ID],MATCH(,INDIRECT(ADDRESS(ROW(NOTA[ID]),COLUMN(NOTA[ID]))&amp;":"&amp;ADDRESS(ROW(),COLUMN(NOTA[ID]))),-1)))</f>
        <v>157</v>
      </c>
      <c r="F820" s="23">
        <v>44956</v>
      </c>
      <c r="G820" s="26" t="s">
        <v>25</v>
      </c>
      <c r="H820" s="26" t="s">
        <v>24</v>
      </c>
      <c r="I820" s="31" t="s">
        <v>942</v>
      </c>
      <c r="J820" s="26"/>
      <c r="K820" s="51">
        <v>44953</v>
      </c>
      <c r="L820" s="26"/>
      <c r="M820" s="26" t="s">
        <v>943</v>
      </c>
      <c r="N820" s="39">
        <v>4</v>
      </c>
      <c r="O820" s="26">
        <v>96</v>
      </c>
      <c r="P820" s="26" t="s">
        <v>116</v>
      </c>
      <c r="Q820" s="49">
        <v>88200</v>
      </c>
      <c r="R820" s="52"/>
      <c r="S820" s="39" t="s">
        <v>631</v>
      </c>
      <c r="T820" s="53">
        <v>0.125</v>
      </c>
      <c r="U820" s="53">
        <v>0.05</v>
      </c>
      <c r="V820" s="54"/>
      <c r="W820" s="37"/>
      <c r="X820" s="54">
        <f>IF(NOTA[[#This Row],[HARGA/ CTN]]="",NOTA[[#This Row],[JUMLAH_H]],NOTA[[#This Row],[HARGA/ CTN]]*IF(NOTA[[#This Row],[C]]="",0,NOTA[[#This Row],[C]]))</f>
        <v>8467200</v>
      </c>
      <c r="Y820" s="54">
        <f>IF(NOTA[[#This Row],[JUMLAH]]="","",NOTA[[#This Row],[JUMLAH]]*NOTA[[#This Row],[DISC 1]])</f>
        <v>1058400</v>
      </c>
      <c r="Z820" s="54">
        <f>IF(NOTA[[#This Row],[JUMLAH]]="","",(NOTA[[#This Row],[JUMLAH]]-NOTA[[#This Row],[DISC 1-]])*NOTA[[#This Row],[DISC 2]])</f>
        <v>370440</v>
      </c>
      <c r="AA820" s="54">
        <f>IF(NOTA[[#This Row],[JUMLAH]]="","",NOTA[[#This Row],[DISC 1-]]+NOTA[[#This Row],[DISC 2-]])</f>
        <v>1428840</v>
      </c>
      <c r="AB820" s="54">
        <f>IF(NOTA[[#This Row],[JUMLAH]]="","",NOTA[[#This Row],[JUMLAH]]-NOTA[[#This Row],[DISC]])</f>
        <v>7038360</v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820" s="54">
        <f>IF(OR(NOTA[[#This Row],[QTY]]="",NOTA[[#This Row],[HARGA SATUAN]]="",),"",NOTA[[#This Row],[QTY]]*NOTA[[#This Row],[HARGA SATUAN]])</f>
        <v>8467200</v>
      </c>
      <c r="AG820" s="51">
        <f ca="1">IF(NOTA[ID_H]="","",INDEX(NOTA[TANGGAL],MATCH(,INDIRECT(ADDRESS(ROW(NOTA[TANGGAL]),COLUMN(NOTA[TANGGAL]))&amp;":"&amp;ADDRESS(ROW(),COLUMN(NOTA[TANGGAL]))),-1)))</f>
        <v>44956</v>
      </c>
      <c r="AH820" s="49" t="str">
        <f ca="1">IF(NOTA[[#This Row],[NAMA BARANG]]="","",INDEX(NOTA[SUPPLIER],MATCH(,INDIRECT(ADDRESS(ROW(NOTA[ID]),COLUMN(NOTA[ID]))&amp;":"&amp;ADDRESS(ROW(),COLUMN(NOTA[ID]))),-1)))</f>
        <v>ATALI MAKMUR</v>
      </c>
      <c r="AI820" s="49" t="str">
        <f ca="1">IF(NOTA[[#This Row],[ID_H]]="","",IF(NOTA[[#This Row],[FAKTUR]]="",INDIRECT(ADDRESS(ROW()-1,COLUMN())),NOTA[[#This Row],[FAKTUR]]))</f>
        <v>ARTO MORO</v>
      </c>
      <c r="AJ820" s="38">
        <f ca="1">IF(NOTA[[#This Row],[ID]]="","",COUNTIF(NOTA[ID_H],NOTA[[#This Row],[ID_H]]))</f>
        <v>6</v>
      </c>
      <c r="AK820" s="38">
        <f>IF(NOTA[[#This Row],[TGL.NOTA]]="",IF(NOTA[[#This Row],[SUPPLIER_H]]="","",AK819),MONTH(NOTA[[#This Row],[TGL.NOTA]]))</f>
        <v>1</v>
      </c>
      <c r="AL820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M820" s="38" t="str">
        <f>IF(NOTA[C]="",NOTA[[#This Row],[CONCAT1]]&amp;NOTA[[#This Row],[HARGA SATUAN]],NOTA[[#This Row],[CONCAT1]]&amp;NOTA[[#This Row],[HARGA/ CTN_H]]&amp;NOTA[[#This Row],[DISC 1]]&amp;NOTA[[#This Row],[DISC 2]])</f>
        <v>mathsetms25jk21168000.1250.05</v>
      </c>
      <c r="AN820" s="184">
        <f>IF(NOTA[[#This Row],[CONCAT1]]="","",MATCH(NOTA[[#This Row],[CONCAT1]],[1]!db[NB NOTA_C],0)+1)</f>
        <v>1483</v>
      </c>
    </row>
    <row r="821" spans="1:40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Row],[CEK_EXP]]&lt;D820,"err","")</f>
        <v/>
      </c>
      <c r="D821" s="50">
        <f>IF(NOTA[[#This Row],[TANGGAL]]="",D820,NOTA[[#This Row],[TANGGAL]])</f>
        <v>44956</v>
      </c>
      <c r="E821" s="50">
        <f ca="1">IF(NOTA[[#This Row],[NAMA BARANG]]="","",INDEX(NOTA[ID],MATCH(,INDIRECT(ADDRESS(ROW(NOTA[ID]),COLUMN(NOTA[ID]))&amp;":"&amp;ADDRESS(ROW(),COLUMN(NOTA[ID]))),-1)))</f>
        <v>157</v>
      </c>
      <c r="F821" s="23"/>
      <c r="G821" s="26"/>
      <c r="H821" s="26"/>
      <c r="I821" s="31"/>
      <c r="J821" s="26"/>
      <c r="K821" s="51"/>
      <c r="L821" s="26"/>
      <c r="M821" s="26" t="s">
        <v>944</v>
      </c>
      <c r="N821" s="39">
        <v>3</v>
      </c>
      <c r="O821" s="26">
        <v>72</v>
      </c>
      <c r="P821" s="26" t="s">
        <v>116</v>
      </c>
      <c r="Q821" s="49">
        <v>89400</v>
      </c>
      <c r="R821" s="52"/>
      <c r="S821" s="39" t="s">
        <v>631</v>
      </c>
      <c r="T821" s="53">
        <v>0.125</v>
      </c>
      <c r="U821" s="53">
        <v>0.05</v>
      </c>
      <c r="V821" s="54"/>
      <c r="W821" s="37"/>
      <c r="X821" s="54">
        <f>IF(NOTA[[#This Row],[HARGA/ CTN]]="",NOTA[[#This Row],[JUMLAH_H]],NOTA[[#This Row],[HARGA/ CTN]]*IF(NOTA[[#This Row],[C]]="",0,NOTA[[#This Row],[C]]))</f>
        <v>6436800</v>
      </c>
      <c r="Y821" s="54">
        <f>IF(NOTA[[#This Row],[JUMLAH]]="","",NOTA[[#This Row],[JUMLAH]]*NOTA[[#This Row],[DISC 1]])</f>
        <v>804600</v>
      </c>
      <c r="Z821" s="54">
        <f>IF(NOTA[[#This Row],[JUMLAH]]="","",(NOTA[[#This Row],[JUMLAH]]-NOTA[[#This Row],[DISC 1-]])*NOTA[[#This Row],[DISC 2]])</f>
        <v>281610</v>
      </c>
      <c r="AA821" s="54">
        <f>IF(NOTA[[#This Row],[JUMLAH]]="","",NOTA[[#This Row],[DISC 1-]]+NOTA[[#This Row],[DISC 2-]])</f>
        <v>1086210</v>
      </c>
      <c r="AB821" s="54">
        <f>IF(NOTA[[#This Row],[JUMLAH]]="","",NOTA[[#This Row],[JUMLAH]]-NOTA[[#This Row],[DISC]])</f>
        <v>5350590</v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49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821" s="54">
        <f>IF(OR(NOTA[[#This Row],[QTY]]="",NOTA[[#This Row],[HARGA SATUAN]]="",),"",NOTA[[#This Row],[QTY]]*NOTA[[#This Row],[HARGA SATUAN]])</f>
        <v>6436800</v>
      </c>
      <c r="AG821" s="51">
        <f ca="1">IF(NOTA[ID_H]="","",INDEX(NOTA[TANGGAL],MATCH(,INDIRECT(ADDRESS(ROW(NOTA[TANGGAL]),COLUMN(NOTA[TANGGAL]))&amp;":"&amp;ADDRESS(ROW(),COLUMN(NOTA[TANGGAL]))),-1)))</f>
        <v>44956</v>
      </c>
      <c r="AH821" s="49" t="str">
        <f ca="1">IF(NOTA[[#This Row],[NAMA BARANG]]="","",INDEX(NOTA[SUPPLIER],MATCH(,INDIRECT(ADDRESS(ROW(NOTA[ID]),COLUMN(NOTA[ID]))&amp;":"&amp;ADDRESS(ROW(),COLUMN(NOTA[ID]))),-1)))</f>
        <v>ATALI MAKMUR</v>
      </c>
      <c r="AI821" s="49" t="str">
        <f ca="1">IF(NOTA[[#This Row],[ID_H]]="","",IF(NOTA[[#This Row],[FAKTUR]]="",INDIRECT(ADDRESS(ROW()-1,COLUMN())),NOTA[[#This Row],[FAKTUR]]))</f>
        <v>ARTO MORO</v>
      </c>
      <c r="AJ821" s="38" t="str">
        <f ca="1">IF(NOTA[[#This Row],[ID]]="","",COUNTIF(NOTA[ID_H],NOTA[[#This Row],[ID_H]]))</f>
        <v/>
      </c>
      <c r="AK821" s="38">
        <f ca="1">IF(NOTA[[#This Row],[TGL.NOTA]]="",IF(NOTA[[#This Row],[SUPPLIER_H]]="","",AK820),MONTH(NOTA[[#This Row],[TGL.NOTA]]))</f>
        <v>1</v>
      </c>
      <c r="AL821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M821" s="38" t="str">
        <f>IF(NOTA[C]="",NOTA[[#This Row],[CONCAT1]]&amp;NOTA[[#This Row],[HARGA SATUAN]],NOTA[[#This Row],[CONCAT1]]&amp;NOTA[[#This Row],[HARGA/ CTN_H]]&amp;NOTA[[#This Row],[DISC 1]]&amp;NOTA[[#This Row],[DISC 2]])</f>
        <v>mathsetms75jk21456000.1250.05</v>
      </c>
      <c r="AN821" s="184">
        <f>IF(NOTA[[#This Row],[CONCAT1]]="","",MATCH(NOTA[[#This Row],[CONCAT1]],[1]!db[NB NOTA_C],0)+1)</f>
        <v>1488</v>
      </c>
    </row>
    <row r="822" spans="1:40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Row],[CEK_EXP]]&lt;D821,"err","")</f>
        <v/>
      </c>
      <c r="D822" s="50">
        <f>IF(NOTA[[#This Row],[TANGGAL]]="",D821,NOTA[[#This Row],[TANGGAL]])</f>
        <v>44956</v>
      </c>
      <c r="E822" s="50">
        <f ca="1">IF(NOTA[[#This Row],[NAMA BARANG]]="","",INDEX(NOTA[ID],MATCH(,INDIRECT(ADDRESS(ROW(NOTA[ID]),COLUMN(NOTA[ID]))&amp;":"&amp;ADDRESS(ROW(),COLUMN(NOTA[ID]))),-1)))</f>
        <v>157</v>
      </c>
      <c r="F822" s="23"/>
      <c r="G822" s="26"/>
      <c r="H822" s="26"/>
      <c r="I822" s="31"/>
      <c r="J822" s="26"/>
      <c r="K822" s="51"/>
      <c r="L822" s="26"/>
      <c r="M822" s="26" t="s">
        <v>945</v>
      </c>
      <c r="N822" s="39">
        <v>1</v>
      </c>
      <c r="O822" s="26">
        <v>288</v>
      </c>
      <c r="P822" s="26" t="s">
        <v>128</v>
      </c>
      <c r="Q822" s="49">
        <v>12000</v>
      </c>
      <c r="R822" s="52"/>
      <c r="S822" s="39" t="s">
        <v>647</v>
      </c>
      <c r="T822" s="53">
        <v>0.125</v>
      </c>
      <c r="U822" s="53">
        <v>0.05</v>
      </c>
      <c r="V822" s="54"/>
      <c r="W822" s="37"/>
      <c r="X822" s="54">
        <f>IF(NOTA[[#This Row],[HARGA/ CTN]]="",NOTA[[#This Row],[JUMLAH_H]],NOTA[[#This Row],[HARGA/ CTN]]*IF(NOTA[[#This Row],[C]]="",0,NOTA[[#This Row],[C]]))</f>
        <v>3456000</v>
      </c>
      <c r="Y822" s="54">
        <f>IF(NOTA[[#This Row],[JUMLAH]]="","",NOTA[[#This Row],[JUMLAH]]*NOTA[[#This Row],[DISC 1]])</f>
        <v>432000</v>
      </c>
      <c r="Z822" s="54">
        <f>IF(NOTA[[#This Row],[JUMLAH]]="","",(NOTA[[#This Row],[JUMLAH]]-NOTA[[#This Row],[DISC 1-]])*NOTA[[#This Row],[DISC 2]])</f>
        <v>151200</v>
      </c>
      <c r="AA822" s="54">
        <f>IF(NOTA[[#This Row],[JUMLAH]]="","",NOTA[[#This Row],[DISC 1-]]+NOTA[[#This Row],[DISC 2-]])</f>
        <v>583200</v>
      </c>
      <c r="AB822" s="54">
        <f>IF(NOTA[[#This Row],[JUMLAH]]="","",NOTA[[#This Row],[JUMLAH]]-NOTA[[#This Row],[DISC]])</f>
        <v>2872800</v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22" s="54">
        <f>IF(OR(NOTA[[#This Row],[QTY]]="",NOTA[[#This Row],[HARGA SATUAN]]="",),"",NOTA[[#This Row],[QTY]]*NOTA[[#This Row],[HARGA SATUAN]])</f>
        <v>3456000</v>
      </c>
      <c r="AG822" s="51">
        <f ca="1">IF(NOTA[ID_H]="","",INDEX(NOTA[TANGGAL],MATCH(,INDIRECT(ADDRESS(ROW(NOTA[TANGGAL]),COLUMN(NOTA[TANGGAL]))&amp;":"&amp;ADDRESS(ROW(),COLUMN(NOTA[TANGGAL]))),-1)))</f>
        <v>44956</v>
      </c>
      <c r="AH822" s="49" t="str">
        <f ca="1">IF(NOTA[[#This Row],[NAMA BARANG]]="","",INDEX(NOTA[SUPPLIER],MATCH(,INDIRECT(ADDRESS(ROW(NOTA[ID]),COLUMN(NOTA[ID]))&amp;":"&amp;ADDRESS(ROW(),COLUMN(NOTA[ID]))),-1)))</f>
        <v>ATALI MAKMUR</v>
      </c>
      <c r="AI822" s="49" t="str">
        <f ca="1">IF(NOTA[[#This Row],[ID_H]]="","",IF(NOTA[[#This Row],[FAKTUR]]="",INDIRECT(ADDRESS(ROW()-1,COLUMN())),NOTA[[#This Row],[FAKTUR]]))</f>
        <v>ARTO MORO</v>
      </c>
      <c r="AJ822" s="38" t="str">
        <f ca="1">IF(NOTA[[#This Row],[ID]]="","",COUNTIF(NOTA[ID_H],NOTA[[#This Row],[ID_H]]))</f>
        <v/>
      </c>
      <c r="AK822" s="38">
        <f ca="1">IF(NOTA[[#This Row],[TGL.NOTA]]="",IF(NOTA[[#This Row],[SUPPLIER_H]]="","",AK821),MONTH(NOTA[[#This Row],[TGL.NOTA]]))</f>
        <v>1</v>
      </c>
      <c r="AL822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M822" s="38" t="str">
        <f>IF(NOTA[C]="",NOTA[[#This Row],[CONCAT1]]&amp;NOTA[[#This Row],[HARGA SATUAN]],NOTA[[#This Row],[CONCAT1]]&amp;NOTA[[#This Row],[HARGA/ CTN_H]]&amp;NOTA[[#This Row],[DISC 1]]&amp;NOTA[[#This Row],[DISC 2]])</f>
        <v>mathsetms402jk34560000.1250.05</v>
      </c>
      <c r="AN822" s="184">
        <f>IF(NOTA[[#This Row],[CONCAT1]]="","",MATCH(NOTA[[#This Row],[CONCAT1]],[1]!db[NB NOTA_C],0)+1)</f>
        <v>1485</v>
      </c>
    </row>
    <row r="823" spans="1:40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Row],[CEK_EXP]]&lt;D822,"err","")</f>
        <v/>
      </c>
      <c r="D823" s="50">
        <f>IF(NOTA[[#This Row],[TANGGAL]]="",D822,NOTA[[#This Row],[TANGGAL]])</f>
        <v>44956</v>
      </c>
      <c r="E823" s="50">
        <f ca="1">IF(NOTA[[#This Row],[NAMA BARANG]]="","",INDEX(NOTA[ID],MATCH(,INDIRECT(ADDRESS(ROW(NOTA[ID]),COLUMN(NOTA[ID]))&amp;":"&amp;ADDRESS(ROW(),COLUMN(NOTA[ID]))),-1)))</f>
        <v>157</v>
      </c>
      <c r="F823" s="23"/>
      <c r="G823" s="26"/>
      <c r="H823" s="26"/>
      <c r="I823" s="31"/>
      <c r="J823" s="26"/>
      <c r="K823" s="51"/>
      <c r="L823" s="26"/>
      <c r="M823" s="26" t="s">
        <v>946</v>
      </c>
      <c r="N823" s="39">
        <v>2</v>
      </c>
      <c r="O823" s="26">
        <v>48</v>
      </c>
      <c r="P823" s="26" t="s">
        <v>104</v>
      </c>
      <c r="Q823" s="49">
        <v>11100</v>
      </c>
      <c r="R823" s="52"/>
      <c r="S823" s="39" t="s">
        <v>130</v>
      </c>
      <c r="T823" s="53">
        <v>0.125</v>
      </c>
      <c r="U823" s="53">
        <v>0.05</v>
      </c>
      <c r="V823" s="54"/>
      <c r="W823" s="37"/>
      <c r="X823" s="54">
        <f>IF(NOTA[[#This Row],[HARGA/ CTN]]="",NOTA[[#This Row],[JUMLAH_H]],NOTA[[#This Row],[HARGA/ CTN]]*IF(NOTA[[#This Row],[C]]="",0,NOTA[[#This Row],[C]]))</f>
        <v>532800</v>
      </c>
      <c r="Y823" s="54">
        <f>IF(NOTA[[#This Row],[JUMLAH]]="","",NOTA[[#This Row],[JUMLAH]]*NOTA[[#This Row],[DISC 1]])</f>
        <v>66600</v>
      </c>
      <c r="Z823" s="54">
        <f>IF(NOTA[[#This Row],[JUMLAH]]="","",(NOTA[[#This Row],[JUMLAH]]-NOTA[[#This Row],[DISC 1-]])*NOTA[[#This Row],[DISC 2]])</f>
        <v>23310</v>
      </c>
      <c r="AA823" s="54">
        <f>IF(NOTA[[#This Row],[JUMLAH]]="","",NOTA[[#This Row],[DISC 1-]]+NOTA[[#This Row],[DISC 2-]])</f>
        <v>89910</v>
      </c>
      <c r="AB823" s="54">
        <f>IF(NOTA[[#This Row],[JUMLAH]]="","",NOTA[[#This Row],[JUMLAH]]-NOTA[[#This Row],[DISC]])</f>
        <v>442890</v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823" s="54">
        <f>IF(OR(NOTA[[#This Row],[QTY]]="",NOTA[[#This Row],[HARGA SATUAN]]="",),"",NOTA[[#This Row],[QTY]]*NOTA[[#This Row],[HARGA SATUAN]])</f>
        <v>532800</v>
      </c>
      <c r="AG823" s="51">
        <f ca="1">IF(NOTA[ID_H]="","",INDEX(NOTA[TANGGAL],MATCH(,INDIRECT(ADDRESS(ROW(NOTA[TANGGAL]),COLUMN(NOTA[TANGGAL]))&amp;":"&amp;ADDRESS(ROW(),COLUMN(NOTA[TANGGAL]))),-1)))</f>
        <v>44956</v>
      </c>
      <c r="AH823" s="49" t="str">
        <f ca="1">IF(NOTA[[#This Row],[NAMA BARANG]]="","",INDEX(NOTA[SUPPLIER],MATCH(,INDIRECT(ADDRESS(ROW(NOTA[ID]),COLUMN(NOTA[ID]))&amp;":"&amp;ADDRESS(ROW(),COLUMN(NOTA[ID]))),-1)))</f>
        <v>ATALI MAKMUR</v>
      </c>
      <c r="AI823" s="49" t="str">
        <f ca="1">IF(NOTA[[#This Row],[ID_H]]="","",IF(NOTA[[#This Row],[FAKTUR]]="",INDIRECT(ADDRESS(ROW()-1,COLUMN())),NOTA[[#This Row],[FAKTUR]]))</f>
        <v>ARTO MORO</v>
      </c>
      <c r="AJ823" s="38" t="str">
        <f ca="1">IF(NOTA[[#This Row],[ID]]="","",COUNTIF(NOTA[ID_H],NOTA[[#This Row],[ID_H]]))</f>
        <v/>
      </c>
      <c r="AK823" s="38">
        <f ca="1">IF(NOTA[[#This Row],[TGL.NOTA]]="",IF(NOTA[[#This Row],[SUPPLIER_H]]="","",AK822),MONTH(NOTA[[#This Row],[TGL.NOTA]]))</f>
        <v>1</v>
      </c>
      <c r="AL82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823" s="38" t="str">
        <f>IF(NOTA[C]="",NOTA[[#This Row],[CONCAT1]]&amp;NOTA[[#This Row],[HARGA SATUAN]],NOTA[[#This Row],[CONCAT1]]&amp;NOTA[[#This Row],[HARGA/ CTN_H]]&amp;NOTA[[#This Row],[DISC 1]]&amp;NOTA[[#This Row],[DISC 2]])</f>
        <v>tapecuttertd102jk2664000.1250.05</v>
      </c>
      <c r="AN823" s="184">
        <f>IF(NOTA[[#This Row],[CONCAT1]]="","",MATCH(NOTA[[#This Row],[CONCAT1]],[1]!db[NB NOTA_C],0)+1)</f>
        <v>2025</v>
      </c>
    </row>
    <row r="824" spans="1:40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Row],[CEK_EXP]]&lt;D823,"err","")</f>
        <v/>
      </c>
      <c r="D824" s="50">
        <f>IF(NOTA[[#This Row],[TANGGAL]]="",D823,NOTA[[#This Row],[TANGGAL]])</f>
        <v>44956</v>
      </c>
      <c r="E824" s="50">
        <f ca="1">IF(NOTA[[#This Row],[NAMA BARANG]]="","",INDEX(NOTA[ID],MATCH(,INDIRECT(ADDRESS(ROW(NOTA[ID]),COLUMN(NOTA[ID]))&amp;":"&amp;ADDRESS(ROW(),COLUMN(NOTA[ID]))),-1)))</f>
        <v>157</v>
      </c>
      <c r="F824" s="23"/>
      <c r="G824" s="26"/>
      <c r="H824" s="26"/>
      <c r="I824" s="31"/>
      <c r="J824" s="26"/>
      <c r="K824" s="51"/>
      <c r="L824" s="26"/>
      <c r="M824" s="26" t="s">
        <v>429</v>
      </c>
      <c r="N824" s="39">
        <v>1</v>
      </c>
      <c r="O824" s="26">
        <v>144</v>
      </c>
      <c r="P824" s="26" t="s">
        <v>128</v>
      </c>
      <c r="Q824" s="49">
        <v>23900</v>
      </c>
      <c r="R824" s="52"/>
      <c r="S824" s="39" t="s">
        <v>264</v>
      </c>
      <c r="T824" s="53">
        <v>0.125</v>
      </c>
      <c r="U824" s="53">
        <v>0.05</v>
      </c>
      <c r="V824" s="54"/>
      <c r="W824" s="37"/>
      <c r="X824" s="54">
        <f>IF(NOTA[[#This Row],[HARGA/ CTN]]="",NOTA[[#This Row],[JUMLAH_H]],NOTA[[#This Row],[HARGA/ CTN]]*IF(NOTA[[#This Row],[C]]="",0,NOTA[[#This Row],[C]]))</f>
        <v>3441600</v>
      </c>
      <c r="Y824" s="54">
        <f>IF(NOTA[[#This Row],[JUMLAH]]="","",NOTA[[#This Row],[JUMLAH]]*NOTA[[#This Row],[DISC 1]])</f>
        <v>430200</v>
      </c>
      <c r="Z824" s="54">
        <f>IF(NOTA[[#This Row],[JUMLAH]]="","",(NOTA[[#This Row],[JUMLAH]]-NOTA[[#This Row],[DISC 1-]])*NOTA[[#This Row],[DISC 2]])</f>
        <v>150570</v>
      </c>
      <c r="AA824" s="54">
        <f>IF(NOTA[[#This Row],[JUMLAH]]="","",NOTA[[#This Row],[DISC 1-]]+NOTA[[#This Row],[DISC 2-]])</f>
        <v>580770</v>
      </c>
      <c r="AB824" s="54">
        <f>IF(NOTA[[#This Row],[JUMLAH]]="","",NOTA[[#This Row],[JUMLAH]]-NOTA[[#This Row],[DISC]])</f>
        <v>2860830</v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24" s="54">
        <f>IF(OR(NOTA[[#This Row],[QTY]]="",NOTA[[#This Row],[HARGA SATUAN]]="",),"",NOTA[[#This Row],[QTY]]*NOTA[[#This Row],[HARGA SATUAN]])</f>
        <v>3441600</v>
      </c>
      <c r="AG824" s="51">
        <f ca="1">IF(NOTA[ID_H]="","",INDEX(NOTA[TANGGAL],MATCH(,INDIRECT(ADDRESS(ROW(NOTA[TANGGAL]),COLUMN(NOTA[TANGGAL]))&amp;":"&amp;ADDRESS(ROW(),COLUMN(NOTA[TANGGAL]))),-1)))</f>
        <v>44956</v>
      </c>
      <c r="AH824" s="49" t="str">
        <f ca="1">IF(NOTA[[#This Row],[NAMA BARANG]]="","",INDEX(NOTA[SUPPLIER],MATCH(,INDIRECT(ADDRESS(ROW(NOTA[ID]),COLUMN(NOTA[ID]))&amp;":"&amp;ADDRESS(ROW(),COLUMN(NOTA[ID]))),-1)))</f>
        <v>ATALI MAKMUR</v>
      </c>
      <c r="AI824" s="49" t="str">
        <f ca="1">IF(NOTA[[#This Row],[ID_H]]="","",IF(NOTA[[#This Row],[FAKTUR]]="",INDIRECT(ADDRESS(ROW()-1,COLUMN())),NOTA[[#This Row],[FAKTUR]]))</f>
        <v>ARTO MORO</v>
      </c>
      <c r="AJ824" s="38" t="str">
        <f ca="1">IF(NOTA[[#This Row],[ID]]="","",COUNTIF(NOTA[ID_H],NOTA[[#This Row],[ID_H]]))</f>
        <v/>
      </c>
      <c r="AK824" s="38">
        <f ca="1">IF(NOTA[[#This Row],[TGL.NOTA]]="",IF(NOTA[[#This Row],[SUPPLIER_H]]="","",AK823),MONTH(NOTA[[#This Row],[TGL.NOTA]]))</f>
        <v>1</v>
      </c>
      <c r="AL824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824" s="38" t="str">
        <f>IF(NOTA[C]="",NOTA[[#This Row],[CONCAT1]]&amp;NOTA[[#This Row],[HARGA SATUAN]],NOTA[[#This Row],[CONCAT1]]&amp;NOTA[[#This Row],[HARGA/ CTN_H]]&amp;NOTA[[#This Row],[DISC 1]]&amp;NOTA[[#This Row],[DISC 2]])</f>
        <v>crayonputartwcr12sjk34416000.1250.05</v>
      </c>
      <c r="AN824" s="184">
        <f>IF(NOTA[[#This Row],[CONCAT1]]="","",MATCH(NOTA[[#This Row],[CONCAT1]],[1]!db[NB NOTA_C],0)+1)</f>
        <v>553</v>
      </c>
    </row>
    <row r="825" spans="1:40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Row],[CEK_EXP]]&lt;D824,"err","")</f>
        <v/>
      </c>
      <c r="D825" s="50">
        <f>IF(NOTA[[#This Row],[TANGGAL]]="",D824,NOTA[[#This Row],[TANGGAL]])</f>
        <v>44956</v>
      </c>
      <c r="E825" s="50">
        <f ca="1">IF(NOTA[[#This Row],[NAMA BARANG]]="","",INDEX(NOTA[ID],MATCH(,INDIRECT(ADDRESS(ROW(NOTA[ID]),COLUMN(NOTA[ID]))&amp;":"&amp;ADDRESS(ROW(),COLUMN(NOTA[ID]))),-1)))</f>
        <v>157</v>
      </c>
      <c r="F825" s="23"/>
      <c r="G825" s="26"/>
      <c r="H825" s="26"/>
      <c r="I825" s="31"/>
      <c r="J825" s="26"/>
      <c r="K825" s="51"/>
      <c r="L825" s="26"/>
      <c r="M825" s="26" t="s">
        <v>947</v>
      </c>
      <c r="N825" s="39">
        <v>1</v>
      </c>
      <c r="O825" s="26">
        <v>1000</v>
      </c>
      <c r="P825" s="26" t="s">
        <v>133</v>
      </c>
      <c r="Q825" s="49">
        <v>2050</v>
      </c>
      <c r="R825" s="52"/>
      <c r="S825" s="39" t="s">
        <v>436</v>
      </c>
      <c r="T825" s="53">
        <v>0.125</v>
      </c>
      <c r="U825" s="53">
        <v>0.05</v>
      </c>
      <c r="V825" s="54"/>
      <c r="W825" s="37"/>
      <c r="X825" s="54">
        <f>IF(NOTA[[#This Row],[HARGA/ CTN]]="",NOTA[[#This Row],[JUMLAH_H]],NOTA[[#This Row],[HARGA/ CTN]]*IF(NOTA[[#This Row],[C]]="",0,NOTA[[#This Row],[C]]))</f>
        <v>2050000</v>
      </c>
      <c r="Y825" s="54">
        <f>IF(NOTA[[#This Row],[JUMLAH]]="","",NOTA[[#This Row],[JUMLAH]]*NOTA[[#This Row],[DISC 1]])</f>
        <v>256250</v>
      </c>
      <c r="Z825" s="54">
        <f>IF(NOTA[[#This Row],[JUMLAH]]="","",(NOTA[[#This Row],[JUMLAH]]-NOTA[[#This Row],[DISC 1-]])*NOTA[[#This Row],[DISC 2]])</f>
        <v>89687.5</v>
      </c>
      <c r="AA825" s="54">
        <f>IF(NOTA[[#This Row],[JUMLAH]]="","",NOTA[[#This Row],[DISC 1-]]+NOTA[[#This Row],[DISC 2-]])</f>
        <v>345937.5</v>
      </c>
      <c r="AB825" s="54">
        <f>IF(NOTA[[#This Row],[JUMLAH]]="","",NOTA[[#This Row],[JUMLAH]]-NOTA[[#This Row],[DISC]])</f>
        <v>1704062.5</v>
      </c>
      <c r="AC8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4114867.5</v>
      </c>
      <c r="AD8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20269532.5</v>
      </c>
      <c r="AE825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25" s="54">
        <f>IF(OR(NOTA[[#This Row],[QTY]]="",NOTA[[#This Row],[HARGA SATUAN]]="",),"",NOTA[[#This Row],[QTY]]*NOTA[[#This Row],[HARGA SATUAN]])</f>
        <v>2050000</v>
      </c>
      <c r="AG825" s="51">
        <f ca="1">IF(NOTA[ID_H]="","",INDEX(NOTA[TANGGAL],MATCH(,INDIRECT(ADDRESS(ROW(NOTA[TANGGAL]),COLUMN(NOTA[TANGGAL]))&amp;":"&amp;ADDRESS(ROW(),COLUMN(NOTA[TANGGAL]))),-1)))</f>
        <v>44956</v>
      </c>
      <c r="AH825" s="49" t="str">
        <f ca="1">IF(NOTA[[#This Row],[NAMA BARANG]]="","",INDEX(NOTA[SUPPLIER],MATCH(,INDIRECT(ADDRESS(ROW(NOTA[ID]),COLUMN(NOTA[ID]))&amp;":"&amp;ADDRESS(ROW(),COLUMN(NOTA[ID]))),-1)))</f>
        <v>ATALI MAKMUR</v>
      </c>
      <c r="AI825" s="49" t="str">
        <f ca="1">IF(NOTA[[#This Row],[ID_H]]="","",IF(NOTA[[#This Row],[FAKTUR]]="",INDIRECT(ADDRESS(ROW()-1,COLUMN())),NOTA[[#This Row],[FAKTUR]]))</f>
        <v>ARTO MORO</v>
      </c>
      <c r="AJ825" s="38" t="str">
        <f ca="1">IF(NOTA[[#This Row],[ID]]="","",COUNTIF(NOTA[ID_H],NOTA[[#This Row],[ID_H]]))</f>
        <v/>
      </c>
      <c r="AK825" s="38">
        <f ca="1">IF(NOTA[[#This Row],[TGL.NOTA]]="",IF(NOTA[[#This Row],[SUPPLIER_H]]="","",AK824),MONTH(NOTA[[#This Row],[TGL.NOTA]]))</f>
        <v>1</v>
      </c>
      <c r="AL825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825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N825" s="184">
        <f>IF(NOTA[[#This Row],[CONCAT1]]="","",MATCH(NOTA[[#This Row],[CONCAT1]],[1]!db[NB NOTA_C],0)+1)</f>
        <v>1349</v>
      </c>
    </row>
    <row r="826" spans="1:40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Row],[CEK_EXP]]&lt;D825,"err","")</f>
        <v/>
      </c>
      <c r="D826" s="50">
        <f>IF(NOTA[[#This Row],[TANGGAL]]="",D825,NOTA[[#This Row],[TANGGAL]])</f>
        <v>44956</v>
      </c>
      <c r="E826" s="50" t="str">
        <f ca="1">IF(NOTA[[#This Row],[NAMA BARANG]]="","",INDEX(NOTA[ID],MATCH(,INDIRECT(ADDRESS(ROW(NOTA[ID]),COLUMN(NOTA[ID]))&amp;":"&amp;ADDRESS(ROW(),COLUMN(NOTA[ID]))),-1)))</f>
        <v/>
      </c>
      <c r="F826" s="23"/>
      <c r="G826" s="26"/>
      <c r="H826" s="26"/>
      <c r="I826" s="31"/>
      <c r="J826" s="26"/>
      <c r="K826" s="51"/>
      <c r="L826" s="26"/>
      <c r="M826" s="26"/>
      <c r="N826" s="39"/>
      <c r="O826" s="26"/>
      <c r="P826" s="26"/>
      <c r="Q826" s="49"/>
      <c r="R826" s="52"/>
      <c r="S826" s="39"/>
      <c r="T826" s="53"/>
      <c r="U826" s="53"/>
      <c r="V826" s="54"/>
      <c r="W826" s="37"/>
      <c r="X826" s="54" t="str">
        <f>IF(NOTA[[#This Row],[HARGA/ CTN]]="",NOTA[[#This Row],[JUMLAH_H]],NOTA[[#This Row],[HARGA/ CTN]]*IF(NOTA[[#This Row],[C]]="",0,NOTA[[#This Row],[C]]))</f>
        <v/>
      </c>
      <c r="Y826" s="54" t="str">
        <f>IF(NOTA[[#This Row],[JUMLAH]]="","",NOTA[[#This Row],[JUMLAH]]*NOTA[[#This Row],[DISC 1]])</f>
        <v/>
      </c>
      <c r="Z826" s="54" t="str">
        <f>IF(NOTA[[#This Row],[JUMLAH]]="","",(NOTA[[#This Row],[JUMLAH]]-NOTA[[#This Row],[DISC 1-]])*NOTA[[#This Row],[DISC 2]])</f>
        <v/>
      </c>
      <c r="AA826" s="54" t="str">
        <f>IF(NOTA[[#This Row],[JUMLAH]]="","",NOTA[[#This Row],[DISC 1-]]+NOTA[[#This Row],[DISC 2-]])</f>
        <v/>
      </c>
      <c r="AB826" s="54" t="str">
        <f>IF(NOTA[[#This Row],[JUMLAH]]="","",NOTA[[#This Row],[JUMLAH]]-NOTA[[#This Row],[DISC]])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54" t="str">
        <f>IF(OR(NOTA[[#This Row],[QTY]]="",NOTA[[#This Row],[HARGA SATUAN]]="",),"",NOTA[[#This Row],[QTY]]*NOTA[[#This Row],[HARGA SATUAN]])</f>
        <v/>
      </c>
      <c r="AG826" s="51" t="str">
        <f ca="1">IF(NOTA[ID_H]="","",INDEX(NOTA[TANGGAL],MATCH(,INDIRECT(ADDRESS(ROW(NOTA[TANGGAL]),COLUMN(NOTA[TANGGAL]))&amp;":"&amp;ADDRESS(ROW(),COLUMN(NOTA[TANGGAL]))),-1)))</f>
        <v/>
      </c>
      <c r="AH826" s="49" t="str">
        <f ca="1">IF(NOTA[[#This Row],[NAMA BARANG]]="","",INDEX(NOTA[SUPPLIER],MATCH(,INDIRECT(ADDRESS(ROW(NOTA[ID]),COLUMN(NOTA[ID]))&amp;":"&amp;ADDRESS(ROW(),COLUMN(NOTA[ID]))),-1)))</f>
        <v/>
      </c>
      <c r="AI826" s="49" t="str">
        <f ca="1">IF(NOTA[[#This Row],[ID_H]]="","",IF(NOTA[[#This Row],[FAKTUR]]="",INDIRECT(ADDRESS(ROW()-1,COLUMN())),NOTA[[#This Row],[FAKTUR]]))</f>
        <v/>
      </c>
      <c r="AJ826" s="38" t="str">
        <f ca="1">IF(NOTA[[#This Row],[ID]]="","",COUNTIF(NOTA[ID_H],NOTA[[#This Row],[ID_H]]))</f>
        <v/>
      </c>
      <c r="AK826" s="38" t="str">
        <f ca="1">IF(NOTA[[#This Row],[TGL.NOTA]]="",IF(NOTA[[#This Row],[SUPPLIER_H]]="","",AK825),MONTH(NOTA[[#This Row],[TGL.NOTA]]))</f>
        <v/>
      </c>
      <c r="AL826" s="38" t="str">
        <f>LOWER(SUBSTITUTE(SUBSTITUTE(SUBSTITUTE(SUBSTITUTE(SUBSTITUTE(SUBSTITUTE(SUBSTITUTE(SUBSTITUTE(SUBSTITUTE(NOTA[NAMA BARANG]," ",),".",""),"-",""),"(",""),")",""),",",""),"/",""),"""",""),"+",""))</f>
        <v/>
      </c>
      <c r="AM826" s="38" t="str">
        <f>IF(NOTA[C]="",NOTA[[#This Row],[CONCAT1]]&amp;NOTA[[#This Row],[HARGA SATUAN]],NOTA[[#This Row],[CONCAT1]]&amp;NOTA[[#This Row],[HARGA/ CTN_H]]&amp;NOTA[[#This Row],[DISC 1]]&amp;NOTA[[#This Row],[DISC 2]])</f>
        <v/>
      </c>
      <c r="AN826" s="184" t="str">
        <f>IF(NOTA[[#This Row],[CONCAT1]]="","",MATCH(NOTA[[#This Row],[CONCAT1]],[1]!db[NB NOTA_C],0)+1)</f>
        <v/>
      </c>
    </row>
    <row r="827" spans="1:40" ht="20.100000000000001" customHeight="1" x14ac:dyDescent="0.25">
      <c r="A827" s="49">
        <f ca="1">IF(INDIRECT(ADDRESS(ROW()-1,COLUMN(NOTA[[#Headers],[ID]])))="ID",1,IF(NOTA[[#This Row],[FAKTUR]]="","",COUNT(INDIRECT(ADDRESS(ROW(NOTA[ID]),COLUMN(NOTA[ID]))&amp;":"&amp;ADDRESS(ROW()-1,COLUMN(NOTA[ID]))))+1))</f>
        <v>158</v>
      </c>
      <c r="B82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KEN_3001_870-7</v>
      </c>
      <c r="C827" s="50" t="str">
        <f>IF(NOTA[[#This Row],[CEK_EXP]]&lt;D826,"err","")</f>
        <v/>
      </c>
      <c r="D827" s="50">
        <f>IF(NOTA[[#This Row],[TANGGAL]]="",D826,NOTA[[#This Row],[TANGGAL]])</f>
        <v>44956</v>
      </c>
      <c r="E827" s="50">
        <f ca="1">IF(NOTA[[#This Row],[NAMA BARANG]]="","",INDEX(NOTA[ID],MATCH(,INDIRECT(ADDRESS(ROW(NOTA[ID]),COLUMN(NOTA[ID]))&amp;":"&amp;ADDRESS(ROW(),COLUMN(NOTA[ID]))),-1)))</f>
        <v>158</v>
      </c>
      <c r="F827" s="23"/>
      <c r="G827" s="26" t="s">
        <v>23</v>
      </c>
      <c r="H827" s="26" t="s">
        <v>24</v>
      </c>
      <c r="I827" s="31" t="s">
        <v>948</v>
      </c>
      <c r="J827" s="26"/>
      <c r="K827" s="51">
        <v>44953</v>
      </c>
      <c r="L827" s="26"/>
      <c r="M827" s="26" t="s">
        <v>949</v>
      </c>
      <c r="N827" s="39">
        <v>3</v>
      </c>
      <c r="O827" s="26"/>
      <c r="P827" s="26"/>
      <c r="Q827" s="49"/>
      <c r="R827" s="52">
        <v>1440000</v>
      </c>
      <c r="S827" s="39" t="s">
        <v>910</v>
      </c>
      <c r="T827" s="53">
        <v>0.17</v>
      </c>
      <c r="U827" s="53"/>
      <c r="V827" s="54"/>
      <c r="W827" s="37"/>
      <c r="X827" s="54">
        <f>IF(NOTA[[#This Row],[HARGA/ CTN]]="",NOTA[[#This Row],[JUMLAH_H]],NOTA[[#This Row],[HARGA/ CTN]]*IF(NOTA[[#This Row],[C]]="",0,NOTA[[#This Row],[C]]))</f>
        <v>4320000</v>
      </c>
      <c r="Y827" s="54">
        <f>IF(NOTA[[#This Row],[JUMLAH]]="","",NOTA[[#This Row],[JUMLAH]]*NOTA[[#This Row],[DISC 1]])</f>
        <v>734400</v>
      </c>
      <c r="Z827" s="54">
        <f>IF(NOTA[[#This Row],[JUMLAH]]="","",(NOTA[[#This Row],[JUMLAH]]-NOTA[[#This Row],[DISC 1-]])*NOTA[[#This Row],[DISC 2]])</f>
        <v>0</v>
      </c>
      <c r="AA827" s="54">
        <f>IF(NOTA[[#This Row],[JUMLAH]]="","",NOTA[[#This Row],[DISC 1-]]+NOTA[[#This Row],[DISC 2-]])</f>
        <v>734400</v>
      </c>
      <c r="AB827" s="54">
        <f>IF(NOTA[[#This Row],[JUMLAH]]="","",NOTA[[#This Row],[JUMLAH]]-NOTA[[#This Row],[DISC]])</f>
        <v>3585600</v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827" s="54" t="str">
        <f>IF(OR(NOTA[[#This Row],[QTY]]="",NOTA[[#This Row],[HARGA SATUAN]]="",),"",NOTA[[#This Row],[QTY]]*NOTA[[#This Row],[HARGA SATUAN]])</f>
        <v/>
      </c>
      <c r="AG827" s="51">
        <f ca="1">IF(NOTA[ID_H]="","",INDEX(NOTA[TANGGAL],MATCH(,INDIRECT(ADDRESS(ROW(NOTA[TANGGAL]),COLUMN(NOTA[TANGGAL]))&amp;":"&amp;ADDRESS(ROW(),COLUMN(NOTA[TANGGAL]))),-1)))</f>
        <v>44956</v>
      </c>
      <c r="AH827" s="49" t="str">
        <f ca="1">IF(NOTA[[#This Row],[NAMA BARANG]]="","",INDEX(NOTA[SUPPLIER],MATCH(,INDIRECT(ADDRESS(ROW(NOTA[ID]),COLUMN(NOTA[ID]))&amp;":"&amp;ADDRESS(ROW(),COLUMN(NOTA[ID]))),-1)))</f>
        <v>KENKO SINAR INDONESIA</v>
      </c>
      <c r="AI827" s="49" t="str">
        <f ca="1">IF(NOTA[[#This Row],[ID_H]]="","",IF(NOTA[[#This Row],[FAKTUR]]="",INDIRECT(ADDRESS(ROW()-1,COLUMN())),NOTA[[#This Row],[FAKTUR]]))</f>
        <v>ARTO MORO</v>
      </c>
      <c r="AJ827" s="38">
        <f ca="1">IF(NOTA[[#This Row],[ID]]="","",COUNTIF(NOTA[ID_H],NOTA[[#This Row],[ID_H]]))</f>
        <v>7</v>
      </c>
      <c r="AK827" s="38">
        <f>IF(NOTA[[#This Row],[TGL.NOTA]]="",IF(NOTA[[#This Row],[SUPPLIER_H]]="","",AK826),MONTH(NOTA[[#This Row],[TGL.NOTA]]))</f>
        <v>1</v>
      </c>
      <c r="AL82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827" s="38" t="str">
        <f>IF(NOTA[C]="",NOTA[[#This Row],[CONCAT1]]&amp;NOTA[[#This Row],[HARGA SATUAN]],NOTA[[#This Row],[CONCAT1]]&amp;NOTA[[#This Row],[HARGA/ CTN_H]]&amp;NOTA[[#This Row],[DISC 1]]&amp;NOTA[[#This Row],[DISC 2]])</f>
        <v>kenkobinderclipno10514400000.17</v>
      </c>
      <c r="AN827" s="184">
        <f>IF(NOTA[[#This Row],[CONCAT1]]="","",MATCH(NOTA[[#This Row],[CONCAT1]],[1]!db[NB NOTA_C],0)+1)</f>
        <v>1049</v>
      </c>
    </row>
    <row r="828" spans="1:40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Row],[CEK_EXP]]&lt;D827,"err","")</f>
        <v/>
      </c>
      <c r="D828" s="50">
        <f>IF(NOTA[[#This Row],[TANGGAL]]="",D827,NOTA[[#This Row],[TANGGAL]])</f>
        <v>44956</v>
      </c>
      <c r="E828" s="50">
        <f ca="1">IF(NOTA[[#This Row],[NAMA BARANG]]="","",INDEX(NOTA[ID],MATCH(,INDIRECT(ADDRESS(ROW(NOTA[ID]),COLUMN(NOTA[ID]))&amp;":"&amp;ADDRESS(ROW(),COLUMN(NOTA[ID]))),-1)))</f>
        <v>158</v>
      </c>
      <c r="F828" s="23"/>
      <c r="G828" s="26"/>
      <c r="H828" s="26"/>
      <c r="I828" s="31"/>
      <c r="J828" s="26"/>
      <c r="K828" s="51"/>
      <c r="L828" s="26"/>
      <c r="M828" s="26" t="s">
        <v>926</v>
      </c>
      <c r="N828" s="39">
        <v>3</v>
      </c>
      <c r="O828" s="26"/>
      <c r="P828" s="26"/>
      <c r="Q828" s="49"/>
      <c r="R828" s="52">
        <v>1590000</v>
      </c>
      <c r="S828" s="39" t="s">
        <v>910</v>
      </c>
      <c r="T828" s="53">
        <v>0.17</v>
      </c>
      <c r="U828" s="53"/>
      <c r="V828" s="54"/>
      <c r="W828" s="37"/>
      <c r="X828" s="54">
        <f>IF(NOTA[[#This Row],[HARGA/ CTN]]="",NOTA[[#This Row],[JUMLAH_H]],NOTA[[#This Row],[HARGA/ CTN]]*IF(NOTA[[#This Row],[C]]="",0,NOTA[[#This Row],[C]]))</f>
        <v>4770000</v>
      </c>
      <c r="Y828" s="54">
        <f>IF(NOTA[[#This Row],[JUMLAH]]="","",NOTA[[#This Row],[JUMLAH]]*NOTA[[#This Row],[DISC 1]])</f>
        <v>810900.00000000012</v>
      </c>
      <c r="Z828" s="54">
        <f>IF(NOTA[[#This Row],[JUMLAH]]="","",(NOTA[[#This Row],[JUMLAH]]-NOTA[[#This Row],[DISC 1-]])*NOTA[[#This Row],[DISC 2]])</f>
        <v>0</v>
      </c>
      <c r="AA828" s="54">
        <f>IF(NOTA[[#This Row],[JUMLAH]]="","",NOTA[[#This Row],[DISC 1-]]+NOTA[[#This Row],[DISC 2-]])</f>
        <v>810900.00000000012</v>
      </c>
      <c r="AB828" s="54">
        <f>IF(NOTA[[#This Row],[JUMLAH]]="","",NOTA[[#This Row],[JUMLAH]]-NOTA[[#This Row],[DISC]])</f>
        <v>3959100</v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828" s="54" t="str">
        <f>IF(OR(NOTA[[#This Row],[QTY]]="",NOTA[[#This Row],[HARGA SATUAN]]="",),"",NOTA[[#This Row],[QTY]]*NOTA[[#This Row],[HARGA SATUAN]])</f>
        <v/>
      </c>
      <c r="AG828" s="51">
        <f ca="1">IF(NOTA[ID_H]="","",INDEX(NOTA[TANGGAL],MATCH(,INDIRECT(ADDRESS(ROW(NOTA[TANGGAL]),COLUMN(NOTA[TANGGAL]))&amp;":"&amp;ADDRESS(ROW(),COLUMN(NOTA[TANGGAL]))),-1)))</f>
        <v>44956</v>
      </c>
      <c r="AH828" s="49" t="str">
        <f ca="1">IF(NOTA[[#This Row],[NAMA BARANG]]="","",INDEX(NOTA[SUPPLIER],MATCH(,INDIRECT(ADDRESS(ROW(NOTA[ID]),COLUMN(NOTA[ID]))&amp;":"&amp;ADDRESS(ROW(),COLUMN(NOTA[ID]))),-1)))</f>
        <v>KENKO SINAR INDONESIA</v>
      </c>
      <c r="AI828" s="49" t="str">
        <f ca="1">IF(NOTA[[#This Row],[ID_H]]="","",IF(NOTA[[#This Row],[FAKTUR]]="",INDIRECT(ADDRESS(ROW()-1,COLUMN())),NOTA[[#This Row],[FAKTUR]]))</f>
        <v>ARTO MORO</v>
      </c>
      <c r="AJ828" s="38" t="str">
        <f ca="1">IF(NOTA[[#This Row],[ID]]="","",COUNTIF(NOTA[ID_H],NOTA[[#This Row],[ID_H]]))</f>
        <v/>
      </c>
      <c r="AK828" s="38">
        <f ca="1">IF(NOTA[[#This Row],[TGL.NOTA]]="",IF(NOTA[[#This Row],[SUPPLIER_H]]="","",AK827),MONTH(NOTA[[#This Row],[TGL.NOTA]]))</f>
        <v>1</v>
      </c>
      <c r="AL82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828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N828" s="184">
        <f>IF(NOTA[[#This Row],[CONCAT1]]="","",MATCH(NOTA[[#This Row],[CONCAT1]],[1]!db[NB NOTA_C],0)+1)</f>
        <v>1050</v>
      </c>
    </row>
    <row r="829" spans="1:40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Row],[CEK_EXP]]&lt;D828,"err","")</f>
        <v/>
      </c>
      <c r="D829" s="50">
        <f>IF(NOTA[[#This Row],[TANGGAL]]="",D828,NOTA[[#This Row],[TANGGAL]])</f>
        <v>44956</v>
      </c>
      <c r="E829" s="50">
        <f ca="1">IF(NOTA[[#This Row],[NAMA BARANG]]="","",INDEX(NOTA[ID],MATCH(,INDIRECT(ADDRESS(ROW(NOTA[ID]),COLUMN(NOTA[ID]))&amp;":"&amp;ADDRESS(ROW(),COLUMN(NOTA[ID]))),-1)))</f>
        <v>158</v>
      </c>
      <c r="F829" s="23"/>
      <c r="G829" s="26"/>
      <c r="H829" s="26"/>
      <c r="I829" s="31"/>
      <c r="J829" s="26"/>
      <c r="K829" s="51"/>
      <c r="L829" s="26"/>
      <c r="M829" s="26" t="s">
        <v>360</v>
      </c>
      <c r="N829" s="39">
        <v>3</v>
      </c>
      <c r="O829" s="26"/>
      <c r="P829" s="26"/>
      <c r="Q829" s="49"/>
      <c r="R829" s="52">
        <v>1476000</v>
      </c>
      <c r="S829" s="39" t="s">
        <v>370</v>
      </c>
      <c r="T829" s="53">
        <v>0.17</v>
      </c>
      <c r="U829" s="53"/>
      <c r="V829" s="54"/>
      <c r="W829" s="37"/>
      <c r="X829" s="54">
        <f>IF(NOTA[[#This Row],[HARGA/ CTN]]="",NOTA[[#This Row],[JUMLAH_H]],NOTA[[#This Row],[HARGA/ CTN]]*IF(NOTA[[#This Row],[C]]="",0,NOTA[[#This Row],[C]]))</f>
        <v>4428000</v>
      </c>
      <c r="Y829" s="54">
        <f>IF(NOTA[[#This Row],[JUMLAH]]="","",NOTA[[#This Row],[JUMLAH]]*NOTA[[#This Row],[DISC 1]])</f>
        <v>752760</v>
      </c>
      <c r="Z829" s="54">
        <f>IF(NOTA[[#This Row],[JUMLAH]]="","",(NOTA[[#This Row],[JUMLAH]]-NOTA[[#This Row],[DISC 1-]])*NOTA[[#This Row],[DISC 2]])</f>
        <v>0</v>
      </c>
      <c r="AA829" s="54">
        <f>IF(NOTA[[#This Row],[JUMLAH]]="","",NOTA[[#This Row],[DISC 1-]]+NOTA[[#This Row],[DISC 2-]])</f>
        <v>752760</v>
      </c>
      <c r="AB829" s="54">
        <f>IF(NOTA[[#This Row],[JUMLAH]]="","",NOTA[[#This Row],[JUMLAH]]-NOTA[[#This Row],[DISC]])</f>
        <v>3675240</v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829" s="54" t="str">
        <f>IF(OR(NOTA[[#This Row],[QTY]]="",NOTA[[#This Row],[HARGA SATUAN]]="",),"",NOTA[[#This Row],[QTY]]*NOTA[[#This Row],[HARGA SATUAN]])</f>
        <v/>
      </c>
      <c r="AG829" s="51">
        <f ca="1">IF(NOTA[ID_H]="","",INDEX(NOTA[TANGGAL],MATCH(,INDIRECT(ADDRESS(ROW(NOTA[TANGGAL]),COLUMN(NOTA[TANGGAL]))&amp;":"&amp;ADDRESS(ROW(),COLUMN(NOTA[TANGGAL]))),-1)))</f>
        <v>44956</v>
      </c>
      <c r="AH829" s="49" t="str">
        <f ca="1">IF(NOTA[[#This Row],[NAMA BARANG]]="","",INDEX(NOTA[SUPPLIER],MATCH(,INDIRECT(ADDRESS(ROW(NOTA[ID]),COLUMN(NOTA[ID]))&amp;":"&amp;ADDRESS(ROW(),COLUMN(NOTA[ID]))),-1)))</f>
        <v>KENKO SINAR INDONESIA</v>
      </c>
      <c r="AI829" s="49" t="str">
        <f ca="1">IF(NOTA[[#This Row],[ID_H]]="","",IF(NOTA[[#This Row],[FAKTUR]]="",INDIRECT(ADDRESS(ROW()-1,COLUMN())),NOTA[[#This Row],[FAKTUR]]))</f>
        <v>ARTO MORO</v>
      </c>
      <c r="AJ829" s="38" t="str">
        <f ca="1">IF(NOTA[[#This Row],[ID]]="","",COUNTIF(NOTA[ID_H],NOTA[[#This Row],[ID_H]]))</f>
        <v/>
      </c>
      <c r="AK829" s="38">
        <f ca="1">IF(NOTA[[#This Row],[TGL.NOTA]]="",IF(NOTA[[#This Row],[SUPPLIER_H]]="","",AK828),MONTH(NOTA[[#This Row],[TGL.NOTA]]))</f>
        <v>1</v>
      </c>
      <c r="AL829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829" s="38" t="str">
        <f>IF(NOTA[C]="",NOTA[[#This Row],[CONCAT1]]&amp;NOTA[[#This Row],[HARGA SATUAN]],NOTA[[#This Row],[CONCAT1]]&amp;NOTA[[#This Row],[HARGA/ CTN_H]]&amp;NOTA[[#This Row],[DISC 1]]&amp;NOTA[[#This Row],[DISC 2]])</f>
        <v>kenkobinderclipno11114760000.17</v>
      </c>
      <c r="AN829" s="184">
        <f>IF(NOTA[[#This Row],[CONCAT1]]="","",MATCH(NOTA[[#This Row],[CONCAT1]],[1]!db[NB NOTA_C],0)+1)</f>
        <v>1051</v>
      </c>
    </row>
    <row r="830" spans="1:40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Row],[CEK_EXP]]&lt;D829,"err","")</f>
        <v/>
      </c>
      <c r="D830" s="50">
        <f>IF(NOTA[[#This Row],[TANGGAL]]="",D829,NOTA[[#This Row],[TANGGAL]])</f>
        <v>44956</v>
      </c>
      <c r="E830" s="50">
        <f ca="1">IF(NOTA[[#This Row],[NAMA BARANG]]="","",INDEX(NOTA[ID],MATCH(,INDIRECT(ADDRESS(ROW(NOTA[ID]),COLUMN(NOTA[ID]))&amp;":"&amp;ADDRESS(ROW(),COLUMN(NOTA[ID]))),-1)))</f>
        <v>158</v>
      </c>
      <c r="F830" s="23"/>
      <c r="G830" s="26"/>
      <c r="H830" s="26"/>
      <c r="I830" s="31"/>
      <c r="J830" s="26"/>
      <c r="K830" s="51"/>
      <c r="L830" s="26"/>
      <c r="M830" s="26" t="s">
        <v>919</v>
      </c>
      <c r="N830" s="39">
        <v>1</v>
      </c>
      <c r="O830" s="26"/>
      <c r="P830" s="26"/>
      <c r="Q830" s="72"/>
      <c r="R830" s="52">
        <v>1380000</v>
      </c>
      <c r="S830" s="39" t="s">
        <v>136</v>
      </c>
      <c r="T830" s="53">
        <v>0.17</v>
      </c>
      <c r="U830" s="53"/>
      <c r="V830" s="54"/>
      <c r="W830" s="37"/>
      <c r="X830" s="54">
        <f>IF(NOTA[[#This Row],[HARGA/ CTN]]="",NOTA[[#This Row],[JUMLAH_H]],NOTA[[#This Row],[HARGA/ CTN]]*IF(NOTA[[#This Row],[C]]="",0,NOTA[[#This Row],[C]]))</f>
        <v>1380000</v>
      </c>
      <c r="Y830" s="54">
        <f>IF(NOTA[[#This Row],[JUMLAH]]="","",NOTA[[#This Row],[JUMLAH]]*NOTA[[#This Row],[DISC 1]])</f>
        <v>234600.00000000003</v>
      </c>
      <c r="Z830" s="54">
        <f>IF(NOTA[[#This Row],[JUMLAH]]="","",(NOTA[[#This Row],[JUMLAH]]-NOTA[[#This Row],[DISC 1-]])*NOTA[[#This Row],[DISC 2]])</f>
        <v>0</v>
      </c>
      <c r="AA830" s="54">
        <f>IF(NOTA[[#This Row],[JUMLAH]]="","",NOTA[[#This Row],[DISC 1-]]+NOTA[[#This Row],[DISC 2-]])</f>
        <v>234600.00000000003</v>
      </c>
      <c r="AB830" s="54">
        <f>IF(NOTA[[#This Row],[JUMLAH]]="","",NOTA[[#This Row],[JUMLAH]]-NOTA[[#This Row],[DISC]])</f>
        <v>1145400</v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830" s="54" t="str">
        <f>IF(OR(NOTA[[#This Row],[QTY]]="",NOTA[[#This Row],[HARGA SATUAN]]="",),"",NOTA[[#This Row],[QTY]]*NOTA[[#This Row],[HARGA SATUAN]])</f>
        <v/>
      </c>
      <c r="AG830" s="51">
        <f ca="1">IF(NOTA[ID_H]="","",INDEX(NOTA[TANGGAL],MATCH(,INDIRECT(ADDRESS(ROW(NOTA[TANGGAL]),COLUMN(NOTA[TANGGAL]))&amp;":"&amp;ADDRESS(ROW(),COLUMN(NOTA[TANGGAL]))),-1)))</f>
        <v>44956</v>
      </c>
      <c r="AH830" s="49" t="str">
        <f ca="1">IF(NOTA[[#This Row],[NAMA BARANG]]="","",INDEX(NOTA[SUPPLIER],MATCH(,INDIRECT(ADDRESS(ROW(NOTA[ID]),COLUMN(NOTA[ID]))&amp;":"&amp;ADDRESS(ROW(),COLUMN(NOTA[ID]))),-1)))</f>
        <v>KENKO SINAR INDONESIA</v>
      </c>
      <c r="AI830" s="49" t="str">
        <f ca="1">IF(NOTA[[#This Row],[ID_H]]="","",IF(NOTA[[#This Row],[FAKTUR]]="",INDIRECT(ADDRESS(ROW()-1,COLUMN())),NOTA[[#This Row],[FAKTUR]]))</f>
        <v>ARTO MORO</v>
      </c>
      <c r="AJ830" s="38" t="str">
        <f ca="1">IF(NOTA[[#This Row],[ID]]="","",COUNTIF(NOTA[ID_H],NOTA[[#This Row],[ID_H]]))</f>
        <v/>
      </c>
      <c r="AK830" s="38">
        <f ca="1">IF(NOTA[[#This Row],[TGL.NOTA]]="",IF(NOTA[[#This Row],[SUPPLIER_H]]="","",AK829),MONTH(NOTA[[#This Row],[TGL.NOTA]]))</f>
        <v>1</v>
      </c>
      <c r="AL830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830" s="38" t="str">
        <f>IF(NOTA[C]="",NOTA[[#This Row],[CONCAT1]]&amp;NOTA[[#This Row],[HARGA SATUAN]],NOTA[[#This Row],[CONCAT1]]&amp;NOTA[[#This Row],[HARGA/ CTN_H]]&amp;NOTA[[#This Row],[DISC 1]]&amp;NOTA[[#This Row],[DISC 2]])</f>
        <v>kenkobinderclipno15513800000.17</v>
      </c>
      <c r="AN830" s="184">
        <f>IF(NOTA[[#This Row],[CONCAT1]]="","",MATCH(NOTA[[#This Row],[CONCAT1]],[1]!db[NB NOTA_C],0)+1)</f>
        <v>1052</v>
      </c>
    </row>
    <row r="831" spans="1:40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Row],[CEK_EXP]]&lt;D830,"err","")</f>
        <v/>
      </c>
      <c r="D831" s="50">
        <f>IF(NOTA[[#This Row],[TANGGAL]]="",D830,NOTA[[#This Row],[TANGGAL]])</f>
        <v>44956</v>
      </c>
      <c r="E831" s="50">
        <f ca="1">IF(NOTA[[#This Row],[NAMA BARANG]]="","",INDEX(NOTA[ID],MATCH(,INDIRECT(ADDRESS(ROW(NOTA[ID]),COLUMN(NOTA[ID]))&amp;":"&amp;ADDRESS(ROW(),COLUMN(NOTA[ID]))),-1)))</f>
        <v>158</v>
      </c>
      <c r="F831" s="23"/>
      <c r="G831" s="26"/>
      <c r="H831" s="26"/>
      <c r="I831" s="31"/>
      <c r="J831" s="26"/>
      <c r="K831" s="51"/>
      <c r="L831" s="26"/>
      <c r="M831" s="26" t="s">
        <v>920</v>
      </c>
      <c r="N831" s="39">
        <v>4</v>
      </c>
      <c r="O831" s="26"/>
      <c r="P831" s="26"/>
      <c r="Q831" s="49"/>
      <c r="R831" s="52">
        <v>1200000</v>
      </c>
      <c r="S831" s="39" t="s">
        <v>900</v>
      </c>
      <c r="T831" s="53">
        <v>0.17</v>
      </c>
      <c r="U831" s="53"/>
      <c r="V831" s="54"/>
      <c r="W831" s="37"/>
      <c r="X831" s="54">
        <f>IF(NOTA[[#This Row],[HARGA/ CTN]]="",NOTA[[#This Row],[JUMLAH_H]],NOTA[[#This Row],[HARGA/ CTN]]*IF(NOTA[[#This Row],[C]]="",0,NOTA[[#This Row],[C]]))</f>
        <v>4800000</v>
      </c>
      <c r="Y831" s="54">
        <f>IF(NOTA[[#This Row],[JUMLAH]]="","",NOTA[[#This Row],[JUMLAH]]*NOTA[[#This Row],[DISC 1]])</f>
        <v>816000.00000000012</v>
      </c>
      <c r="Z831" s="54">
        <f>IF(NOTA[[#This Row],[JUMLAH]]="","",(NOTA[[#This Row],[JUMLAH]]-NOTA[[#This Row],[DISC 1-]])*NOTA[[#This Row],[DISC 2]])</f>
        <v>0</v>
      </c>
      <c r="AA831" s="54">
        <f>IF(NOTA[[#This Row],[JUMLAH]]="","",NOTA[[#This Row],[DISC 1-]]+NOTA[[#This Row],[DISC 2-]])</f>
        <v>816000.00000000012</v>
      </c>
      <c r="AB831" s="54">
        <f>IF(NOTA[[#This Row],[JUMLAH]]="","",NOTA[[#This Row],[JUMLAH]]-NOTA[[#This Row],[DISC]])</f>
        <v>3984000</v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831" s="54" t="str">
        <f>IF(OR(NOTA[[#This Row],[QTY]]="",NOTA[[#This Row],[HARGA SATUAN]]="",),"",NOTA[[#This Row],[QTY]]*NOTA[[#This Row],[HARGA SATUAN]])</f>
        <v/>
      </c>
      <c r="AG831" s="51">
        <f ca="1">IF(NOTA[ID_H]="","",INDEX(NOTA[TANGGAL],MATCH(,INDIRECT(ADDRESS(ROW(NOTA[TANGGAL]),COLUMN(NOTA[TANGGAL]))&amp;":"&amp;ADDRESS(ROW(),COLUMN(NOTA[TANGGAL]))),-1)))</f>
        <v>44956</v>
      </c>
      <c r="AH831" s="49" t="str">
        <f ca="1">IF(NOTA[[#This Row],[NAMA BARANG]]="","",INDEX(NOTA[SUPPLIER],MATCH(,INDIRECT(ADDRESS(ROW(NOTA[ID]),COLUMN(NOTA[ID]))&amp;":"&amp;ADDRESS(ROW(),COLUMN(NOTA[ID]))),-1)))</f>
        <v>KENKO SINAR INDONESIA</v>
      </c>
      <c r="AI831" s="49" t="str">
        <f ca="1">IF(NOTA[[#This Row],[ID_H]]="","",IF(NOTA[[#This Row],[FAKTUR]]="",INDIRECT(ADDRESS(ROW()-1,COLUMN())),NOTA[[#This Row],[FAKTUR]]))</f>
        <v>ARTO MORO</v>
      </c>
      <c r="AJ831" s="38" t="str">
        <f ca="1">IF(NOTA[[#This Row],[ID]]="","",COUNTIF(NOTA[ID_H],NOTA[[#This Row],[ID_H]]))</f>
        <v/>
      </c>
      <c r="AK831" s="38">
        <f ca="1">IF(NOTA[[#This Row],[TGL.NOTA]]="",IF(NOTA[[#This Row],[SUPPLIER_H]]="","",AK830),MONTH(NOTA[[#This Row],[TGL.NOTA]]))</f>
        <v>1</v>
      </c>
      <c r="AL831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831" s="38" t="str">
        <f>IF(NOTA[C]="",NOTA[[#This Row],[CONCAT1]]&amp;NOTA[[#This Row],[HARGA SATUAN]],NOTA[[#This Row],[CONCAT1]]&amp;NOTA[[#This Row],[HARGA/ CTN_H]]&amp;NOTA[[#This Row],[DISC 1]]&amp;NOTA[[#This Row],[DISC 2]])</f>
        <v>kenkobinderclipno20012000000.17</v>
      </c>
      <c r="AN831" s="184">
        <f>IF(NOTA[[#This Row],[CONCAT1]]="","",MATCH(NOTA[[#This Row],[CONCAT1]],[1]!db[NB NOTA_C],0)+1)</f>
        <v>1053</v>
      </c>
    </row>
    <row r="832" spans="1:40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Row],[CEK_EXP]]&lt;D831,"err","")</f>
        <v/>
      </c>
      <c r="D832" s="50">
        <f>IF(NOTA[[#This Row],[TANGGAL]]="",D831,NOTA[[#This Row],[TANGGAL]])</f>
        <v>44956</v>
      </c>
      <c r="E832" s="50">
        <f ca="1">IF(NOTA[[#This Row],[NAMA BARANG]]="","",INDEX(NOTA[ID],MATCH(,INDIRECT(ADDRESS(ROW(NOTA[ID]),COLUMN(NOTA[ID]))&amp;":"&amp;ADDRESS(ROW(),COLUMN(NOTA[ID]))),-1)))</f>
        <v>158</v>
      </c>
      <c r="F832" s="23"/>
      <c r="G832" s="26"/>
      <c r="H832" s="26"/>
      <c r="I832" s="31"/>
      <c r="J832" s="26"/>
      <c r="K832" s="51"/>
      <c r="L832" s="26"/>
      <c r="M832" s="26" t="s">
        <v>396</v>
      </c>
      <c r="N832" s="39">
        <v>2</v>
      </c>
      <c r="O832" s="26"/>
      <c r="P832" s="26"/>
      <c r="Q832" s="49"/>
      <c r="R832" s="52">
        <v>900000</v>
      </c>
      <c r="S832" s="39" t="s">
        <v>950</v>
      </c>
      <c r="T832" s="53">
        <v>0.17</v>
      </c>
      <c r="U832" s="53"/>
      <c r="V832" s="54"/>
      <c r="W832" s="37"/>
      <c r="X832" s="54">
        <f>IF(NOTA[[#This Row],[HARGA/ CTN]]="",NOTA[[#This Row],[JUMLAH_H]],NOTA[[#This Row],[HARGA/ CTN]]*IF(NOTA[[#This Row],[C]]="",0,NOTA[[#This Row],[C]]))</f>
        <v>1800000</v>
      </c>
      <c r="Y832" s="54">
        <f>IF(NOTA[[#This Row],[JUMLAH]]="","",NOTA[[#This Row],[JUMLAH]]*NOTA[[#This Row],[DISC 1]])</f>
        <v>306000</v>
      </c>
      <c r="Z832" s="54">
        <f>IF(NOTA[[#This Row],[JUMLAH]]="","",(NOTA[[#This Row],[JUMLAH]]-NOTA[[#This Row],[DISC 1-]])*NOTA[[#This Row],[DISC 2]])</f>
        <v>0</v>
      </c>
      <c r="AA832" s="54">
        <f>IF(NOTA[[#This Row],[JUMLAH]]="","",NOTA[[#This Row],[DISC 1-]]+NOTA[[#This Row],[DISC 2-]])</f>
        <v>306000</v>
      </c>
      <c r="AB832" s="54">
        <f>IF(NOTA[[#This Row],[JUMLAH]]="","",NOTA[[#This Row],[JUMLAH]]-NOTA[[#This Row],[DISC]])</f>
        <v>1494000</v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32" s="54" t="str">
        <f>IF(OR(NOTA[[#This Row],[QTY]]="",NOTA[[#This Row],[HARGA SATUAN]]="",),"",NOTA[[#This Row],[QTY]]*NOTA[[#This Row],[HARGA SATUAN]])</f>
        <v/>
      </c>
      <c r="AG832" s="51">
        <f ca="1">IF(NOTA[ID_H]="","",INDEX(NOTA[TANGGAL],MATCH(,INDIRECT(ADDRESS(ROW(NOTA[TANGGAL]),COLUMN(NOTA[TANGGAL]))&amp;":"&amp;ADDRESS(ROW(),COLUMN(NOTA[TANGGAL]))),-1)))</f>
        <v>44956</v>
      </c>
      <c r="AH832" s="49" t="str">
        <f ca="1">IF(NOTA[[#This Row],[NAMA BARANG]]="","",INDEX(NOTA[SUPPLIER],MATCH(,INDIRECT(ADDRESS(ROW(NOTA[ID]),COLUMN(NOTA[ID]))&amp;":"&amp;ADDRESS(ROW(),COLUMN(NOTA[ID]))),-1)))</f>
        <v>KENKO SINAR INDONESIA</v>
      </c>
      <c r="AI832" s="49" t="str">
        <f ca="1">IF(NOTA[[#This Row],[ID_H]]="","",IF(NOTA[[#This Row],[FAKTUR]]="",INDIRECT(ADDRESS(ROW()-1,COLUMN())),NOTA[[#This Row],[FAKTUR]]))</f>
        <v>ARTO MORO</v>
      </c>
      <c r="AJ832" s="38" t="str">
        <f ca="1">IF(NOTA[[#This Row],[ID]]="","",COUNTIF(NOTA[ID_H],NOTA[[#This Row],[ID_H]]))</f>
        <v/>
      </c>
      <c r="AK832" s="38">
        <f ca="1">IF(NOTA[[#This Row],[TGL.NOTA]]="",IF(NOTA[[#This Row],[SUPPLIER_H]]="","",AK831),MONTH(NOTA[[#This Row],[TGL.NOTA]]))</f>
        <v>1</v>
      </c>
      <c r="AL832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832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N832" s="184">
        <f>IF(NOTA[[#This Row],[CONCAT1]]="","",MATCH(NOTA[[#This Row],[CONCAT1]],[1]!db[NB NOTA_C],0)+1)</f>
        <v>1054</v>
      </c>
    </row>
    <row r="833" spans="1:40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Row],[CEK_EXP]]&lt;D832,"err","")</f>
        <v/>
      </c>
      <c r="D833" s="50">
        <f>IF(NOTA[[#This Row],[TANGGAL]]="",D832,NOTA[[#This Row],[TANGGAL]])</f>
        <v>44956</v>
      </c>
      <c r="E833" s="50">
        <f ca="1">IF(NOTA[[#This Row],[NAMA BARANG]]="","",INDEX(NOTA[ID],MATCH(,INDIRECT(ADDRESS(ROW(NOTA[ID]),COLUMN(NOTA[ID]))&amp;":"&amp;ADDRESS(ROW(),COLUMN(NOTA[ID]))),-1)))</f>
        <v>158</v>
      </c>
      <c r="F833" s="23"/>
      <c r="G833" s="26"/>
      <c r="H833" s="26"/>
      <c r="I833" s="31"/>
      <c r="J833" s="26"/>
      <c r="K833" s="51"/>
      <c r="L833" s="26"/>
      <c r="M833" s="26" t="s">
        <v>741</v>
      </c>
      <c r="N833" s="39">
        <v>2</v>
      </c>
      <c r="O833" s="26"/>
      <c r="P833" s="26"/>
      <c r="Q833" s="49"/>
      <c r="R833" s="52">
        <v>2592000</v>
      </c>
      <c r="S833" s="39" t="s">
        <v>951</v>
      </c>
      <c r="T833" s="53">
        <v>0.17</v>
      </c>
      <c r="U833" s="53"/>
      <c r="V833" s="54"/>
      <c r="W833" s="37"/>
      <c r="X833" s="54">
        <f>IF(NOTA[[#This Row],[HARGA/ CTN]]="",NOTA[[#This Row],[JUMLAH_H]],NOTA[[#This Row],[HARGA/ CTN]]*IF(NOTA[[#This Row],[C]]="",0,NOTA[[#This Row],[C]]))</f>
        <v>5184000</v>
      </c>
      <c r="Y833" s="54">
        <f>IF(NOTA[[#This Row],[JUMLAH]]="","",NOTA[[#This Row],[JUMLAH]]*NOTA[[#This Row],[DISC 1]])</f>
        <v>881280.00000000012</v>
      </c>
      <c r="Z833" s="54">
        <f>IF(NOTA[[#This Row],[JUMLAH]]="","",(NOTA[[#This Row],[JUMLAH]]-NOTA[[#This Row],[DISC 1-]])*NOTA[[#This Row],[DISC 2]])</f>
        <v>0</v>
      </c>
      <c r="AA833" s="54">
        <f>IF(NOTA[[#This Row],[JUMLAH]]="","",NOTA[[#This Row],[DISC 1-]]+NOTA[[#This Row],[DISC 2-]])</f>
        <v>881280.00000000012</v>
      </c>
      <c r="AB833" s="54">
        <f>IF(NOTA[[#This Row],[JUMLAH]]="","",NOTA[[#This Row],[JUMLAH]]-NOTA[[#This Row],[DISC]])</f>
        <v>4302720</v>
      </c>
      <c r="AC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4535940</v>
      </c>
      <c r="AD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22146060</v>
      </c>
      <c r="AE83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33" s="54" t="str">
        <f>IF(OR(NOTA[[#This Row],[QTY]]="",NOTA[[#This Row],[HARGA SATUAN]]="",),"",NOTA[[#This Row],[QTY]]*NOTA[[#This Row],[HARGA SATUAN]])</f>
        <v/>
      </c>
      <c r="AG833" s="51">
        <f ca="1">IF(NOTA[ID_H]="","",INDEX(NOTA[TANGGAL],MATCH(,INDIRECT(ADDRESS(ROW(NOTA[TANGGAL]),COLUMN(NOTA[TANGGAL]))&amp;":"&amp;ADDRESS(ROW(),COLUMN(NOTA[TANGGAL]))),-1)))</f>
        <v>44956</v>
      </c>
      <c r="AH833" s="49" t="str">
        <f ca="1">IF(NOTA[[#This Row],[NAMA BARANG]]="","",INDEX(NOTA[SUPPLIER],MATCH(,INDIRECT(ADDRESS(ROW(NOTA[ID]),COLUMN(NOTA[ID]))&amp;":"&amp;ADDRESS(ROW(),COLUMN(NOTA[ID]))),-1)))</f>
        <v>KENKO SINAR INDONESIA</v>
      </c>
      <c r="AI833" s="49" t="str">
        <f ca="1">IF(NOTA[[#This Row],[ID_H]]="","",IF(NOTA[[#This Row],[FAKTUR]]="",INDIRECT(ADDRESS(ROW()-1,COLUMN())),NOTA[[#This Row],[FAKTUR]]))</f>
        <v>ARTO MORO</v>
      </c>
      <c r="AJ833" s="38" t="str">
        <f ca="1">IF(NOTA[[#This Row],[ID]]="","",COUNTIF(NOTA[ID_H],NOTA[[#This Row],[ID_H]]))</f>
        <v/>
      </c>
      <c r="AK833" s="38">
        <f ca="1">IF(NOTA[[#This Row],[TGL.NOTA]]="",IF(NOTA[[#This Row],[SUPPLIER_H]]="","",AK832),MONTH(NOTA[[#This Row],[TGL.NOTA]]))</f>
        <v>1</v>
      </c>
      <c r="AL83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833" s="38" t="str">
        <f>IF(NOTA[C]="",NOTA[[#This Row],[CONCAT1]]&amp;NOTA[[#This Row],[HARGA SATUAN]],NOTA[[#This Row],[CONCAT1]]&amp;NOTA[[#This Row],[HARGA/ CTN_H]]&amp;NOTA[[#This Row],[DISC 1]]&amp;NOTA[[#This Row],[DISC 2]])</f>
        <v>kenkogluestick15grmedium25920000.17</v>
      </c>
      <c r="AN833" s="184">
        <f>IF(NOTA[[#This Row],[CONCAT1]]="","",MATCH(NOTA[[#This Row],[CONCAT1]],[1]!db[NB NOTA_C],0)+1)</f>
        <v>1188</v>
      </c>
    </row>
    <row r="834" spans="1:40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Row],[CEK_EXP]]&lt;D833,"err","")</f>
        <v/>
      </c>
      <c r="D834" s="50">
        <f>IF(NOTA[[#This Row],[TANGGAL]]="",D833,NOTA[[#This Row],[TANGGAL]])</f>
        <v>44956</v>
      </c>
      <c r="E834" s="50" t="str">
        <f ca="1">IF(NOTA[[#This Row],[NAMA BARANG]]="","",INDEX(NOTA[ID],MATCH(,INDIRECT(ADDRESS(ROW(NOTA[ID]),COLUMN(NOTA[ID]))&amp;":"&amp;ADDRESS(ROW(),COLUMN(NOTA[ID]))),-1)))</f>
        <v/>
      </c>
      <c r="F834" s="23"/>
      <c r="G834" s="26"/>
      <c r="H834" s="26"/>
      <c r="I834" s="31"/>
      <c r="J834" s="26"/>
      <c r="K834" s="51"/>
      <c r="L834" s="26"/>
      <c r="M834" s="26"/>
      <c r="N834" s="39"/>
      <c r="O834" s="26"/>
      <c r="P834" s="26"/>
      <c r="Q834" s="49"/>
      <c r="R834" s="52"/>
      <c r="S834" s="39"/>
      <c r="T834" s="53"/>
      <c r="U834" s="53"/>
      <c r="V834" s="54"/>
      <c r="W834" s="37"/>
      <c r="X834" s="54" t="str">
        <f>IF(NOTA[[#This Row],[HARGA/ CTN]]="",NOTA[[#This Row],[JUMLAH_H]],NOTA[[#This Row],[HARGA/ CTN]]*IF(NOTA[[#This Row],[C]]="",0,NOTA[[#This Row],[C]]))</f>
        <v/>
      </c>
      <c r="Y834" s="54" t="str">
        <f>IF(NOTA[[#This Row],[JUMLAH]]="","",NOTA[[#This Row],[JUMLAH]]*NOTA[[#This Row],[DISC 1]])</f>
        <v/>
      </c>
      <c r="Z834" s="54" t="str">
        <f>IF(NOTA[[#This Row],[JUMLAH]]="","",(NOTA[[#This Row],[JUMLAH]]-NOTA[[#This Row],[DISC 1-]])*NOTA[[#This Row],[DISC 2]])</f>
        <v/>
      </c>
      <c r="AA834" s="54" t="str">
        <f>IF(NOTA[[#This Row],[JUMLAH]]="","",NOTA[[#This Row],[DISC 1-]]+NOTA[[#This Row],[DISC 2-]])</f>
        <v/>
      </c>
      <c r="AB834" s="54" t="str">
        <f>IF(NOTA[[#This Row],[JUMLAH]]="","",NOTA[[#This Row],[JUMLAH]]-NOTA[[#This Row],[DISC]])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54" t="str">
        <f>IF(OR(NOTA[[#This Row],[QTY]]="",NOTA[[#This Row],[HARGA SATUAN]]="",),"",NOTA[[#This Row],[QTY]]*NOTA[[#This Row],[HARGA SATUAN]])</f>
        <v/>
      </c>
      <c r="AG834" s="51" t="str">
        <f ca="1">IF(NOTA[ID_H]="","",INDEX(NOTA[TANGGAL],MATCH(,INDIRECT(ADDRESS(ROW(NOTA[TANGGAL]),COLUMN(NOTA[TANGGAL]))&amp;":"&amp;ADDRESS(ROW(),COLUMN(NOTA[TANGGAL]))),-1)))</f>
        <v/>
      </c>
      <c r="AH834" s="49" t="str">
        <f ca="1">IF(NOTA[[#This Row],[NAMA BARANG]]="","",INDEX(NOTA[SUPPLIER],MATCH(,INDIRECT(ADDRESS(ROW(NOTA[ID]),COLUMN(NOTA[ID]))&amp;":"&amp;ADDRESS(ROW(),COLUMN(NOTA[ID]))),-1)))</f>
        <v/>
      </c>
      <c r="AI834" s="49" t="str">
        <f ca="1">IF(NOTA[[#This Row],[ID_H]]="","",IF(NOTA[[#This Row],[FAKTUR]]="",INDIRECT(ADDRESS(ROW()-1,COLUMN())),NOTA[[#This Row],[FAKTUR]]))</f>
        <v/>
      </c>
      <c r="AJ834" s="38" t="str">
        <f ca="1">IF(NOTA[[#This Row],[ID]]="","",COUNTIF(NOTA[ID_H],NOTA[[#This Row],[ID_H]]))</f>
        <v/>
      </c>
      <c r="AK834" s="38" t="str">
        <f ca="1">IF(NOTA[[#This Row],[TGL.NOTA]]="",IF(NOTA[[#This Row],[SUPPLIER_H]]="","",AK833),MONTH(NOTA[[#This Row],[TGL.NOTA]]))</f>
        <v/>
      </c>
      <c r="AL834" s="38" t="str">
        <f>LOWER(SUBSTITUTE(SUBSTITUTE(SUBSTITUTE(SUBSTITUTE(SUBSTITUTE(SUBSTITUTE(SUBSTITUTE(SUBSTITUTE(SUBSTITUTE(NOTA[NAMA BARANG]," ",),".",""),"-",""),"(",""),")",""),",",""),"/",""),"""",""),"+",""))</f>
        <v/>
      </c>
      <c r="AM83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34" s="184" t="str">
        <f>IF(NOTA[[#This Row],[CONCAT1]]="","",MATCH(NOTA[[#This Row],[CONCAT1]],[1]!db[NB NOTA_C],0)+1)</f>
        <v/>
      </c>
    </row>
    <row r="835" spans="1:40" ht="20.100000000000001" customHeight="1" x14ac:dyDescent="0.25">
      <c r="A835" s="49">
        <f ca="1">IF(INDIRECT(ADDRESS(ROW()-1,COLUMN(NOTA[[#Headers],[ID]])))="ID",1,IF(NOTA[[#This Row],[FAKTUR]]="","",COUNT(INDIRECT(ADDRESS(ROW(NOTA[ID]),COLUMN(NOTA[ID]))&amp;":"&amp;ADDRESS(ROW()-1,COLUMN(NOTA[ID]))))+1))</f>
        <v>159</v>
      </c>
      <c r="B8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HAN_3101_340-4</v>
      </c>
      <c r="C835" s="50" t="str">
        <f>IF(NOTA[[#This Row],[CEK_EXP]]&lt;D834,"err","")</f>
        <v/>
      </c>
      <c r="D835" s="50">
        <f>IF(NOTA[[#This Row],[TANGGAL]]="",D834,NOTA[[#This Row],[TANGGAL]])</f>
        <v>44957</v>
      </c>
      <c r="E835" s="50">
        <f ca="1">IF(NOTA[[#This Row],[NAMA BARANG]]="","",INDEX(NOTA[ID],MATCH(,INDIRECT(ADDRESS(ROW(NOTA[ID]),COLUMN(NOTA[ID]))&amp;":"&amp;ADDRESS(ROW(),COLUMN(NOTA[ID]))),-1)))</f>
        <v>159</v>
      </c>
      <c r="F835" s="23">
        <v>44957</v>
      </c>
      <c r="G835" s="26" t="s">
        <v>285</v>
      </c>
      <c r="H835" s="26" t="s">
        <v>87</v>
      </c>
      <c r="I835" s="31" t="s">
        <v>952</v>
      </c>
      <c r="J835" s="26"/>
      <c r="K835" s="51">
        <v>44957</v>
      </c>
      <c r="L835" s="26"/>
      <c r="M835" s="26" t="s">
        <v>718</v>
      </c>
      <c r="N835" s="39"/>
      <c r="O835" s="26">
        <v>12</v>
      </c>
      <c r="P835" s="26" t="s">
        <v>104</v>
      </c>
      <c r="Q835" s="49">
        <v>1450</v>
      </c>
      <c r="R835" s="52"/>
      <c r="S835" s="39"/>
      <c r="T835" s="53"/>
      <c r="U835" s="53"/>
      <c r="V835" s="54"/>
      <c r="W835" s="37"/>
      <c r="X835" s="54">
        <f>IF(NOTA[[#This Row],[HARGA/ CTN]]="",NOTA[[#This Row],[JUMLAH_H]],NOTA[[#This Row],[HARGA/ CTN]]*IF(NOTA[[#This Row],[C]]="",0,NOTA[[#This Row],[C]]))</f>
        <v>17400</v>
      </c>
      <c r="Y835" s="54">
        <f>IF(NOTA[[#This Row],[JUMLAH]]="","",NOTA[[#This Row],[JUMLAH]]*NOTA[[#This Row],[DISC 1]])</f>
        <v>0</v>
      </c>
      <c r="Z835" s="54">
        <f>IF(NOTA[[#This Row],[JUMLAH]]="","",(NOTA[[#This Row],[JUMLAH]]-NOTA[[#This Row],[DISC 1-]])*NOTA[[#This Row],[DISC 2]])</f>
        <v>0</v>
      </c>
      <c r="AA835" s="54">
        <f>IF(NOTA[[#This Row],[JUMLAH]]="","",NOTA[[#This Row],[DISC 1-]]+NOTA[[#This Row],[DISC 2-]])</f>
        <v>0</v>
      </c>
      <c r="AB835" s="54">
        <f>IF(NOTA[[#This Row],[JUMLAH]]="","",NOTA[[#This Row],[JUMLAH]]-NOTA[[#This Row],[DISC]])</f>
        <v>17400</v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49">
        <f>IF(NOTA[[#This Row],[NAMA BARANG]]="","",IF(NOTA[[#This Row],[JUMLAH_H]]="",NOTA[[#This Row],[HARGA/ CTN]],NOTA[[#This Row],[QTY]]*NOTA[[#This Row],[HARGA SATUAN]]/IF(ISNUMBER(NOTA[[#This Row],[C]]),NOTA[[#This Row],[C]],1)))</f>
        <v>17400</v>
      </c>
      <c r="AF835" s="54">
        <f>IF(OR(NOTA[[#This Row],[QTY]]="",NOTA[[#This Row],[HARGA SATUAN]]="",),"",NOTA[[#This Row],[QTY]]*NOTA[[#This Row],[HARGA SATUAN]])</f>
        <v>17400</v>
      </c>
      <c r="AG835" s="51">
        <f ca="1">IF(NOTA[ID_H]="","",INDEX(NOTA[TANGGAL],MATCH(,INDIRECT(ADDRESS(ROW(NOTA[TANGGAL]),COLUMN(NOTA[TANGGAL]))&amp;":"&amp;ADDRESS(ROW(),COLUMN(NOTA[TANGGAL]))),-1)))</f>
        <v>44957</v>
      </c>
      <c r="AH835" s="49" t="str">
        <f ca="1">IF(NOTA[[#This Row],[NAMA BARANG]]="","",INDEX(NOTA[SUPPLIER],MATCH(,INDIRECT(ADDRESS(ROW(NOTA[ID]),COLUMN(NOTA[ID]))&amp;":"&amp;ADDRESS(ROW(),COLUMN(NOTA[ID]))),-1)))</f>
        <v>HANSA</v>
      </c>
      <c r="AI835" s="49" t="str">
        <f ca="1">IF(NOTA[[#This Row],[ID_H]]="","",IF(NOTA[[#This Row],[FAKTUR]]="",INDIRECT(ADDRESS(ROW()-1,COLUMN())),NOTA[[#This Row],[FAKTUR]]))</f>
        <v>UNTANA</v>
      </c>
      <c r="AJ835" s="38">
        <f ca="1">IF(NOTA[[#This Row],[ID]]="","",COUNTIF(NOTA[ID_H],NOTA[[#This Row],[ID_H]]))</f>
        <v>4</v>
      </c>
      <c r="AK835" s="38">
        <f>IF(NOTA[[#This Row],[TGL.NOTA]]="",IF(NOTA[[#This Row],[SUPPLIER_H]]="","",#REF!),MONTH(NOTA[[#This Row],[TGL.NOTA]]))</f>
        <v>1</v>
      </c>
      <c r="AL835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835" s="38" t="str">
        <f>IF(NOTA[C]="",NOTA[[#This Row],[CONCAT1]]&amp;NOTA[[#This Row],[HARGA SATUAN]],NOTA[[#This Row],[CONCAT1]]&amp;NOTA[[#This Row],[HARGA/ CTN_H]]&amp;NOTA[[#This Row],[DISC 1]]&amp;NOTA[[#This Row],[DISC 2]])</f>
        <v>malamshintoengk1wpolos1450</v>
      </c>
      <c r="AN835" s="184">
        <f>IF(NOTA[[#This Row],[CONCAT1]]="","",MATCH(NOTA[[#This Row],[CONCAT1]],[1]!db[NB NOTA_C],0)+1)</f>
        <v>1432</v>
      </c>
    </row>
    <row r="836" spans="1:40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Row],[CEK_EXP]]&lt;D835,"err","")</f>
        <v/>
      </c>
      <c r="D836" s="50">
        <f>IF(NOTA[[#This Row],[TANGGAL]]="",D835,NOTA[[#This Row],[TANGGAL]])</f>
        <v>44957</v>
      </c>
      <c r="E836" s="50">
        <f ca="1">IF(NOTA[[#This Row],[NAMA BARANG]]="","",INDEX(NOTA[ID],MATCH(,INDIRECT(ADDRESS(ROW(NOTA[ID]),COLUMN(NOTA[ID]))&amp;":"&amp;ADDRESS(ROW(),COLUMN(NOTA[ID]))),-1)))</f>
        <v>159</v>
      </c>
      <c r="F836" s="23"/>
      <c r="G836" s="26"/>
      <c r="H836" s="26"/>
      <c r="I836" s="31"/>
      <c r="J836" s="26"/>
      <c r="K836" s="51"/>
      <c r="L836" s="26"/>
      <c r="M836" s="26" t="s">
        <v>717</v>
      </c>
      <c r="N836" s="39"/>
      <c r="O836" s="26">
        <v>12</v>
      </c>
      <c r="P836" s="26" t="s">
        <v>104</v>
      </c>
      <c r="Q836" s="49">
        <v>1450</v>
      </c>
      <c r="R836" s="52"/>
      <c r="S836" s="39"/>
      <c r="T836" s="53"/>
      <c r="U836" s="53"/>
      <c r="V836" s="54"/>
      <c r="W836" s="37"/>
      <c r="X836" s="54">
        <f>IF(NOTA[[#This Row],[HARGA/ CTN]]="",NOTA[[#This Row],[JUMLAH_H]],NOTA[[#This Row],[HARGA/ CTN]]*IF(NOTA[[#This Row],[C]]="",0,NOTA[[#This Row],[C]]))</f>
        <v>17400</v>
      </c>
      <c r="Y836" s="54">
        <f>IF(NOTA[[#This Row],[JUMLAH]]="","",NOTA[[#This Row],[JUMLAH]]*NOTA[[#This Row],[DISC 1]])</f>
        <v>0</v>
      </c>
      <c r="Z836" s="54">
        <f>IF(NOTA[[#This Row],[JUMLAH]]="","",(NOTA[[#This Row],[JUMLAH]]-NOTA[[#This Row],[DISC 1-]])*NOTA[[#This Row],[DISC 2]])</f>
        <v>0</v>
      </c>
      <c r="AA836" s="54">
        <f>IF(NOTA[[#This Row],[JUMLAH]]="","",NOTA[[#This Row],[DISC 1-]]+NOTA[[#This Row],[DISC 2-]])</f>
        <v>0</v>
      </c>
      <c r="AB836" s="54">
        <f>IF(NOTA[[#This Row],[JUMLAH]]="","",NOTA[[#This Row],[JUMLAH]]-NOTA[[#This Row],[DISC]])</f>
        <v>17400</v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49">
        <f>IF(NOTA[[#This Row],[NAMA BARANG]]="","",IF(NOTA[[#This Row],[JUMLAH_H]]="",NOTA[[#This Row],[HARGA/ CTN]],NOTA[[#This Row],[QTY]]*NOTA[[#This Row],[HARGA SATUAN]]/IF(ISNUMBER(NOTA[[#This Row],[C]]),NOTA[[#This Row],[C]],1)))</f>
        <v>17400</v>
      </c>
      <c r="AF836" s="54">
        <f>IF(OR(NOTA[[#This Row],[QTY]]="",NOTA[[#This Row],[HARGA SATUAN]]="",),"",NOTA[[#This Row],[QTY]]*NOTA[[#This Row],[HARGA SATUAN]])</f>
        <v>17400</v>
      </c>
      <c r="AG836" s="51">
        <f ca="1">IF(NOTA[ID_H]="","",INDEX(NOTA[TANGGAL],MATCH(,INDIRECT(ADDRESS(ROW(NOTA[TANGGAL]),COLUMN(NOTA[TANGGAL]))&amp;":"&amp;ADDRESS(ROW(),COLUMN(NOTA[TANGGAL]))),-1)))</f>
        <v>44957</v>
      </c>
      <c r="AH836" s="49" t="str">
        <f ca="1">IF(NOTA[[#This Row],[NAMA BARANG]]="","",INDEX(NOTA[SUPPLIER],MATCH(,INDIRECT(ADDRESS(ROW(NOTA[ID]),COLUMN(NOTA[ID]))&amp;":"&amp;ADDRESS(ROW(),COLUMN(NOTA[ID]))),-1)))</f>
        <v>HANSA</v>
      </c>
      <c r="AI836" s="49" t="str">
        <f ca="1">IF(NOTA[[#This Row],[ID_H]]="","",IF(NOTA[[#This Row],[FAKTUR]]="",INDIRECT(ADDRESS(ROW()-1,COLUMN())),NOTA[[#This Row],[FAKTUR]]))</f>
        <v>UNTANA</v>
      </c>
      <c r="AJ836" s="38" t="str">
        <f ca="1">IF(NOTA[[#This Row],[ID]]="","",COUNTIF(NOTA[ID_H],NOTA[[#This Row],[ID_H]]))</f>
        <v/>
      </c>
      <c r="AK836" s="38">
        <f ca="1">IF(NOTA[[#This Row],[TGL.NOTA]]="",IF(NOTA[[#This Row],[SUPPLIER_H]]="","",AK835),MONTH(NOTA[[#This Row],[TGL.NOTA]]))</f>
        <v>1</v>
      </c>
      <c r="AL83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836" s="38" t="str">
        <f>IF(NOTA[C]="",NOTA[[#This Row],[CONCAT1]]&amp;NOTA[[#This Row],[HARGA SATUAN]],NOTA[[#This Row],[CONCAT1]]&amp;NOTA[[#This Row],[HARGA/ CTN_H]]&amp;NOTA[[#This Row],[DISC 1]]&amp;NOTA[[#This Row],[DISC 2]])</f>
        <v>malamshintoengk612w1450</v>
      </c>
      <c r="AN836" s="184">
        <f>IF(NOTA[[#This Row],[CONCAT1]]="","",MATCH(NOTA[[#This Row],[CONCAT1]],[1]!db[NB NOTA_C],0)+1)</f>
        <v>1433</v>
      </c>
    </row>
    <row r="837" spans="1:40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Row],[CEK_EXP]]&lt;D836,"err","")</f>
        <v/>
      </c>
      <c r="D837" s="50">
        <f>IF(NOTA[[#This Row],[TANGGAL]]="",D836,NOTA[[#This Row],[TANGGAL]])</f>
        <v>44957</v>
      </c>
      <c r="E837" s="50">
        <f ca="1">IF(NOTA[[#This Row],[NAMA BARANG]]="","",INDEX(NOTA[ID],MATCH(,INDIRECT(ADDRESS(ROW(NOTA[ID]),COLUMN(NOTA[ID]))&amp;":"&amp;ADDRESS(ROW(),COLUMN(NOTA[ID]))),-1)))</f>
        <v>159</v>
      </c>
      <c r="F837" s="23"/>
      <c r="G837" s="26"/>
      <c r="H837" s="26"/>
      <c r="I837" s="31"/>
      <c r="J837" s="26"/>
      <c r="K837" s="51"/>
      <c r="L837" s="26"/>
      <c r="M837" s="26" t="s">
        <v>721</v>
      </c>
      <c r="N837" s="39"/>
      <c r="O837" s="26">
        <v>10</v>
      </c>
      <c r="P837" s="26" t="s">
        <v>104</v>
      </c>
      <c r="Q837" s="49">
        <v>5200</v>
      </c>
      <c r="R837" s="52"/>
      <c r="S837" s="39"/>
      <c r="T837" s="53"/>
      <c r="U837" s="53"/>
      <c r="V837" s="54"/>
      <c r="W837" s="37"/>
      <c r="X837" s="54">
        <f>IF(NOTA[[#This Row],[HARGA/ CTN]]="",NOTA[[#This Row],[JUMLAH_H]],NOTA[[#This Row],[HARGA/ CTN]]*IF(NOTA[[#This Row],[C]]="",0,NOTA[[#This Row],[C]]))</f>
        <v>52000</v>
      </c>
      <c r="Y837" s="54">
        <f>IF(NOTA[[#This Row],[JUMLAH]]="","",NOTA[[#This Row],[JUMLAH]]*NOTA[[#This Row],[DISC 1]])</f>
        <v>0</v>
      </c>
      <c r="Z837" s="54">
        <f>IF(NOTA[[#This Row],[JUMLAH]]="","",(NOTA[[#This Row],[JUMLAH]]-NOTA[[#This Row],[DISC 1-]])*NOTA[[#This Row],[DISC 2]])</f>
        <v>0</v>
      </c>
      <c r="AA837" s="54">
        <f>IF(NOTA[[#This Row],[JUMLAH]]="","",NOTA[[#This Row],[DISC 1-]]+NOTA[[#This Row],[DISC 2-]])</f>
        <v>0</v>
      </c>
      <c r="AB837" s="54">
        <f>IF(NOTA[[#This Row],[JUMLAH]]="","",NOTA[[#This Row],[JUMLAH]]-NOTA[[#This Row],[DISC]])</f>
        <v>52000</v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49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837" s="54">
        <f>IF(OR(NOTA[[#This Row],[QTY]]="",NOTA[[#This Row],[HARGA SATUAN]]="",),"",NOTA[[#This Row],[QTY]]*NOTA[[#This Row],[HARGA SATUAN]])</f>
        <v>52000</v>
      </c>
      <c r="AG837" s="51">
        <f ca="1">IF(NOTA[ID_H]="","",INDEX(NOTA[TANGGAL],MATCH(,INDIRECT(ADDRESS(ROW(NOTA[TANGGAL]),COLUMN(NOTA[TANGGAL]))&amp;":"&amp;ADDRESS(ROW(),COLUMN(NOTA[TANGGAL]))),-1)))</f>
        <v>44957</v>
      </c>
      <c r="AH837" s="49" t="str">
        <f ca="1">IF(NOTA[[#This Row],[NAMA BARANG]]="","",INDEX(NOTA[SUPPLIER],MATCH(,INDIRECT(ADDRESS(ROW(NOTA[ID]),COLUMN(NOTA[ID]))&amp;":"&amp;ADDRESS(ROW(),COLUMN(NOTA[ID]))),-1)))</f>
        <v>HANSA</v>
      </c>
      <c r="AI837" s="49" t="str">
        <f ca="1">IF(NOTA[[#This Row],[ID_H]]="","",IF(NOTA[[#This Row],[FAKTUR]]="",INDIRECT(ADDRESS(ROW()-1,COLUMN())),NOTA[[#This Row],[FAKTUR]]))</f>
        <v>UNTANA</v>
      </c>
      <c r="AJ837" s="38" t="str">
        <f ca="1">IF(NOTA[[#This Row],[ID]]="","",COUNTIF(NOTA[ID_H],NOTA[[#This Row],[ID_H]]))</f>
        <v/>
      </c>
      <c r="AK837" s="38">
        <f ca="1">IF(NOTA[[#This Row],[TGL.NOTA]]="",IF(NOTA[[#This Row],[SUPPLIER_H]]="","",AK836),MONTH(NOTA[[#This Row],[TGL.NOTA]]))</f>
        <v>1</v>
      </c>
      <c r="AL837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837" s="38" t="str">
        <f>IF(NOTA[C]="",NOTA[[#This Row],[CONCAT1]]&amp;NOTA[[#This Row],[HARGA SATUAN]],NOTA[[#This Row],[CONCAT1]]&amp;NOTA[[#This Row],[HARGA/ CTN_H]]&amp;NOTA[[#This Row],[DISC 1]]&amp;NOTA[[#This Row],[DISC 2]])</f>
        <v>malamshintoengb1wpolos5200</v>
      </c>
      <c r="AN837" s="184">
        <f>IF(NOTA[[#This Row],[CONCAT1]]="","",MATCH(NOTA[[#This Row],[CONCAT1]],[1]!db[NB NOTA_C],0)+1)</f>
        <v>1430</v>
      </c>
    </row>
    <row r="838" spans="1:40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Row],[CEK_EXP]]&lt;D837,"err","")</f>
        <v/>
      </c>
      <c r="D838" s="50">
        <f>IF(NOTA[[#This Row],[TANGGAL]]="",D837,NOTA[[#This Row],[TANGGAL]])</f>
        <v>44957</v>
      </c>
      <c r="E838" s="50">
        <f ca="1">IF(NOTA[[#This Row],[NAMA BARANG]]="","",INDEX(NOTA[ID],MATCH(,INDIRECT(ADDRESS(ROW(NOTA[ID]),COLUMN(NOTA[ID]))&amp;":"&amp;ADDRESS(ROW(),COLUMN(NOTA[ID]))),-1)))</f>
        <v>159</v>
      </c>
      <c r="F838" s="23"/>
      <c r="G838" s="26"/>
      <c r="H838" s="26"/>
      <c r="I838" s="31"/>
      <c r="J838" s="26"/>
      <c r="K838" s="51"/>
      <c r="L838" s="26"/>
      <c r="M838" s="26" t="s">
        <v>722</v>
      </c>
      <c r="N838" s="39"/>
      <c r="O838" s="26">
        <v>10</v>
      </c>
      <c r="P838" s="26" t="s">
        <v>104</v>
      </c>
      <c r="Q838" s="49">
        <v>5500</v>
      </c>
      <c r="R838" s="52"/>
      <c r="S838" s="39"/>
      <c r="T838" s="53"/>
      <c r="U838" s="53"/>
      <c r="V838" s="54"/>
      <c r="W838" s="37"/>
      <c r="X838" s="54">
        <f>IF(NOTA[[#This Row],[HARGA/ CTN]]="",NOTA[[#This Row],[JUMLAH_H]],NOTA[[#This Row],[HARGA/ CTN]]*IF(NOTA[[#This Row],[C]]="",0,NOTA[[#This Row],[C]]))</f>
        <v>55000</v>
      </c>
      <c r="Y838" s="54">
        <f>IF(NOTA[[#This Row],[JUMLAH]]="","",NOTA[[#This Row],[JUMLAH]]*NOTA[[#This Row],[DISC 1]])</f>
        <v>0</v>
      </c>
      <c r="Z838" s="54">
        <f>IF(NOTA[[#This Row],[JUMLAH]]="","",(NOTA[[#This Row],[JUMLAH]]-NOTA[[#This Row],[DISC 1-]])*NOTA[[#This Row],[DISC 2]])</f>
        <v>0</v>
      </c>
      <c r="AA838" s="54">
        <f>IF(NOTA[[#This Row],[JUMLAH]]="","",NOTA[[#This Row],[DISC 1-]]+NOTA[[#This Row],[DISC 2-]])</f>
        <v>0</v>
      </c>
      <c r="AB838" s="54">
        <f>IF(NOTA[[#This Row],[JUMLAH]]="","",NOTA[[#This Row],[JUMLAH]]-NOTA[[#This Row],[DISC]])</f>
        <v>55000</v>
      </c>
      <c r="AC8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141800</v>
      </c>
      <c r="AE838" s="49">
        <f>IF(NOTA[[#This Row],[NAMA BARANG]]="","",IF(NOTA[[#This Row],[JUMLAH_H]]="",NOTA[[#This Row],[HARGA/ CTN]],NOTA[[#This Row],[QTY]]*NOTA[[#This Row],[HARGA SATUAN]]/IF(ISNUMBER(NOTA[[#This Row],[C]]),NOTA[[#This Row],[C]],1)))</f>
        <v>55000</v>
      </c>
      <c r="AF838" s="54">
        <f>IF(OR(NOTA[[#This Row],[QTY]]="",NOTA[[#This Row],[HARGA SATUAN]]="",),"",NOTA[[#This Row],[QTY]]*NOTA[[#This Row],[HARGA SATUAN]])</f>
        <v>55000</v>
      </c>
      <c r="AG838" s="51">
        <f ca="1">IF(NOTA[ID_H]="","",INDEX(NOTA[TANGGAL],MATCH(,INDIRECT(ADDRESS(ROW(NOTA[TANGGAL]),COLUMN(NOTA[TANGGAL]))&amp;":"&amp;ADDRESS(ROW(),COLUMN(NOTA[TANGGAL]))),-1)))</f>
        <v>44957</v>
      </c>
      <c r="AH838" s="49" t="str">
        <f ca="1">IF(NOTA[[#This Row],[NAMA BARANG]]="","",INDEX(NOTA[SUPPLIER],MATCH(,INDIRECT(ADDRESS(ROW(NOTA[ID]),COLUMN(NOTA[ID]))&amp;":"&amp;ADDRESS(ROW(),COLUMN(NOTA[ID]))),-1)))</f>
        <v>HANSA</v>
      </c>
      <c r="AI838" s="49" t="str">
        <f ca="1">IF(NOTA[[#This Row],[ID_H]]="","",IF(NOTA[[#This Row],[FAKTUR]]="",INDIRECT(ADDRESS(ROW()-1,COLUMN())),NOTA[[#This Row],[FAKTUR]]))</f>
        <v>UNTANA</v>
      </c>
      <c r="AJ838" s="38" t="str">
        <f ca="1">IF(NOTA[[#This Row],[ID]]="","",COUNTIF(NOTA[ID_H],NOTA[[#This Row],[ID_H]]))</f>
        <v/>
      </c>
      <c r="AK838" s="38">
        <f ca="1">IF(NOTA[[#This Row],[TGL.NOTA]]="",IF(NOTA[[#This Row],[SUPPLIER_H]]="","",AK837),MONTH(NOTA[[#This Row],[TGL.NOTA]]))</f>
        <v>1</v>
      </c>
      <c r="AL838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838" s="38" t="str">
        <f>IF(NOTA[C]="",NOTA[[#This Row],[CONCAT1]]&amp;NOTA[[#This Row],[HARGA SATUAN]],NOTA[[#This Row],[CONCAT1]]&amp;NOTA[[#This Row],[HARGA/ CTN_H]]&amp;NOTA[[#This Row],[DISC 1]]&amp;NOTA[[#This Row],[DISC 2]])</f>
        <v>malamshintoengb612w5500</v>
      </c>
      <c r="AN838" s="184">
        <f>IF(NOTA[[#This Row],[CONCAT1]]="","",MATCH(NOTA[[#This Row],[CONCAT1]],[1]!db[NB NOTA_C],0)+1)</f>
        <v>1431</v>
      </c>
    </row>
    <row r="839" spans="1:40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Row],[CEK_EXP]]&lt;D838,"err","")</f>
        <v/>
      </c>
      <c r="D839" s="50">
        <f>IF(NOTA[[#This Row],[TANGGAL]]="",D838,NOTA[[#This Row],[TANGGAL]])</f>
        <v>44957</v>
      </c>
      <c r="E839" s="50" t="str">
        <f ca="1">IF(NOTA[[#This Row],[NAMA BARANG]]="","",INDEX(NOTA[ID],MATCH(,INDIRECT(ADDRESS(ROW(NOTA[ID]),COLUMN(NOTA[ID]))&amp;":"&amp;ADDRESS(ROW(),COLUMN(NOTA[ID]))),-1)))</f>
        <v/>
      </c>
      <c r="F839" s="23"/>
      <c r="G839" s="26"/>
      <c r="H839" s="26"/>
      <c r="I839" s="31"/>
      <c r="J839" s="26"/>
      <c r="K839" s="51"/>
      <c r="L839" s="26"/>
      <c r="M839" s="26"/>
      <c r="N839" s="39"/>
      <c r="O839" s="26"/>
      <c r="P839" s="26"/>
      <c r="Q839" s="49"/>
      <c r="R839" s="52"/>
      <c r="S839" s="39"/>
      <c r="T839" s="53"/>
      <c r="U839" s="53"/>
      <c r="V839" s="54"/>
      <c r="W839" s="37"/>
      <c r="X839" s="54" t="str">
        <f>IF(NOTA[[#This Row],[HARGA/ CTN]]="",NOTA[[#This Row],[JUMLAH_H]],NOTA[[#This Row],[HARGA/ CTN]]*IF(NOTA[[#This Row],[C]]="",0,NOTA[[#This Row],[C]]))</f>
        <v/>
      </c>
      <c r="Y839" s="54" t="str">
        <f>IF(NOTA[[#This Row],[JUMLAH]]="","",NOTA[[#This Row],[JUMLAH]]*NOTA[[#This Row],[DISC 1]])</f>
        <v/>
      </c>
      <c r="Z839" s="54" t="str">
        <f>IF(NOTA[[#This Row],[JUMLAH]]="","",(NOTA[[#This Row],[JUMLAH]]-NOTA[[#This Row],[DISC 1-]])*NOTA[[#This Row],[DISC 2]])</f>
        <v/>
      </c>
      <c r="AA839" s="54" t="str">
        <f>IF(NOTA[[#This Row],[JUMLAH]]="","",NOTA[[#This Row],[DISC 1-]]+NOTA[[#This Row],[DISC 2-]])</f>
        <v/>
      </c>
      <c r="AB839" s="54" t="str">
        <f>IF(NOTA[[#This Row],[JUMLAH]]="","",NOTA[[#This Row],[JUMLAH]]-NOTA[[#This Row],[DISC]])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54" t="str">
        <f>IF(OR(NOTA[[#This Row],[QTY]]="",NOTA[[#This Row],[HARGA SATUAN]]="",),"",NOTA[[#This Row],[QTY]]*NOTA[[#This Row],[HARGA SATUAN]])</f>
        <v/>
      </c>
      <c r="AG839" s="51" t="str">
        <f ca="1">IF(NOTA[ID_H]="","",INDEX(NOTA[TANGGAL],MATCH(,INDIRECT(ADDRESS(ROW(NOTA[TANGGAL]),COLUMN(NOTA[TANGGAL]))&amp;":"&amp;ADDRESS(ROW(),COLUMN(NOTA[TANGGAL]))),-1)))</f>
        <v/>
      </c>
      <c r="AH839" s="49" t="str">
        <f ca="1">IF(NOTA[[#This Row],[NAMA BARANG]]="","",INDEX(NOTA[SUPPLIER],MATCH(,INDIRECT(ADDRESS(ROW(NOTA[ID]),COLUMN(NOTA[ID]))&amp;":"&amp;ADDRESS(ROW(),COLUMN(NOTA[ID]))),-1)))</f>
        <v/>
      </c>
      <c r="AI839" s="49" t="str">
        <f ca="1">IF(NOTA[[#This Row],[ID_H]]="","",IF(NOTA[[#This Row],[FAKTUR]]="",INDIRECT(ADDRESS(ROW()-1,COLUMN())),NOTA[[#This Row],[FAKTUR]]))</f>
        <v/>
      </c>
      <c r="AJ839" s="38" t="str">
        <f ca="1">IF(NOTA[[#This Row],[ID]]="","",COUNTIF(NOTA[ID_H],NOTA[[#This Row],[ID_H]]))</f>
        <v/>
      </c>
      <c r="AK839" s="38" t="str">
        <f ca="1">IF(NOTA[[#This Row],[TGL.NOTA]]="",IF(NOTA[[#This Row],[SUPPLIER_H]]="","",AK838),MONTH(NOTA[[#This Row],[TGL.NOTA]]))</f>
        <v/>
      </c>
      <c r="AL839" s="38" t="str">
        <f>LOWER(SUBSTITUTE(SUBSTITUTE(SUBSTITUTE(SUBSTITUTE(SUBSTITUTE(SUBSTITUTE(SUBSTITUTE(SUBSTITUTE(SUBSTITUTE(NOTA[NAMA BARANG]," ",),".",""),"-",""),"(",""),")",""),",",""),"/",""),"""",""),"+",""))</f>
        <v/>
      </c>
      <c r="AM839" s="38" t="str">
        <f>IF(NOTA[C]="",NOTA[[#This Row],[CONCAT1]]&amp;NOTA[[#This Row],[HARGA SATUAN]],NOTA[[#This Row],[CONCAT1]]&amp;NOTA[[#This Row],[HARGA/ CTN_H]]&amp;NOTA[[#This Row],[DISC 1]]&amp;NOTA[[#This Row],[DISC 2]])</f>
        <v/>
      </c>
      <c r="AN839" s="184" t="str">
        <f>IF(NOTA[[#This Row],[CONCAT1]]="","",MATCH(NOTA[[#This Row],[CONCAT1]],[1]!db[NB NOTA_C],0)+1)</f>
        <v/>
      </c>
    </row>
    <row r="840" spans="1:40" ht="20.100000000000001" customHeight="1" x14ac:dyDescent="0.25">
      <c r="A840" s="49">
        <f ca="1">IF(INDIRECT(ADDRESS(ROW()-1,COLUMN(NOTA[[#Headers],[ID]])))="ID",1,IF(NOTA[[#This Row],[FAKTUR]]="","",COUNT(INDIRECT(ADDRESS(ROW(NOTA[ID]),COLUMN(NOTA[ID]))&amp;":"&amp;ADDRESS(ROW()-1,COLUMN(NOTA[ID]))))+1))</f>
        <v>160</v>
      </c>
      <c r="B8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SAM_0102_563-3</v>
      </c>
      <c r="C840" s="50" t="str">
        <f>IF(NOTA[[#This Row],[CEK_EXP]]&lt;D839,"err","")</f>
        <v/>
      </c>
      <c r="D840" s="50">
        <f>IF(NOTA[[#This Row],[TANGGAL]]="",D839,NOTA[[#This Row],[TANGGAL]])</f>
        <v>44958</v>
      </c>
      <c r="E840" s="50">
        <f ca="1">IF(NOTA[[#This Row],[NAMA BARANG]]="","",INDEX(NOTA[ID],MATCH(,INDIRECT(ADDRESS(ROW(NOTA[ID]),COLUMN(NOTA[ID]))&amp;":"&amp;ADDRESS(ROW(),COLUMN(NOTA[ID]))),-1)))</f>
        <v>160</v>
      </c>
      <c r="F840" s="23">
        <v>44958</v>
      </c>
      <c r="G840" s="26" t="s">
        <v>57</v>
      </c>
      <c r="H840" s="26" t="s">
        <v>24</v>
      </c>
      <c r="I840" s="31" t="s">
        <v>958</v>
      </c>
      <c r="J840" s="26"/>
      <c r="K840" s="51">
        <v>44957</v>
      </c>
      <c r="L840" s="26"/>
      <c r="M840" s="26" t="s">
        <v>959</v>
      </c>
      <c r="N840" s="39">
        <v>10</v>
      </c>
      <c r="O840" s="26">
        <v>4320</v>
      </c>
      <c r="P840" s="26" t="s">
        <v>104</v>
      </c>
      <c r="Q840" s="49">
        <v>1400</v>
      </c>
      <c r="R840" s="52"/>
      <c r="S840" s="39" t="s">
        <v>960</v>
      </c>
      <c r="T840" s="53">
        <v>0.05</v>
      </c>
      <c r="U840" s="53"/>
      <c r="V840" s="54"/>
      <c r="W840" s="37"/>
      <c r="X840" s="54">
        <f>IF(NOTA[[#This Row],[HARGA/ CTN]]="",NOTA[[#This Row],[JUMLAH_H]],NOTA[[#This Row],[HARGA/ CTN]]*IF(NOTA[[#This Row],[C]]="",0,NOTA[[#This Row],[C]]))</f>
        <v>6048000</v>
      </c>
      <c r="Y840" s="54">
        <f>IF(NOTA[[#This Row],[JUMLAH]]="","",NOTA[[#This Row],[JUMLAH]]*NOTA[[#This Row],[DISC 1]])</f>
        <v>302400</v>
      </c>
      <c r="Z840" s="54">
        <f>IF(NOTA[[#This Row],[JUMLAH]]="","",(NOTA[[#This Row],[JUMLAH]]-NOTA[[#This Row],[DISC 1-]])*NOTA[[#This Row],[DISC 2]])</f>
        <v>0</v>
      </c>
      <c r="AA840" s="54">
        <f>IF(NOTA[[#This Row],[JUMLAH]]="","",NOTA[[#This Row],[DISC 1-]]+NOTA[[#This Row],[DISC 2-]])</f>
        <v>302400</v>
      </c>
      <c r="AB840" s="54">
        <f>IF(NOTA[[#This Row],[JUMLAH]]="","",NOTA[[#This Row],[JUMLAH]]-NOTA[[#This Row],[DISC]])</f>
        <v>5745600</v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49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F840" s="54">
        <f>IF(OR(NOTA[[#This Row],[QTY]]="",NOTA[[#This Row],[HARGA SATUAN]]="",),"",NOTA[[#This Row],[QTY]]*NOTA[[#This Row],[HARGA SATUAN]])</f>
        <v>6048000</v>
      </c>
      <c r="AG840" s="51">
        <f ca="1">IF(NOTA[ID_H]="","",INDEX(NOTA[TANGGAL],MATCH(,INDIRECT(ADDRESS(ROW(NOTA[TANGGAL]),COLUMN(NOTA[TANGGAL]))&amp;":"&amp;ADDRESS(ROW(),COLUMN(NOTA[TANGGAL]))),-1)))</f>
        <v>44958</v>
      </c>
      <c r="AH840" s="49" t="str">
        <f ca="1">IF(NOTA[[#This Row],[NAMA BARANG]]="","",INDEX(NOTA[SUPPLIER],MATCH(,INDIRECT(ADDRESS(ROW(NOTA[ID]),COLUMN(NOTA[ID]))&amp;":"&amp;ADDRESS(ROW(),COLUMN(NOTA[ID]))),-1)))</f>
        <v>SAMUDERA ANGKASA JAYA</v>
      </c>
      <c r="AI840" s="49" t="str">
        <f ca="1">IF(NOTA[[#This Row],[ID_H]]="","",IF(NOTA[[#This Row],[FAKTUR]]="",INDIRECT(ADDRESS(ROW()-1,COLUMN())),NOTA[[#This Row],[FAKTUR]]))</f>
        <v>ARTO MORO</v>
      </c>
      <c r="AJ840" s="38">
        <f ca="1">IF(NOTA[[#This Row],[ID]]="","",COUNTIF(NOTA[ID_H],NOTA[[#This Row],[ID_H]]))</f>
        <v>3</v>
      </c>
      <c r="AK840" s="38">
        <f>IF(NOTA[[#This Row],[TGL.NOTA]]="",IF(NOTA[[#This Row],[SUPPLIER_H]]="","",AK839),MONTH(NOTA[[#This Row],[TGL.NOTA]]))</f>
        <v>1</v>
      </c>
      <c r="AL840" s="38" t="str">
        <f>LOWER(SUBSTITUTE(SUBSTITUTE(SUBSTITUTE(SUBSTITUTE(SUBSTITUTE(SUBSTITUTE(SUBSTITUTE(SUBSTITUTE(SUBSTITUTE(NOTA[NAMA BARANG]," ",),".",""),"-",""),"(",""),")",""),",",""),"/",""),"""",""),"+",""))</f>
        <v>lemcairg503650ml</v>
      </c>
      <c r="AM840" s="38" t="str">
        <f>IF(NOTA[C]="",NOTA[[#This Row],[CONCAT1]]&amp;NOTA[[#This Row],[HARGA SATUAN]],NOTA[[#This Row],[CONCAT1]]&amp;NOTA[[#This Row],[HARGA/ CTN_H]]&amp;NOTA[[#This Row],[DISC 1]]&amp;NOTA[[#This Row],[DISC 2]])</f>
        <v>lemcairg503650ml6048000.05</v>
      </c>
      <c r="AN840" s="184">
        <f>IF(NOTA[[#This Row],[CONCAT1]]="","",MATCH(NOTA[[#This Row],[CONCAT1]],[1]!db[NB NOTA_C],0)+1)</f>
        <v>1364</v>
      </c>
    </row>
    <row r="841" spans="1:40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Row],[CEK_EXP]]&lt;D840,"err","")</f>
        <v/>
      </c>
      <c r="D841" s="50">
        <f>IF(NOTA[[#This Row],[TANGGAL]]="",D840,NOTA[[#This Row],[TANGGAL]])</f>
        <v>44958</v>
      </c>
      <c r="E841" s="50">
        <f ca="1">IF(NOTA[[#This Row],[NAMA BARANG]]="","",INDEX(NOTA[ID],MATCH(,INDIRECT(ADDRESS(ROW(NOTA[ID]),COLUMN(NOTA[ID]))&amp;":"&amp;ADDRESS(ROW(),COLUMN(NOTA[ID]))),-1)))</f>
        <v>160</v>
      </c>
      <c r="F841" s="23"/>
      <c r="G841" s="26"/>
      <c r="H841" s="26"/>
      <c r="I841" s="31"/>
      <c r="J841" s="26"/>
      <c r="K841" s="51"/>
      <c r="L841" s="26"/>
      <c r="M841" s="26" t="s">
        <v>961</v>
      </c>
      <c r="N841" s="39">
        <v>15</v>
      </c>
      <c r="O841" s="26">
        <v>1500</v>
      </c>
      <c r="P841" s="26" t="s">
        <v>962</v>
      </c>
      <c r="Q841" s="49">
        <v>19000</v>
      </c>
      <c r="R841" s="52"/>
      <c r="S841" s="39" t="s">
        <v>963</v>
      </c>
      <c r="T841" s="53">
        <v>0.05</v>
      </c>
      <c r="U841" s="53"/>
      <c r="V841" s="54"/>
      <c r="W841" s="37"/>
      <c r="X841" s="54">
        <f>IF(NOTA[[#This Row],[HARGA/ CTN]]="",NOTA[[#This Row],[JUMLAH_H]],NOTA[[#This Row],[HARGA/ CTN]]*IF(NOTA[[#This Row],[C]]="",0,NOTA[[#This Row],[C]]))</f>
        <v>28500000</v>
      </c>
      <c r="Y841" s="54">
        <f>IF(NOTA[[#This Row],[JUMLAH]]="","",NOTA[[#This Row],[JUMLAH]]*NOTA[[#This Row],[DISC 1]])</f>
        <v>1425000</v>
      </c>
      <c r="Z841" s="54">
        <f>IF(NOTA[[#This Row],[JUMLAH]]="","",(NOTA[[#This Row],[JUMLAH]]-NOTA[[#This Row],[DISC 1-]])*NOTA[[#This Row],[DISC 2]])</f>
        <v>0</v>
      </c>
      <c r="AA841" s="54">
        <f>IF(NOTA[[#This Row],[JUMLAH]]="","",NOTA[[#This Row],[DISC 1-]]+NOTA[[#This Row],[DISC 2-]])</f>
        <v>1425000</v>
      </c>
      <c r="AB841" s="54">
        <f>IF(NOTA[[#This Row],[JUMLAH]]="","",NOTA[[#This Row],[JUMLAH]]-NOTA[[#This Row],[DISC]])</f>
        <v>27075000</v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49">
        <f>IF(NOTA[[#This Row],[NAMA BARANG]]="","",IF(NOTA[[#This Row],[JUMLAH_H]]="",NOTA[[#This Row],[HARGA/ CTN]],NOTA[[#This Row],[QTY]]*NOTA[[#This Row],[HARGA SATUAN]]/IF(ISNUMBER(NOTA[[#This Row],[C]]),NOTA[[#This Row],[C]],1)))</f>
        <v>1900000</v>
      </c>
      <c r="AF841" s="54">
        <f>IF(OR(NOTA[[#This Row],[QTY]]="",NOTA[[#This Row],[HARGA SATUAN]]="",),"",NOTA[[#This Row],[QTY]]*NOTA[[#This Row],[HARGA SATUAN]])</f>
        <v>28500000</v>
      </c>
      <c r="AG841" s="51">
        <f ca="1">IF(NOTA[ID_H]="","",INDEX(NOTA[TANGGAL],MATCH(,INDIRECT(ADDRESS(ROW(NOTA[TANGGAL]),COLUMN(NOTA[TANGGAL]))&amp;":"&amp;ADDRESS(ROW(),COLUMN(NOTA[TANGGAL]))),-1)))</f>
        <v>44958</v>
      </c>
      <c r="AH841" s="49" t="str">
        <f ca="1">IF(NOTA[[#This Row],[NAMA BARANG]]="","",INDEX(NOTA[SUPPLIER],MATCH(,INDIRECT(ADDRESS(ROW(NOTA[ID]),COLUMN(NOTA[ID]))&amp;":"&amp;ADDRESS(ROW(),COLUMN(NOTA[ID]))),-1)))</f>
        <v>SAMUDERA ANGKASA JAYA</v>
      </c>
      <c r="AI841" s="49" t="str">
        <f ca="1">IF(NOTA[[#This Row],[ID_H]]="","",IF(NOTA[[#This Row],[FAKTUR]]="",INDIRECT(ADDRESS(ROW()-1,COLUMN())),NOTA[[#This Row],[FAKTUR]]))</f>
        <v>ARTO MORO</v>
      </c>
      <c r="AJ841" s="38" t="str">
        <f ca="1">IF(NOTA[[#This Row],[ID]]="","",COUNTIF(NOTA[ID_H],NOTA[[#This Row],[ID_H]]))</f>
        <v/>
      </c>
      <c r="AK841" s="38">
        <f ca="1">IF(NOTA[[#This Row],[TGL.NOTA]]="",IF(NOTA[[#This Row],[SUPPLIER_H]]="","",AK840),MONTH(NOTA[[#This Row],[TGL.NOTA]]))</f>
        <v>1</v>
      </c>
      <c r="AL841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M841" s="38" t="str">
        <f>IF(NOTA[C]="",NOTA[[#This Row],[CONCAT1]]&amp;NOTA[[#This Row],[HARGA SATUAN]],NOTA[[#This Row],[CONCAT1]]&amp;NOTA[[#This Row],[HARGA/ CTN_H]]&amp;NOTA[[#This Row],[DISC 1]]&amp;NOTA[[#This Row],[DISC 2]])</f>
        <v>stabillohl52012vanco19000000.05</v>
      </c>
      <c r="AN841" s="184">
        <f>IF(NOTA[[#This Row],[CONCAT1]]="","",MATCH(NOTA[[#This Row],[CONCAT1]],[1]!db[NB NOTA_C],0)+1)</f>
        <v>1974</v>
      </c>
    </row>
    <row r="842" spans="1:40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Row],[CEK_EXP]]&lt;D841,"err","")</f>
        <v/>
      </c>
      <c r="D842" s="50">
        <f>IF(NOTA[[#This Row],[TANGGAL]]="",D841,NOTA[[#This Row],[TANGGAL]])</f>
        <v>44958</v>
      </c>
      <c r="E842" s="50">
        <f ca="1">IF(NOTA[[#This Row],[NAMA BARANG]]="","",INDEX(NOTA[ID],MATCH(,INDIRECT(ADDRESS(ROW(NOTA[ID]),COLUMN(NOTA[ID]))&amp;":"&amp;ADDRESS(ROW(),COLUMN(NOTA[ID]))),-1)))</f>
        <v>160</v>
      </c>
      <c r="F842" s="23"/>
      <c r="G842" s="26"/>
      <c r="H842" s="26"/>
      <c r="I842" s="31"/>
      <c r="J842" s="26"/>
      <c r="K842" s="51"/>
      <c r="L842" s="26"/>
      <c r="M842" s="26" t="s">
        <v>964</v>
      </c>
      <c r="N842" s="39">
        <v>6</v>
      </c>
      <c r="O842" s="26">
        <v>960</v>
      </c>
      <c r="P842" s="26" t="s">
        <v>104</v>
      </c>
      <c r="Q842" s="49">
        <v>9500</v>
      </c>
      <c r="R842" s="52"/>
      <c r="S842" s="39" t="s">
        <v>965</v>
      </c>
      <c r="T842" s="53">
        <v>0.05</v>
      </c>
      <c r="U842" s="53"/>
      <c r="V842" s="54"/>
      <c r="W842" s="37"/>
      <c r="X842" s="54">
        <f>IF(NOTA[[#This Row],[HARGA/ CTN]]="",NOTA[[#This Row],[JUMLAH_H]],NOTA[[#This Row],[HARGA/ CTN]]*IF(NOTA[[#This Row],[C]]="",0,NOTA[[#This Row],[C]]))</f>
        <v>9120000</v>
      </c>
      <c r="Y842" s="54">
        <f>IF(NOTA[[#This Row],[JUMLAH]]="","",NOTA[[#This Row],[JUMLAH]]*NOTA[[#This Row],[DISC 1]])</f>
        <v>456000</v>
      </c>
      <c r="Z842" s="54">
        <f>IF(NOTA[[#This Row],[JUMLAH]]="","",(NOTA[[#This Row],[JUMLAH]]-NOTA[[#This Row],[DISC 1-]])*NOTA[[#This Row],[DISC 2]])</f>
        <v>0</v>
      </c>
      <c r="AA842" s="54">
        <f>IF(NOTA[[#This Row],[JUMLAH]]="","",NOTA[[#This Row],[DISC 1-]]+NOTA[[#This Row],[DISC 2-]])</f>
        <v>456000</v>
      </c>
      <c r="AB842" s="54">
        <f>IF(NOTA[[#This Row],[JUMLAH]]="","",NOTA[[#This Row],[JUMLAH]]-NOTA[[#This Row],[DISC]])</f>
        <v>8664000</v>
      </c>
      <c r="AC8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2183400</v>
      </c>
      <c r="AD8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41484600</v>
      </c>
      <c r="AE842" s="49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842" s="54">
        <f>IF(OR(NOTA[[#This Row],[QTY]]="",NOTA[[#This Row],[HARGA SATUAN]]="",),"",NOTA[[#This Row],[QTY]]*NOTA[[#This Row],[HARGA SATUAN]])</f>
        <v>9120000</v>
      </c>
      <c r="AG842" s="51">
        <f ca="1">IF(NOTA[ID_H]="","",INDEX(NOTA[TANGGAL],MATCH(,INDIRECT(ADDRESS(ROW(NOTA[TANGGAL]),COLUMN(NOTA[TANGGAL]))&amp;":"&amp;ADDRESS(ROW(),COLUMN(NOTA[TANGGAL]))),-1)))</f>
        <v>44958</v>
      </c>
      <c r="AH842" s="49" t="str">
        <f ca="1">IF(NOTA[[#This Row],[NAMA BARANG]]="","",INDEX(NOTA[SUPPLIER],MATCH(,INDIRECT(ADDRESS(ROW(NOTA[ID]),COLUMN(NOTA[ID]))&amp;":"&amp;ADDRESS(ROW(),COLUMN(NOTA[ID]))),-1)))</f>
        <v>SAMUDERA ANGKASA JAYA</v>
      </c>
      <c r="AI842" s="49" t="str">
        <f ca="1">IF(NOTA[[#This Row],[ID_H]]="","",IF(NOTA[[#This Row],[FAKTUR]]="",INDIRECT(ADDRESS(ROW()-1,COLUMN())),NOTA[[#This Row],[FAKTUR]]))</f>
        <v>ARTO MORO</v>
      </c>
      <c r="AJ842" s="38" t="str">
        <f ca="1">IF(NOTA[[#This Row],[ID]]="","",COUNTIF(NOTA[ID_H],NOTA[[#This Row],[ID_H]]))</f>
        <v/>
      </c>
      <c r="AK842" s="38">
        <f ca="1">IF(NOTA[[#This Row],[TGL.NOTA]]="",IF(NOTA[[#This Row],[SUPPLIER_H]]="","",AK841),MONTH(NOTA[[#This Row],[TGL.NOTA]]))</f>
        <v>1</v>
      </c>
      <c r="AL842" s="38" t="str">
        <f>LOWER(SUBSTITUTE(SUBSTITUTE(SUBSTITUTE(SUBSTITUTE(SUBSTITUTE(SUBSTITUTE(SUBSTITUTE(SUBSTITUTE(SUBSTITUTE(NOTA[NAMA BARANG]," ",),".",""),"-",""),"(",""),")",""),",",""),"/",""),"""",""),"+",""))</f>
        <v>pcmagc175622*75</v>
      </c>
      <c r="AM842" s="38" t="str">
        <f>IF(NOTA[C]="",NOTA[[#This Row],[CONCAT1]]&amp;NOTA[[#This Row],[HARGA SATUAN]],NOTA[[#This Row],[CONCAT1]]&amp;NOTA[[#This Row],[HARGA/ CTN_H]]&amp;NOTA[[#This Row],[DISC 1]]&amp;NOTA[[#This Row],[DISC 2]])</f>
        <v>pcmagc175622*7515200000.05</v>
      </c>
      <c r="AN842" s="184">
        <f>IF(NOTA[[#This Row],[CONCAT1]]="","",MATCH(NOTA[[#This Row],[CONCAT1]],[1]!db[NB NOTA_C],0)+1)</f>
        <v>1604</v>
      </c>
    </row>
    <row r="843" spans="1:40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Row],[CEK_EXP]]&lt;D842,"err","")</f>
        <v/>
      </c>
      <c r="D843" s="50">
        <f>IF(NOTA[[#This Row],[TANGGAL]]="",D842,NOTA[[#This Row],[TANGGAL]])</f>
        <v>44958</v>
      </c>
      <c r="E843" s="50" t="str">
        <f ca="1">IF(NOTA[[#This Row],[NAMA BARANG]]="","",INDEX(NOTA[ID],MATCH(,INDIRECT(ADDRESS(ROW(NOTA[ID]),COLUMN(NOTA[ID]))&amp;":"&amp;ADDRESS(ROW(),COLUMN(NOTA[ID]))),-1)))</f>
        <v/>
      </c>
      <c r="F843" s="23"/>
      <c r="G843" s="26"/>
      <c r="H843" s="26"/>
      <c r="I843" s="31"/>
      <c r="J843" s="26"/>
      <c r="K843" s="51"/>
      <c r="L843" s="26"/>
      <c r="M843" s="26"/>
      <c r="N843" s="39"/>
      <c r="O843" s="26"/>
      <c r="P843" s="26"/>
      <c r="Q843" s="49"/>
      <c r="R843" s="52"/>
      <c r="S843" s="39"/>
      <c r="T843" s="53"/>
      <c r="U843" s="53"/>
      <c r="V843" s="54"/>
      <c r="W843" s="37"/>
      <c r="X843" s="54" t="str">
        <f>IF(NOTA[[#This Row],[HARGA/ CTN]]="",NOTA[[#This Row],[JUMLAH_H]],NOTA[[#This Row],[HARGA/ CTN]]*IF(NOTA[[#This Row],[C]]="",0,NOTA[[#This Row],[C]]))</f>
        <v/>
      </c>
      <c r="Y843" s="54" t="str">
        <f>IF(NOTA[[#This Row],[JUMLAH]]="","",NOTA[[#This Row],[JUMLAH]]*NOTA[[#This Row],[DISC 1]])</f>
        <v/>
      </c>
      <c r="Z843" s="54" t="str">
        <f>IF(NOTA[[#This Row],[JUMLAH]]="","",(NOTA[[#This Row],[JUMLAH]]-NOTA[[#This Row],[DISC 1-]])*NOTA[[#This Row],[DISC 2]])</f>
        <v/>
      </c>
      <c r="AA843" s="54" t="str">
        <f>IF(NOTA[[#This Row],[JUMLAH]]="","",NOTA[[#This Row],[DISC 1-]]+NOTA[[#This Row],[DISC 2-]])</f>
        <v/>
      </c>
      <c r="AB843" s="54" t="str">
        <f>IF(NOTA[[#This Row],[JUMLAH]]="","",NOTA[[#This Row],[JUMLAH]]-NOTA[[#This Row],[DISC]])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54" t="str">
        <f>IF(OR(NOTA[[#This Row],[QTY]]="",NOTA[[#This Row],[HARGA SATUAN]]="",),"",NOTA[[#This Row],[QTY]]*NOTA[[#This Row],[HARGA SATUAN]])</f>
        <v/>
      </c>
      <c r="AG843" s="51" t="str">
        <f ca="1">IF(NOTA[ID_H]="","",INDEX(NOTA[TANGGAL],MATCH(,INDIRECT(ADDRESS(ROW(NOTA[TANGGAL]),COLUMN(NOTA[TANGGAL]))&amp;":"&amp;ADDRESS(ROW(),COLUMN(NOTA[TANGGAL]))),-1)))</f>
        <v/>
      </c>
      <c r="AH843" s="49" t="str">
        <f ca="1">IF(NOTA[[#This Row],[NAMA BARANG]]="","",INDEX(NOTA[SUPPLIER],MATCH(,INDIRECT(ADDRESS(ROW(NOTA[ID]),COLUMN(NOTA[ID]))&amp;":"&amp;ADDRESS(ROW(),COLUMN(NOTA[ID]))),-1)))</f>
        <v/>
      </c>
      <c r="AI843" s="49" t="str">
        <f ca="1">IF(NOTA[[#This Row],[ID_H]]="","",IF(NOTA[[#This Row],[FAKTUR]]="",INDIRECT(ADDRESS(ROW()-1,COLUMN())),NOTA[[#This Row],[FAKTUR]]))</f>
        <v/>
      </c>
      <c r="AJ843" s="38" t="str">
        <f ca="1">IF(NOTA[[#This Row],[ID]]="","",COUNTIF(NOTA[ID_H],NOTA[[#This Row],[ID_H]]))</f>
        <v/>
      </c>
      <c r="AK843" s="38" t="str">
        <f ca="1">IF(NOTA[[#This Row],[TGL.NOTA]]="",IF(NOTA[[#This Row],[SUPPLIER_H]]="","",AK842),MONTH(NOTA[[#This Row],[TGL.NOTA]]))</f>
        <v/>
      </c>
      <c r="AL843" s="38" t="str">
        <f>LOWER(SUBSTITUTE(SUBSTITUTE(SUBSTITUTE(SUBSTITUTE(SUBSTITUTE(SUBSTITUTE(SUBSTITUTE(SUBSTITUTE(SUBSTITUTE(NOTA[NAMA BARANG]," ",),".",""),"-",""),"(",""),")",""),",",""),"/",""),"""",""),"+",""))</f>
        <v/>
      </c>
      <c r="AM843" s="38" t="str">
        <f>IF(NOTA[C]="",NOTA[[#This Row],[CONCAT1]]&amp;NOTA[[#This Row],[HARGA SATUAN]],NOTA[[#This Row],[CONCAT1]]&amp;NOTA[[#This Row],[HARGA/ CTN_H]]&amp;NOTA[[#This Row],[DISC 1]]&amp;NOTA[[#This Row],[DISC 2]])</f>
        <v/>
      </c>
      <c r="AN843" s="184" t="str">
        <f>IF(NOTA[[#This Row],[CONCAT1]]="","",MATCH(NOTA[[#This Row],[CONCAT1]],[1]!db[NB NOTA_C],0)+1)</f>
        <v/>
      </c>
    </row>
    <row r="844" spans="1:40" ht="20.100000000000001" customHeight="1" x14ac:dyDescent="0.25">
      <c r="A844" s="49">
        <f ca="1">IF(INDIRECT(ADDRESS(ROW()-1,COLUMN(NOTA[[#Headers],[ID]])))="ID",1,IF(NOTA[[#This Row],[FAKTUR]]="","",COUNT(INDIRECT(ADDRESS(ROW(NOTA[ID]),COLUMN(NOTA[ID]))&amp;":"&amp;ADDRESS(ROW()-1,COLUMN(NOTA[ID]))))+1))</f>
        <v>161</v>
      </c>
      <c r="B8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LAU_0102_160-1</v>
      </c>
      <c r="C844" s="50" t="str">
        <f>IF(NOTA[[#This Row],[CEK_EXP]]&lt;D843,"err","")</f>
        <v/>
      </c>
      <c r="D844" s="50">
        <f>IF(NOTA[[#This Row],[TANGGAL]]="",D843,NOTA[[#This Row],[TANGGAL]])</f>
        <v>44958</v>
      </c>
      <c r="E844" s="50">
        <f ca="1">IF(NOTA[[#This Row],[NAMA BARANG]]="","",INDEX(NOTA[ID],MATCH(,INDIRECT(ADDRESS(ROW(NOTA[ID]),COLUMN(NOTA[ID]))&amp;":"&amp;ADDRESS(ROW(),COLUMN(NOTA[ID]))),-1)))</f>
        <v>161</v>
      </c>
      <c r="F844" s="23"/>
      <c r="G844" s="26" t="s">
        <v>56</v>
      </c>
      <c r="H844" s="26" t="s">
        <v>24</v>
      </c>
      <c r="I844" s="31" t="s">
        <v>966</v>
      </c>
      <c r="J844" s="26"/>
      <c r="K844" s="51">
        <v>44956</v>
      </c>
      <c r="L844" s="51"/>
      <c r="M844" s="26" t="s">
        <v>967</v>
      </c>
      <c r="N844" s="39">
        <v>10</v>
      </c>
      <c r="O844" s="26">
        <v>480</v>
      </c>
      <c r="P844" s="26" t="s">
        <v>131</v>
      </c>
      <c r="Q844" s="49">
        <v>92000</v>
      </c>
      <c r="R844" s="52"/>
      <c r="S844" s="39" t="s">
        <v>276</v>
      </c>
      <c r="T844" s="53">
        <v>0.27927000000000002</v>
      </c>
      <c r="U844" s="53"/>
      <c r="V844" s="54">
        <v>409.77</v>
      </c>
      <c r="W844" s="37" t="s">
        <v>149</v>
      </c>
      <c r="X844" s="54">
        <f>IF(NOTA[[#This Row],[HARGA/ CTN]]="",NOTA[[#This Row],[JUMLAH_H]],NOTA[[#This Row],[HARGA/ CTN]]*IF(NOTA[[#This Row],[C]]="",0,NOTA[[#This Row],[C]]))</f>
        <v>44160000</v>
      </c>
      <c r="Y844" s="54">
        <f>IF(NOTA[[#This Row],[JUMLAH]]="","",NOTA[[#This Row],[JUMLAH]]*NOTA[[#This Row],[DISC 1]])</f>
        <v>12332563.200000001</v>
      </c>
      <c r="Z844" s="54">
        <f>IF(NOTA[[#This Row],[JUMLAH]]="","",(NOTA[[#This Row],[JUMLAH]]-NOTA[[#This Row],[DISC 1-]])*NOTA[[#This Row],[DISC 2]])</f>
        <v>0</v>
      </c>
      <c r="AA844" s="54">
        <f>IF(NOTA[[#This Row],[JUMLAH]]="","",NOTA[[#This Row],[DISC 1-]]+NOTA[[#This Row],[DISC 2-]])</f>
        <v>12332563.200000001</v>
      </c>
      <c r="AB844" s="54">
        <f>IF(NOTA[[#This Row],[JUMLAH]]="","",NOTA[[#This Row],[JUMLAH]]-NOTA[[#This Row],[DISC]])</f>
        <v>31827436.799999997</v>
      </c>
      <c r="AC8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12332972.970000001</v>
      </c>
      <c r="AD8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31827027.029999997</v>
      </c>
      <c r="AE844" s="49">
        <f>IF(NOTA[[#This Row],[NAMA BARANG]]="","",IF(NOTA[[#This Row],[JUMLAH_H]]="",NOTA[[#This Row],[HARGA/ CTN]],NOTA[[#This Row],[QTY]]*NOTA[[#This Row],[HARGA SATUAN]]/IF(ISNUMBER(NOTA[[#This Row],[C]]),NOTA[[#This Row],[C]],1)))</f>
        <v>4416000</v>
      </c>
      <c r="AF844" s="54">
        <f>IF(OR(NOTA[[#This Row],[QTY]]="",NOTA[[#This Row],[HARGA SATUAN]]="",),"",NOTA[[#This Row],[QTY]]*NOTA[[#This Row],[HARGA SATUAN]])</f>
        <v>44160000</v>
      </c>
      <c r="AG844" s="51">
        <f ca="1">IF(NOTA[ID_H]="","",INDEX(NOTA[TANGGAL],MATCH(,INDIRECT(ADDRESS(ROW(NOTA[TANGGAL]),COLUMN(NOTA[TANGGAL]))&amp;":"&amp;ADDRESS(ROW(),COLUMN(NOTA[TANGGAL]))),-1)))</f>
        <v>44958</v>
      </c>
      <c r="AH844" s="49" t="str">
        <f ca="1">IF(NOTA[[#This Row],[NAMA BARANG]]="","",INDEX(NOTA[SUPPLIER],MATCH(,INDIRECT(ADDRESS(ROW(NOTA[ID]),COLUMN(NOTA[ID]))&amp;":"&amp;ADDRESS(ROW(),COLUMN(NOTA[ID]))),-1)))</f>
        <v>LAUTAN MAS ASIA</v>
      </c>
      <c r="AI844" s="49" t="str">
        <f ca="1">IF(NOTA[[#This Row],[ID_H]]="","",IF(NOTA[[#This Row],[FAKTUR]]="",INDIRECT(ADDRESS(ROW()-1,COLUMN())),NOTA[[#This Row],[FAKTUR]]))</f>
        <v>ARTO MORO</v>
      </c>
      <c r="AJ844" s="38">
        <f ca="1">IF(NOTA[[#This Row],[ID]]="","",COUNTIF(NOTA[ID_H],NOTA[[#This Row],[ID_H]]))</f>
        <v>1</v>
      </c>
      <c r="AK844" s="38">
        <f>IF(NOTA[[#This Row],[TGL.NOTA]]="",IF(NOTA[[#This Row],[SUPPLIER_H]]="","",#REF!),MONTH(NOTA[[#This Row],[TGL.NOTA]]))</f>
        <v>1</v>
      </c>
      <c r="AL844" s="38" t="str">
        <f>LOWER(SUBSTITUTE(SUBSTITUTE(SUBSTITUTE(SUBSTITUTE(SUBSTITUTE(SUBSTITUTE(SUBSTITUTE(SUBSTITUTE(SUBSTITUTE(NOTA[NAMA BARANG]," ",),".",""),"-",""),"(",""),")",""),",",""),"/",""),"""",""),"+",""))</f>
        <v>polarbearwdispmn305</v>
      </c>
      <c r="AM844" s="38" t="str">
        <f>IF(NOTA[C]="",NOTA[[#This Row],[CONCAT1]]&amp;NOTA[[#This Row],[HARGA SATUAN]],NOTA[[#This Row],[CONCAT1]]&amp;NOTA[[#This Row],[HARGA/ CTN_H]]&amp;NOTA[[#This Row],[DISC 1]]&amp;NOTA[[#This Row],[DISC 2]])</f>
        <v>polarbearwdispmn30544160000.27927</v>
      </c>
      <c r="AN844" s="184">
        <f>IF(NOTA[[#This Row],[CONCAT1]]="","",MATCH(NOTA[[#This Row],[CONCAT1]],[1]!db[NB NOTA_C],0)+1)</f>
        <v>2231</v>
      </c>
    </row>
    <row r="845" spans="1:40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Row],[CEK_EXP]]&lt;D844,"err","")</f>
        <v/>
      </c>
      <c r="D845" s="50">
        <f>IF(NOTA[[#This Row],[TANGGAL]]="",D844,NOTA[[#This Row],[TANGGAL]])</f>
        <v>44958</v>
      </c>
      <c r="E845" s="50" t="str">
        <f ca="1">IF(NOTA[[#This Row],[NAMA BARANG]]="","",INDEX(NOTA[ID],MATCH(,INDIRECT(ADDRESS(ROW(NOTA[ID]),COLUMN(NOTA[ID]))&amp;":"&amp;ADDRESS(ROW(),COLUMN(NOTA[ID]))),-1)))</f>
        <v/>
      </c>
      <c r="F845" s="23"/>
      <c r="G845" s="26"/>
      <c r="H845" s="26"/>
      <c r="I845" s="31"/>
      <c r="J845" s="26"/>
      <c r="K845" s="51"/>
      <c r="L845" s="26"/>
      <c r="M845" s="26"/>
      <c r="N845" s="39"/>
      <c r="O845" s="26"/>
      <c r="P845" s="26"/>
      <c r="Q845" s="49"/>
      <c r="R845" s="52"/>
      <c r="S845" s="39"/>
      <c r="T845" s="53"/>
      <c r="U845" s="53"/>
      <c r="V845" s="54"/>
      <c r="W845" s="37"/>
      <c r="X845" s="54" t="str">
        <f>IF(NOTA[[#This Row],[HARGA/ CTN]]="",NOTA[[#This Row],[JUMLAH_H]],NOTA[[#This Row],[HARGA/ CTN]]*IF(NOTA[[#This Row],[C]]="",0,NOTA[[#This Row],[C]]))</f>
        <v/>
      </c>
      <c r="Y845" s="54" t="str">
        <f>IF(NOTA[[#This Row],[JUMLAH]]="","",NOTA[[#This Row],[JUMLAH]]*NOTA[[#This Row],[DISC 1]])</f>
        <v/>
      </c>
      <c r="Z845" s="54" t="str">
        <f>IF(NOTA[[#This Row],[JUMLAH]]="","",(NOTA[[#This Row],[JUMLAH]]-NOTA[[#This Row],[DISC 1-]])*NOTA[[#This Row],[DISC 2]])</f>
        <v/>
      </c>
      <c r="AA845" s="54" t="str">
        <f>IF(NOTA[[#This Row],[JUMLAH]]="","",NOTA[[#This Row],[DISC 1-]]+NOTA[[#This Row],[DISC 2-]])</f>
        <v/>
      </c>
      <c r="AB845" s="54" t="str">
        <f>IF(NOTA[[#This Row],[JUMLAH]]="","",NOTA[[#This Row],[JUMLAH]]-NOTA[[#This Row],[DISC]])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54" t="str">
        <f>IF(OR(NOTA[[#This Row],[QTY]]="",NOTA[[#This Row],[HARGA SATUAN]]="",),"",NOTA[[#This Row],[QTY]]*NOTA[[#This Row],[HARGA SATUAN]])</f>
        <v/>
      </c>
      <c r="AG845" s="51" t="str">
        <f ca="1">IF(NOTA[ID_H]="","",INDEX(NOTA[TANGGAL],MATCH(,INDIRECT(ADDRESS(ROW(NOTA[TANGGAL]),COLUMN(NOTA[TANGGAL]))&amp;":"&amp;ADDRESS(ROW(),COLUMN(NOTA[TANGGAL]))),-1)))</f>
        <v/>
      </c>
      <c r="AH845" s="49" t="str">
        <f ca="1">IF(NOTA[[#This Row],[NAMA BARANG]]="","",INDEX(NOTA[SUPPLIER],MATCH(,INDIRECT(ADDRESS(ROW(NOTA[ID]),COLUMN(NOTA[ID]))&amp;":"&amp;ADDRESS(ROW(),COLUMN(NOTA[ID]))),-1)))</f>
        <v/>
      </c>
      <c r="AI845" s="49" t="str">
        <f ca="1">IF(NOTA[[#This Row],[ID_H]]="","",IF(NOTA[[#This Row],[FAKTUR]]="",INDIRECT(ADDRESS(ROW()-1,COLUMN())),NOTA[[#This Row],[FAKTUR]]))</f>
        <v/>
      </c>
      <c r="AJ845" s="38" t="str">
        <f ca="1">IF(NOTA[[#This Row],[ID]]="","",COUNTIF(NOTA[ID_H],NOTA[[#This Row],[ID_H]]))</f>
        <v/>
      </c>
      <c r="AK845" s="38" t="str">
        <f ca="1">IF(NOTA[[#This Row],[TGL.NOTA]]="",IF(NOTA[[#This Row],[SUPPLIER_H]]="","",AK844),MONTH(NOTA[[#This Row],[TGL.NOTA]]))</f>
        <v/>
      </c>
      <c r="AL845" s="38" t="str">
        <f>LOWER(SUBSTITUTE(SUBSTITUTE(SUBSTITUTE(SUBSTITUTE(SUBSTITUTE(SUBSTITUTE(SUBSTITUTE(SUBSTITUTE(SUBSTITUTE(NOTA[NAMA BARANG]," ",),".",""),"-",""),"(",""),")",""),",",""),"/",""),"""",""),"+",""))</f>
        <v/>
      </c>
      <c r="AM845" s="38" t="str">
        <f>IF(NOTA[C]="",NOTA[[#This Row],[CONCAT1]]&amp;NOTA[[#This Row],[HARGA SATUAN]],NOTA[[#This Row],[CONCAT1]]&amp;NOTA[[#This Row],[HARGA/ CTN_H]]&amp;NOTA[[#This Row],[DISC 1]]&amp;NOTA[[#This Row],[DISC 2]])</f>
        <v/>
      </c>
      <c r="AN845" s="184" t="str">
        <f>IF(NOTA[[#This Row],[CONCAT1]]="","",MATCH(NOTA[[#This Row],[CONCAT1]],[1]!db[NB NOTA_C],0)+1)</f>
        <v/>
      </c>
    </row>
    <row r="846" spans="1:40" ht="20.100000000000001" customHeight="1" x14ac:dyDescent="0.25">
      <c r="A846" s="49">
        <f ca="1">IF(INDIRECT(ADDRESS(ROW()-1,COLUMN(NOTA[[#Headers],[ID]])))="ID",1,IF(NOTA[[#This Row],[FAKTUR]]="","",COUNT(INDIRECT(ADDRESS(ROW(NOTA[ID]),COLUMN(NOTA[ID]))&amp;":"&amp;ADDRESS(ROW()-1,COLUMN(NOTA[ID]))))+1))</f>
        <v>162</v>
      </c>
      <c r="B8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ATA_0202_701-1</v>
      </c>
      <c r="C846" s="50" t="str">
        <f>IF(NOTA[[#This Row],[CEK_EXP]]&lt;D845,"err","")</f>
        <v/>
      </c>
      <c r="D846" s="50">
        <f>IF(NOTA[[#This Row],[TANGGAL]]="",D845,NOTA[[#This Row],[TANGGAL]])</f>
        <v>44959</v>
      </c>
      <c r="E846" s="50">
        <f ca="1">IF(NOTA[[#This Row],[NAMA BARANG]]="","",INDEX(NOTA[ID],MATCH(,INDIRECT(ADDRESS(ROW(NOTA[ID]),COLUMN(NOTA[ID]))&amp;":"&amp;ADDRESS(ROW(),COLUMN(NOTA[ID]))),-1)))</f>
        <v>162</v>
      </c>
      <c r="F846" s="23">
        <v>44959</v>
      </c>
      <c r="G846" s="26" t="s">
        <v>25</v>
      </c>
      <c r="H846" s="26" t="s">
        <v>24</v>
      </c>
      <c r="I846" s="31" t="s">
        <v>984</v>
      </c>
      <c r="J846" s="26"/>
      <c r="K846" s="51">
        <v>44956</v>
      </c>
      <c r="L846" s="26"/>
      <c r="M846" s="26" t="s">
        <v>985</v>
      </c>
      <c r="N846" s="39">
        <v>3</v>
      </c>
      <c r="O846" s="26">
        <v>360</v>
      </c>
      <c r="P846" s="26" t="s">
        <v>116</v>
      </c>
      <c r="Q846" s="49">
        <v>24600</v>
      </c>
      <c r="R846" s="52"/>
      <c r="S846" s="39" t="s">
        <v>986</v>
      </c>
      <c r="T846" s="53">
        <v>0.125</v>
      </c>
      <c r="U846" s="53">
        <v>0.05</v>
      </c>
      <c r="V846" s="54"/>
      <c r="W846" s="37"/>
      <c r="X846" s="54">
        <f>IF(NOTA[[#This Row],[HARGA/ CTN]]="",NOTA[[#This Row],[JUMLAH_H]],NOTA[[#This Row],[HARGA/ CTN]]*IF(NOTA[[#This Row],[C]]="",0,NOTA[[#This Row],[C]]))</f>
        <v>8856000</v>
      </c>
      <c r="Y846" s="54">
        <f>IF(NOTA[[#This Row],[JUMLAH]]="","",NOTA[[#This Row],[JUMLAH]]*NOTA[[#This Row],[DISC 1]])</f>
        <v>1107000</v>
      </c>
      <c r="Z846" s="54">
        <f>IF(NOTA[[#This Row],[JUMLAH]]="","",(NOTA[[#This Row],[JUMLAH]]-NOTA[[#This Row],[DISC 1-]])*NOTA[[#This Row],[DISC 2]])</f>
        <v>387450</v>
      </c>
      <c r="AA846" s="54">
        <f>IF(NOTA[[#This Row],[JUMLAH]]="","",NOTA[[#This Row],[DISC 1-]]+NOTA[[#This Row],[DISC 2-]])</f>
        <v>1494450</v>
      </c>
      <c r="AB846" s="54">
        <f>IF(NOTA[[#This Row],[JUMLAH]]="","",NOTA[[#This Row],[JUMLAH]]-NOTA[[#This Row],[DISC]])</f>
        <v>7361550</v>
      </c>
      <c r="AC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1494450</v>
      </c>
      <c r="AD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7361550</v>
      </c>
      <c r="AE8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46" s="54">
        <f>IF(OR(NOTA[[#This Row],[QTY]]="",NOTA[[#This Row],[HARGA SATUAN]]="",),"",NOTA[[#This Row],[QTY]]*NOTA[[#This Row],[HARGA SATUAN]])</f>
        <v>8856000</v>
      </c>
      <c r="AG846" s="51">
        <f ca="1">IF(NOTA[ID_H]="","",INDEX(NOTA[TANGGAL],MATCH(,INDIRECT(ADDRESS(ROW(NOTA[TANGGAL]),COLUMN(NOTA[TANGGAL]))&amp;":"&amp;ADDRESS(ROW(),COLUMN(NOTA[TANGGAL]))),-1)))</f>
        <v>44959</v>
      </c>
      <c r="AH846" s="49" t="str">
        <f ca="1">IF(NOTA[[#This Row],[NAMA BARANG]]="","",INDEX(NOTA[SUPPLIER],MATCH(,INDIRECT(ADDRESS(ROW(NOTA[ID]),COLUMN(NOTA[ID]))&amp;":"&amp;ADDRESS(ROW(),COLUMN(NOTA[ID]))),-1)))</f>
        <v>ATALI MAKMUR</v>
      </c>
      <c r="AI846" s="49" t="str">
        <f ca="1">IF(NOTA[[#This Row],[ID_H]]="","",IF(NOTA[[#This Row],[FAKTUR]]="",INDIRECT(ADDRESS(ROW()-1,COLUMN())),NOTA[[#This Row],[FAKTUR]]))</f>
        <v>ARTO MORO</v>
      </c>
      <c r="AJ846" s="38">
        <f ca="1">IF(NOTA[[#This Row],[ID]]="","",COUNTIF(NOTA[ID_H],NOTA[[#This Row],[ID_H]]))</f>
        <v>1</v>
      </c>
      <c r="AK846" s="38">
        <f>IF(NOTA[[#This Row],[TGL.NOTA]]="",IF(NOTA[[#This Row],[SUPPLIER_H]]="","",AK845),MONTH(NOTA[[#This Row],[TGL.NOTA]]))</f>
        <v>1</v>
      </c>
      <c r="AL846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846" s="38" t="str">
        <f>IF(NOTA[C]="",NOTA[[#This Row],[CONCAT1]]&amp;NOTA[[#This Row],[HARGA SATUAN]],NOTA[[#This Row],[CONCAT1]]&amp;NOTA[[#This Row],[HARGA/ CTN_H]]&amp;NOTA[[#This Row],[DISC 1]]&amp;NOTA[[#This Row],[DISC 2]])</f>
        <v>cutterbladea100amsjk29520000.1250.05</v>
      </c>
      <c r="AN846" s="184">
        <f>IF(NOTA[[#This Row],[CONCAT1]]="","",MATCH(NOTA[[#This Row],[CONCAT1]],[1]!db[NB NOTA_C],0)+1)</f>
        <v>562</v>
      </c>
    </row>
    <row r="847" spans="1:40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Row],[CEK_EXP]]&lt;D846,"err","")</f>
        <v/>
      </c>
      <c r="D847" s="50">
        <f>IF(NOTA[[#This Row],[TANGGAL]]="",D846,NOTA[[#This Row],[TANGGAL]])</f>
        <v>44959</v>
      </c>
      <c r="E847" s="50" t="str">
        <f ca="1">IF(NOTA[[#This Row],[NAMA BARANG]]="","",INDEX(NOTA[ID],MATCH(,INDIRECT(ADDRESS(ROW(NOTA[ID]),COLUMN(NOTA[ID]))&amp;":"&amp;ADDRESS(ROW(),COLUMN(NOTA[ID]))),-1)))</f>
        <v/>
      </c>
      <c r="F847" s="23"/>
      <c r="G847" s="26"/>
      <c r="H847" s="26"/>
      <c r="I847" s="31"/>
      <c r="J847" s="26"/>
      <c r="K847" s="51"/>
      <c r="L847" s="26"/>
      <c r="M847" s="26"/>
      <c r="N847" s="39"/>
      <c r="O847" s="26"/>
      <c r="P847" s="26"/>
      <c r="Q847" s="49"/>
      <c r="R847" s="52"/>
      <c r="S847" s="39"/>
      <c r="T847" s="53"/>
      <c r="U847" s="53"/>
      <c r="V847" s="54"/>
      <c r="W847" s="37"/>
      <c r="X847" s="54" t="str">
        <f>IF(NOTA[[#This Row],[HARGA/ CTN]]="",NOTA[[#This Row],[JUMLAH_H]],NOTA[[#This Row],[HARGA/ CTN]]*IF(NOTA[[#This Row],[C]]="",0,NOTA[[#This Row],[C]]))</f>
        <v/>
      </c>
      <c r="Y847" s="54" t="str">
        <f>IF(NOTA[[#This Row],[JUMLAH]]="","",NOTA[[#This Row],[JUMLAH]]*NOTA[[#This Row],[DISC 1]])</f>
        <v/>
      </c>
      <c r="Z847" s="54" t="str">
        <f>IF(NOTA[[#This Row],[JUMLAH]]="","",(NOTA[[#This Row],[JUMLAH]]-NOTA[[#This Row],[DISC 1-]])*NOTA[[#This Row],[DISC 2]])</f>
        <v/>
      </c>
      <c r="AA847" s="54" t="str">
        <f>IF(NOTA[[#This Row],[JUMLAH]]="","",NOTA[[#This Row],[DISC 1-]]+NOTA[[#This Row],[DISC 2-]])</f>
        <v/>
      </c>
      <c r="AB847" s="54" t="str">
        <f>IF(NOTA[[#This Row],[JUMLAH]]="","",NOTA[[#This Row],[JUMLAH]]-NOTA[[#This Row],[DISC]])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54" t="str">
        <f>IF(OR(NOTA[[#This Row],[QTY]]="",NOTA[[#This Row],[HARGA SATUAN]]="",),"",NOTA[[#This Row],[QTY]]*NOTA[[#This Row],[HARGA SATUAN]])</f>
        <v/>
      </c>
      <c r="AG847" s="51" t="str">
        <f ca="1">IF(NOTA[ID_H]="","",INDEX(NOTA[TANGGAL],MATCH(,INDIRECT(ADDRESS(ROW(NOTA[TANGGAL]),COLUMN(NOTA[TANGGAL]))&amp;":"&amp;ADDRESS(ROW(),COLUMN(NOTA[TANGGAL]))),-1)))</f>
        <v/>
      </c>
      <c r="AH847" s="49" t="str">
        <f ca="1">IF(NOTA[[#This Row],[NAMA BARANG]]="","",INDEX(NOTA[SUPPLIER],MATCH(,INDIRECT(ADDRESS(ROW(NOTA[ID]),COLUMN(NOTA[ID]))&amp;":"&amp;ADDRESS(ROW(),COLUMN(NOTA[ID]))),-1)))</f>
        <v/>
      </c>
      <c r="AI847" s="49" t="str">
        <f ca="1">IF(NOTA[[#This Row],[ID_H]]="","",IF(NOTA[[#This Row],[FAKTUR]]="",INDIRECT(ADDRESS(ROW()-1,COLUMN())),NOTA[[#This Row],[FAKTUR]]))</f>
        <v/>
      </c>
      <c r="AJ847" s="38" t="str">
        <f ca="1">IF(NOTA[[#This Row],[ID]]="","",COUNTIF(NOTA[ID_H],NOTA[[#This Row],[ID_H]]))</f>
        <v/>
      </c>
      <c r="AK847" s="38" t="str">
        <f ca="1">IF(NOTA[[#This Row],[TGL.NOTA]]="",IF(NOTA[[#This Row],[SUPPLIER_H]]="","",AK846),MONTH(NOTA[[#This Row],[TGL.NOTA]]))</f>
        <v/>
      </c>
      <c r="AL847" s="38" t="str">
        <f>LOWER(SUBSTITUTE(SUBSTITUTE(SUBSTITUTE(SUBSTITUTE(SUBSTITUTE(SUBSTITUTE(SUBSTITUTE(SUBSTITUTE(SUBSTITUTE(NOTA[NAMA BARANG]," ",),".",""),"-",""),"(",""),")",""),",",""),"/",""),"""",""),"+",""))</f>
        <v/>
      </c>
      <c r="AM847" s="38" t="str">
        <f>IF(NOTA[C]="",NOTA[[#This Row],[CONCAT1]]&amp;NOTA[[#This Row],[HARGA SATUAN]],NOTA[[#This Row],[CONCAT1]]&amp;NOTA[[#This Row],[HARGA/ CTN_H]]&amp;NOTA[[#This Row],[DISC 1]]&amp;NOTA[[#This Row],[DISC 2]])</f>
        <v/>
      </c>
      <c r="AN847" s="184" t="str">
        <f>IF(NOTA[[#This Row],[CONCAT1]]="","",MATCH(NOTA[[#This Row],[CONCAT1]],[1]!db[NB NOTA_C],0)+1)</f>
        <v/>
      </c>
    </row>
    <row r="848" spans="1:40" ht="20.100000000000001" customHeight="1" x14ac:dyDescent="0.25">
      <c r="A848" s="49">
        <f ca="1">IF(INDIRECT(ADDRESS(ROW()-1,COLUMN(NOTA[[#Headers],[ID]])))="ID",1,IF(NOTA[[#This Row],[FAKTUR]]="","",COUNT(INDIRECT(ADDRESS(ROW(NOTA[ID]),COLUMN(NOTA[ID]))&amp;":"&amp;ADDRESS(ROW()-1,COLUMN(NOTA[ID]))))+1))</f>
        <v>163</v>
      </c>
      <c r="B8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ATA_0202_817-10</v>
      </c>
      <c r="C848" s="50" t="str">
        <f>IF(NOTA[[#This Row],[CEK_EXP]]&lt;D847,"err","")</f>
        <v/>
      </c>
      <c r="D848" s="50">
        <f>IF(NOTA[[#This Row],[TANGGAL]]="",D847,NOTA[[#This Row],[TANGGAL]])</f>
        <v>44959</v>
      </c>
      <c r="E848" s="50">
        <f ca="1">IF(NOTA[[#This Row],[NAMA BARANG]]="","",INDEX(NOTA[ID],MATCH(,INDIRECT(ADDRESS(ROW(NOTA[ID]),COLUMN(NOTA[ID]))&amp;":"&amp;ADDRESS(ROW(),COLUMN(NOTA[ID]))),-1)))</f>
        <v>163</v>
      </c>
      <c r="F848" s="23"/>
      <c r="G848" s="26" t="s">
        <v>25</v>
      </c>
      <c r="H848" s="26" t="s">
        <v>24</v>
      </c>
      <c r="I848" s="31" t="s">
        <v>987</v>
      </c>
      <c r="J848" s="26"/>
      <c r="K848" s="51">
        <v>44957</v>
      </c>
      <c r="L848" s="26"/>
      <c r="M848" s="26" t="s">
        <v>988</v>
      </c>
      <c r="N848" s="39">
        <v>1</v>
      </c>
      <c r="O848" s="26">
        <v>144</v>
      </c>
      <c r="P848" s="26" t="s">
        <v>104</v>
      </c>
      <c r="Q848" s="49">
        <v>6100</v>
      </c>
      <c r="R848" s="52"/>
      <c r="S848" s="39" t="s">
        <v>271</v>
      </c>
      <c r="T848" s="53">
        <v>0.125</v>
      </c>
      <c r="U848" s="53">
        <v>0.05</v>
      </c>
      <c r="V848" s="54"/>
      <c r="W848" s="37"/>
      <c r="X848" s="54">
        <f>IF(NOTA[[#This Row],[HARGA/ CTN]]="",NOTA[[#This Row],[JUMLAH_H]],NOTA[[#This Row],[HARGA/ CTN]]*IF(NOTA[[#This Row],[C]]="",0,NOTA[[#This Row],[C]]))</f>
        <v>878400</v>
      </c>
      <c r="Y848" s="54">
        <f>IF(NOTA[[#This Row],[JUMLAH]]="","",NOTA[[#This Row],[JUMLAH]]*NOTA[[#This Row],[DISC 1]])</f>
        <v>109800</v>
      </c>
      <c r="Z848" s="54">
        <f>IF(NOTA[[#This Row],[JUMLAH]]="","",(NOTA[[#This Row],[JUMLAH]]-NOTA[[#This Row],[DISC 1-]])*NOTA[[#This Row],[DISC 2]])</f>
        <v>38430</v>
      </c>
      <c r="AA848" s="54">
        <f>IF(NOTA[[#This Row],[JUMLAH]]="","",NOTA[[#This Row],[DISC 1-]]+NOTA[[#This Row],[DISC 2-]])</f>
        <v>148230</v>
      </c>
      <c r="AB848" s="54">
        <f>IF(NOTA[[#This Row],[JUMLAH]]="","",NOTA[[#This Row],[JUMLAH]]-NOTA[[#This Row],[DISC]])</f>
        <v>730170</v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49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F848" s="54">
        <f>IF(OR(NOTA[[#This Row],[QTY]]="",NOTA[[#This Row],[HARGA SATUAN]]="",),"",NOTA[[#This Row],[QTY]]*NOTA[[#This Row],[HARGA SATUAN]])</f>
        <v>878400</v>
      </c>
      <c r="AG848" s="51">
        <f ca="1">IF(NOTA[ID_H]="","",INDEX(NOTA[TANGGAL],MATCH(,INDIRECT(ADDRESS(ROW(NOTA[TANGGAL]),COLUMN(NOTA[TANGGAL]))&amp;":"&amp;ADDRESS(ROW(),COLUMN(NOTA[TANGGAL]))),-1)))</f>
        <v>44959</v>
      </c>
      <c r="AH848" s="49" t="str">
        <f ca="1">IF(NOTA[[#This Row],[NAMA BARANG]]="","",INDEX(NOTA[SUPPLIER],MATCH(,INDIRECT(ADDRESS(ROW(NOTA[ID]),COLUMN(NOTA[ID]))&amp;":"&amp;ADDRESS(ROW(),COLUMN(NOTA[ID]))),-1)))</f>
        <v>ATALI MAKMUR</v>
      </c>
      <c r="AI848" s="49" t="str">
        <f ca="1">IF(NOTA[[#This Row],[ID_H]]="","",IF(NOTA[[#This Row],[FAKTUR]]="",INDIRECT(ADDRESS(ROW()-1,COLUMN())),NOTA[[#This Row],[FAKTUR]]))</f>
        <v>ARTO MORO</v>
      </c>
      <c r="AJ848" s="38">
        <f ca="1">IF(NOTA[[#This Row],[ID]]="","",COUNTIF(NOTA[ID_H],NOTA[[#This Row],[ID_H]]))</f>
        <v>10</v>
      </c>
      <c r="AK848" s="38">
        <f>IF(NOTA[[#This Row],[TGL.NOTA]]="",IF(NOTA[[#This Row],[SUPPLIER_H]]="","",AK847),MONTH(NOTA[[#This Row],[TGL.NOTA]]))</f>
        <v>1</v>
      </c>
      <c r="AL848" s="38" t="str">
        <f>LOWER(SUBSTITUTE(SUBSTITUTE(SUBSTITUTE(SUBSTITUTE(SUBSTITUTE(SUBSTITUTE(SUBSTITUTE(SUBSTITUTE(SUBSTITUTE(NOTA[NAMA BARANG]," ",),".",""),"-",""),"(",""),")",""),",",""),"/",""),"""",""),"+",""))</f>
        <v>scissorsc828sgjk</v>
      </c>
      <c r="AM848" s="38" t="str">
        <f>IF(NOTA[C]="",NOTA[[#This Row],[CONCAT1]]&amp;NOTA[[#This Row],[HARGA SATUAN]],NOTA[[#This Row],[CONCAT1]]&amp;NOTA[[#This Row],[HARGA/ CTN_H]]&amp;NOTA[[#This Row],[DISC 1]]&amp;NOTA[[#This Row],[DISC 2]])</f>
        <v>scissorsc828sgjk8784000.1250.05</v>
      </c>
      <c r="AN848" s="184">
        <f>IF(NOTA[[#This Row],[CONCAT1]]="","",MATCH(NOTA[[#This Row],[CONCAT1]],[1]!db[NB NOTA_C],0)+1)</f>
        <v>1921</v>
      </c>
    </row>
    <row r="849" spans="1:40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Row],[CEK_EXP]]&lt;D848,"err","")</f>
        <v/>
      </c>
      <c r="D849" s="50">
        <f>IF(NOTA[[#This Row],[TANGGAL]]="",D848,NOTA[[#This Row],[TANGGAL]])</f>
        <v>44959</v>
      </c>
      <c r="E849" s="50">
        <f ca="1">IF(NOTA[[#This Row],[NAMA BARANG]]="","",INDEX(NOTA[ID],MATCH(,INDIRECT(ADDRESS(ROW(NOTA[ID]),COLUMN(NOTA[ID]))&amp;":"&amp;ADDRESS(ROW(),COLUMN(NOTA[ID]))),-1)))</f>
        <v>163</v>
      </c>
      <c r="F849" s="23"/>
      <c r="G849" s="26"/>
      <c r="H849" s="26"/>
      <c r="I849" s="31"/>
      <c r="J849" s="26"/>
      <c r="K849" s="51"/>
      <c r="L849" s="26"/>
      <c r="M849" s="26" t="s">
        <v>989</v>
      </c>
      <c r="N849" s="39">
        <v>1</v>
      </c>
      <c r="O849" s="26">
        <v>144</v>
      </c>
      <c r="P849" s="26" t="s">
        <v>104</v>
      </c>
      <c r="Q849" s="49">
        <v>7700</v>
      </c>
      <c r="R849" s="52"/>
      <c r="S849" s="39" t="s">
        <v>271</v>
      </c>
      <c r="T849" s="53">
        <v>0.125</v>
      </c>
      <c r="U849" s="53">
        <v>0.05</v>
      </c>
      <c r="V849" s="54"/>
      <c r="W849" s="37"/>
      <c r="X849" s="54">
        <f>IF(NOTA[[#This Row],[HARGA/ CTN]]="",NOTA[[#This Row],[JUMLAH_H]],NOTA[[#This Row],[HARGA/ CTN]]*IF(NOTA[[#This Row],[C]]="",0,NOTA[[#This Row],[C]]))</f>
        <v>1108800</v>
      </c>
      <c r="Y849" s="54">
        <f>IF(NOTA[[#This Row],[JUMLAH]]="","",NOTA[[#This Row],[JUMLAH]]*NOTA[[#This Row],[DISC 1]])</f>
        <v>138600</v>
      </c>
      <c r="Z849" s="54">
        <f>IF(NOTA[[#This Row],[JUMLAH]]="","",(NOTA[[#This Row],[JUMLAH]]-NOTA[[#This Row],[DISC 1-]])*NOTA[[#This Row],[DISC 2]])</f>
        <v>48510</v>
      </c>
      <c r="AA849" s="54">
        <f>IF(NOTA[[#This Row],[JUMLAH]]="","",NOTA[[#This Row],[DISC 1-]]+NOTA[[#This Row],[DISC 2-]])</f>
        <v>187110</v>
      </c>
      <c r="AB849" s="54">
        <f>IF(NOTA[[#This Row],[JUMLAH]]="","",NOTA[[#This Row],[JUMLAH]]-NOTA[[#This Row],[DISC]])</f>
        <v>921690</v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49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849" s="54">
        <f>IF(OR(NOTA[[#This Row],[QTY]]="",NOTA[[#This Row],[HARGA SATUAN]]="",),"",NOTA[[#This Row],[QTY]]*NOTA[[#This Row],[HARGA SATUAN]])</f>
        <v>1108800</v>
      </c>
      <c r="AG849" s="51">
        <f ca="1">IF(NOTA[ID_H]="","",INDEX(NOTA[TANGGAL],MATCH(,INDIRECT(ADDRESS(ROW(NOTA[TANGGAL]),COLUMN(NOTA[TANGGAL]))&amp;":"&amp;ADDRESS(ROW(),COLUMN(NOTA[TANGGAL]))),-1)))</f>
        <v>44959</v>
      </c>
      <c r="AH849" s="49" t="str">
        <f ca="1">IF(NOTA[[#This Row],[NAMA BARANG]]="","",INDEX(NOTA[SUPPLIER],MATCH(,INDIRECT(ADDRESS(ROW(NOTA[ID]),COLUMN(NOTA[ID]))&amp;":"&amp;ADDRESS(ROW(),COLUMN(NOTA[ID]))),-1)))</f>
        <v>ATALI MAKMUR</v>
      </c>
      <c r="AI849" s="49" t="str">
        <f ca="1">IF(NOTA[[#This Row],[ID_H]]="","",IF(NOTA[[#This Row],[FAKTUR]]="",INDIRECT(ADDRESS(ROW()-1,COLUMN())),NOTA[[#This Row],[FAKTUR]]))</f>
        <v>ARTO MORO</v>
      </c>
      <c r="AJ849" s="38" t="str">
        <f ca="1">IF(NOTA[[#This Row],[ID]]="","",COUNTIF(NOTA[ID_H],NOTA[[#This Row],[ID_H]]))</f>
        <v/>
      </c>
      <c r="AK849" s="38">
        <f ca="1">IF(NOTA[[#This Row],[TGL.NOTA]]="",IF(NOTA[[#This Row],[SUPPLIER_H]]="","",AK848),MONTH(NOTA[[#This Row],[TGL.NOTA]]))</f>
        <v>1</v>
      </c>
      <c r="AL849" s="38" t="str">
        <f>LOWER(SUBSTITUTE(SUBSTITUTE(SUBSTITUTE(SUBSTITUTE(SUBSTITUTE(SUBSTITUTE(SUBSTITUTE(SUBSTITUTE(SUBSTITUTE(NOTA[NAMA BARANG]," ",),".",""),"-",""),"(",""),")",""),",",""),"/",""),"""",""),"+",""))</f>
        <v>scissorsc838sgjk</v>
      </c>
      <c r="AM849" s="38" t="str">
        <f>IF(NOTA[C]="",NOTA[[#This Row],[CONCAT1]]&amp;NOTA[[#This Row],[HARGA SATUAN]],NOTA[[#This Row],[CONCAT1]]&amp;NOTA[[#This Row],[HARGA/ CTN_H]]&amp;NOTA[[#This Row],[DISC 1]]&amp;NOTA[[#This Row],[DISC 2]])</f>
        <v>scissorsc838sgjk11088000.1250.05</v>
      </c>
      <c r="AN849" s="184">
        <f>IF(NOTA[[#This Row],[CONCAT1]]="","",MATCH(NOTA[[#This Row],[CONCAT1]],[1]!db[NB NOTA_C],0)+1)</f>
        <v>1923</v>
      </c>
    </row>
    <row r="850" spans="1:40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Row],[CEK_EXP]]&lt;D849,"err","")</f>
        <v/>
      </c>
      <c r="D850" s="50">
        <f>IF(NOTA[[#This Row],[TANGGAL]]="",D849,NOTA[[#This Row],[TANGGAL]])</f>
        <v>44959</v>
      </c>
      <c r="E850" s="50">
        <f ca="1">IF(NOTA[[#This Row],[NAMA BARANG]]="","",INDEX(NOTA[ID],MATCH(,INDIRECT(ADDRESS(ROW(NOTA[ID]),COLUMN(NOTA[ID]))&amp;":"&amp;ADDRESS(ROW(),COLUMN(NOTA[ID]))),-1)))</f>
        <v>163</v>
      </c>
      <c r="F850" s="119"/>
      <c r="G850" s="120"/>
      <c r="H850" s="120"/>
      <c r="I850" s="121"/>
      <c r="J850" s="122"/>
      <c r="K850" s="122"/>
      <c r="L850" s="120"/>
      <c r="M850" s="26" t="s">
        <v>990</v>
      </c>
      <c r="N850" s="123">
        <v>1</v>
      </c>
      <c r="O850" s="120">
        <v>25</v>
      </c>
      <c r="P850" s="26" t="s">
        <v>116</v>
      </c>
      <c r="Q850" s="124">
        <v>70800</v>
      </c>
      <c r="R850" s="125"/>
      <c r="S850" s="39" t="s">
        <v>991</v>
      </c>
      <c r="T850" s="126">
        <v>0.125</v>
      </c>
      <c r="U850" s="126">
        <v>0.05</v>
      </c>
      <c r="V850" s="127"/>
      <c r="W850" s="128"/>
      <c r="X850" s="54">
        <f>IF(NOTA[[#This Row],[HARGA/ CTN]]="",NOTA[[#This Row],[JUMLAH_H]],NOTA[[#This Row],[HARGA/ CTN]]*IF(NOTA[[#This Row],[C]]="",0,NOTA[[#This Row],[C]]))</f>
        <v>1770000</v>
      </c>
      <c r="Y850" s="54">
        <f>IF(NOTA[[#This Row],[JUMLAH]]="","",NOTA[[#This Row],[JUMLAH]]*NOTA[[#This Row],[DISC 1]])</f>
        <v>221250</v>
      </c>
      <c r="Z850" s="54">
        <f>IF(NOTA[[#This Row],[JUMLAH]]="","",(NOTA[[#This Row],[JUMLAH]]-NOTA[[#This Row],[DISC 1-]])*NOTA[[#This Row],[DISC 2]])</f>
        <v>77437.5</v>
      </c>
      <c r="AA850" s="54">
        <f>IF(NOTA[[#This Row],[JUMLAH]]="","",NOTA[[#This Row],[DISC 1-]]+NOTA[[#This Row],[DISC 2-]])</f>
        <v>298687.5</v>
      </c>
      <c r="AB850" s="54">
        <f>IF(NOTA[[#This Row],[JUMLAH]]="","",NOTA[[#This Row],[JUMLAH]]-NOTA[[#This Row],[DISC]])</f>
        <v>1471312.5</v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50" s="54">
        <f>IF(OR(NOTA[[#This Row],[QTY]]="",NOTA[[#This Row],[HARGA SATUAN]]="",),"",NOTA[[#This Row],[QTY]]*NOTA[[#This Row],[HARGA SATUAN]])</f>
        <v>1770000</v>
      </c>
      <c r="AG850" s="51">
        <f ca="1">IF(NOTA[ID_H]="","",INDEX(NOTA[TANGGAL],MATCH(,INDIRECT(ADDRESS(ROW(NOTA[TANGGAL]),COLUMN(NOTA[TANGGAL]))&amp;":"&amp;ADDRESS(ROW(),COLUMN(NOTA[TANGGAL]))),-1)))</f>
        <v>44959</v>
      </c>
      <c r="AH850" s="49" t="str">
        <f ca="1">IF(NOTA[[#This Row],[NAMA BARANG]]="","",INDEX(NOTA[SUPPLIER],MATCH(,INDIRECT(ADDRESS(ROW(NOTA[ID]),COLUMN(NOTA[ID]))&amp;":"&amp;ADDRESS(ROW(),COLUMN(NOTA[ID]))),-1)))</f>
        <v>ATALI MAKMUR</v>
      </c>
      <c r="AI850" s="49" t="str">
        <f ca="1">IF(NOTA[[#This Row],[ID_H]]="","",IF(NOTA[[#This Row],[FAKTUR]]="",INDIRECT(ADDRESS(ROW()-1,COLUMN())),NOTA[[#This Row],[FAKTUR]]))</f>
        <v>ARTO MORO</v>
      </c>
      <c r="AJ850" s="38" t="str">
        <f ca="1">IF(NOTA[[#This Row],[ID]]="","",COUNTIF(NOTA[ID_H],NOTA[[#This Row],[ID_H]]))</f>
        <v/>
      </c>
      <c r="AK850" s="38">
        <f ca="1">IF(NOTA[[#This Row],[TGL.NOTA]]="",IF(NOTA[[#This Row],[SUPPLIER_H]]="","",AK849),MONTH(NOTA[[#This Row],[TGL.NOTA]]))</f>
        <v>1</v>
      </c>
      <c r="AL850" s="38" t="str">
        <f>LOWER(SUBSTITUTE(SUBSTITUTE(SUBSTITUTE(SUBSTITUTE(SUBSTITUTE(SUBSTITUTE(SUBSTITUTE(SUBSTITUTE(SUBSTITUTE(NOTA[NAMA BARANG]," ",),".",""),"-",""),"(",""),")",""),",",""),"/",""),"""",""),"+",""))</f>
        <v>staplerhd10mjk</v>
      </c>
      <c r="AM850" s="38" t="str">
        <f>IF(NOTA[C]="",NOTA[[#This Row],[CONCAT1]]&amp;NOTA[[#This Row],[HARGA SATUAN]],NOTA[[#This Row],[CONCAT1]]&amp;NOTA[[#This Row],[HARGA/ CTN_H]]&amp;NOTA[[#This Row],[DISC 1]]&amp;NOTA[[#This Row],[DISC 2]])</f>
        <v>staplerhd10mjk17700000.1250.05</v>
      </c>
      <c r="AN850" s="184">
        <f>IF(NOTA[[#This Row],[CONCAT1]]="","",MATCH(NOTA[[#This Row],[CONCAT1]],[1]!db[NB NOTA_C],0)+1)</f>
        <v>1981</v>
      </c>
    </row>
    <row r="851" spans="1:40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Row],[CEK_EXP]]&lt;D850,"err","")</f>
        <v/>
      </c>
      <c r="D851" s="50">
        <f>IF(NOTA[[#This Row],[TANGGAL]]="",D850,NOTA[[#This Row],[TANGGAL]])</f>
        <v>44959</v>
      </c>
      <c r="E851" s="50">
        <f ca="1">IF(NOTA[[#This Row],[NAMA BARANG]]="","",INDEX(NOTA[ID],MATCH(,INDIRECT(ADDRESS(ROW(NOTA[ID]),COLUMN(NOTA[ID]))&amp;":"&amp;ADDRESS(ROW(),COLUMN(NOTA[ID]))),-1)))</f>
        <v>163</v>
      </c>
      <c r="F851" s="119"/>
      <c r="G851" s="120"/>
      <c r="H851" s="120"/>
      <c r="I851" s="121"/>
      <c r="J851" s="120"/>
      <c r="K851" s="122"/>
      <c r="L851" s="120"/>
      <c r="M851" s="26" t="s">
        <v>992</v>
      </c>
      <c r="N851" s="123">
        <v>1</v>
      </c>
      <c r="O851" s="120">
        <v>25</v>
      </c>
      <c r="P851" s="26" t="s">
        <v>116</v>
      </c>
      <c r="Q851" s="124">
        <v>66600</v>
      </c>
      <c r="R851" s="125"/>
      <c r="S851" s="39" t="s">
        <v>991</v>
      </c>
      <c r="T851" s="126">
        <v>0.125</v>
      </c>
      <c r="U851" s="126">
        <v>0.05</v>
      </c>
      <c r="V851" s="127"/>
      <c r="W851" s="128"/>
      <c r="X851" s="54">
        <f>IF(NOTA[[#This Row],[HARGA/ CTN]]="",NOTA[[#This Row],[JUMLAH_H]],NOTA[[#This Row],[HARGA/ CTN]]*IF(NOTA[[#This Row],[C]]="",0,NOTA[[#This Row],[C]]))</f>
        <v>1665000</v>
      </c>
      <c r="Y851" s="54">
        <f>IF(NOTA[[#This Row],[JUMLAH]]="","",NOTA[[#This Row],[JUMLAH]]*NOTA[[#This Row],[DISC 1]])</f>
        <v>208125</v>
      </c>
      <c r="Z851" s="54">
        <f>IF(NOTA[[#This Row],[JUMLAH]]="","",(NOTA[[#This Row],[JUMLAH]]-NOTA[[#This Row],[DISC 1-]])*NOTA[[#This Row],[DISC 2]])</f>
        <v>72843.75</v>
      </c>
      <c r="AA851" s="54">
        <f>IF(NOTA[[#This Row],[JUMLAH]]="","",NOTA[[#This Row],[DISC 1-]]+NOTA[[#This Row],[DISC 2-]])</f>
        <v>280968.75</v>
      </c>
      <c r="AB851" s="54">
        <f>IF(NOTA[[#This Row],[JUMLAH]]="","",NOTA[[#This Row],[JUMLAH]]-NOTA[[#This Row],[DISC]])</f>
        <v>1384031.25</v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49">
        <f>IF(NOTA[[#This Row],[NAMA BARANG]]="","",IF(NOTA[[#This Row],[JUMLAH_H]]="",NOTA[[#This Row],[HARGA/ CTN]],NOTA[[#This Row],[QTY]]*NOTA[[#This Row],[HARGA SATUAN]]/IF(ISNUMBER(NOTA[[#This Row],[C]]),NOTA[[#This Row],[C]],1)))</f>
        <v>1665000</v>
      </c>
      <c r="AF851" s="54">
        <f>IF(OR(NOTA[[#This Row],[QTY]]="",NOTA[[#This Row],[HARGA SATUAN]]="",),"",NOTA[[#This Row],[QTY]]*NOTA[[#This Row],[HARGA SATUAN]])</f>
        <v>1665000</v>
      </c>
      <c r="AG851" s="51">
        <f ca="1">IF(NOTA[ID_H]="","",INDEX(NOTA[TANGGAL],MATCH(,INDIRECT(ADDRESS(ROW(NOTA[TANGGAL]),COLUMN(NOTA[TANGGAL]))&amp;":"&amp;ADDRESS(ROW(),COLUMN(NOTA[TANGGAL]))),-1)))</f>
        <v>44959</v>
      </c>
      <c r="AH851" s="49" t="str">
        <f ca="1">IF(NOTA[[#This Row],[NAMA BARANG]]="","",INDEX(NOTA[SUPPLIER],MATCH(,INDIRECT(ADDRESS(ROW(NOTA[ID]),COLUMN(NOTA[ID]))&amp;":"&amp;ADDRESS(ROW(),COLUMN(NOTA[ID]))),-1)))</f>
        <v>ATALI MAKMUR</v>
      </c>
      <c r="AI851" s="49" t="str">
        <f ca="1">IF(NOTA[[#This Row],[ID_H]]="","",IF(NOTA[[#This Row],[FAKTUR]]="",INDIRECT(ADDRESS(ROW()-1,COLUMN())),NOTA[[#This Row],[FAKTUR]]))</f>
        <v>ARTO MORO</v>
      </c>
      <c r="AJ851" s="38" t="str">
        <f ca="1">IF(NOTA[[#This Row],[ID]]="","",COUNTIF(NOTA[ID_H],NOTA[[#This Row],[ID_H]]))</f>
        <v/>
      </c>
      <c r="AK851" s="38">
        <f ca="1">IF(NOTA[[#This Row],[TGL.NOTA]]="",IF(NOTA[[#This Row],[SUPPLIER_H]]="","",AK850),MONTH(NOTA[[#This Row],[TGL.NOTA]]))</f>
        <v>1</v>
      </c>
      <c r="AL851" s="38" t="str">
        <f>LOWER(SUBSTITUTE(SUBSTITUTE(SUBSTITUTE(SUBSTITUTE(SUBSTITUTE(SUBSTITUTE(SUBSTITUTE(SUBSTITUTE(SUBSTITUTE(NOTA[NAMA BARANG]," ",),".",""),"-",""),"(",""),")",""),",",""),"/",""),"""",""),"+",""))</f>
        <v>staplerhd10mpjk</v>
      </c>
      <c r="AM851" s="38" t="str">
        <f>IF(NOTA[C]="",NOTA[[#This Row],[CONCAT1]]&amp;NOTA[[#This Row],[HARGA SATUAN]],NOTA[[#This Row],[CONCAT1]]&amp;NOTA[[#This Row],[HARGA/ CTN_H]]&amp;NOTA[[#This Row],[DISC 1]]&amp;NOTA[[#This Row],[DISC 2]])</f>
        <v>staplerhd10mpjk16650000.1250.05</v>
      </c>
      <c r="AN851" s="184">
        <f>IF(NOTA[[#This Row],[CONCAT1]]="","",MATCH(NOTA[[#This Row],[CONCAT1]],[1]!db[NB NOTA_C],0)+1)</f>
        <v>1982</v>
      </c>
    </row>
    <row r="852" spans="1:40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Row],[CEK_EXP]]&lt;D851,"err","")</f>
        <v/>
      </c>
      <c r="D852" s="50">
        <f>IF(NOTA[[#This Row],[TANGGAL]]="",D851,NOTA[[#This Row],[TANGGAL]])</f>
        <v>44959</v>
      </c>
      <c r="E852" s="50">
        <f ca="1">IF(NOTA[[#This Row],[NAMA BARANG]]="","",INDEX(NOTA[ID],MATCH(,INDIRECT(ADDRESS(ROW(NOTA[ID]),COLUMN(NOTA[ID]))&amp;":"&amp;ADDRESS(ROW(),COLUMN(NOTA[ID]))),-1)))</f>
        <v>163</v>
      </c>
      <c r="F852" s="119"/>
      <c r="G852" s="120"/>
      <c r="H852" s="120"/>
      <c r="I852" s="121"/>
      <c r="J852" s="120"/>
      <c r="K852" s="122"/>
      <c r="L852" s="120"/>
      <c r="M852" s="26" t="s">
        <v>993</v>
      </c>
      <c r="N852" s="123">
        <v>1</v>
      </c>
      <c r="O852" s="120">
        <v>36</v>
      </c>
      <c r="P852" s="26" t="s">
        <v>104</v>
      </c>
      <c r="Q852" s="124">
        <v>58000</v>
      </c>
      <c r="R852" s="125"/>
      <c r="S852" s="39" t="s">
        <v>209</v>
      </c>
      <c r="T852" s="126">
        <v>0.125</v>
      </c>
      <c r="U852" s="126">
        <v>0.05</v>
      </c>
      <c r="V852" s="127"/>
      <c r="W852" s="128"/>
      <c r="X852" s="54">
        <f>IF(NOTA[[#This Row],[HARGA/ CTN]]="",NOTA[[#This Row],[JUMLAH_H]],NOTA[[#This Row],[HARGA/ CTN]]*IF(NOTA[[#This Row],[C]]="",0,NOTA[[#This Row],[C]]))</f>
        <v>2088000</v>
      </c>
      <c r="Y852" s="54">
        <f>IF(NOTA[[#This Row],[JUMLAH]]="","",NOTA[[#This Row],[JUMLAH]]*NOTA[[#This Row],[DISC 1]])</f>
        <v>261000</v>
      </c>
      <c r="Z852" s="54">
        <f>IF(NOTA[[#This Row],[JUMLAH]]="","",(NOTA[[#This Row],[JUMLAH]]-NOTA[[#This Row],[DISC 1-]])*NOTA[[#This Row],[DISC 2]])</f>
        <v>91350</v>
      </c>
      <c r="AA852" s="54">
        <f>IF(NOTA[[#This Row],[JUMLAH]]="","",NOTA[[#This Row],[DISC 1-]]+NOTA[[#This Row],[DISC 2-]])</f>
        <v>352350</v>
      </c>
      <c r="AB852" s="54">
        <f>IF(NOTA[[#This Row],[JUMLAH]]="","",NOTA[[#This Row],[JUMLAH]]-NOTA[[#This Row],[DISC]])</f>
        <v>1735650</v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852" s="54">
        <f>IF(OR(NOTA[[#This Row],[QTY]]="",NOTA[[#This Row],[HARGA SATUAN]]="",),"",NOTA[[#This Row],[QTY]]*NOTA[[#This Row],[HARGA SATUAN]])</f>
        <v>2088000</v>
      </c>
      <c r="AG852" s="51">
        <f ca="1">IF(NOTA[ID_H]="","",INDEX(NOTA[TANGGAL],MATCH(,INDIRECT(ADDRESS(ROW(NOTA[TANGGAL]),COLUMN(NOTA[TANGGAL]))&amp;":"&amp;ADDRESS(ROW(),COLUMN(NOTA[TANGGAL]))),-1)))</f>
        <v>44959</v>
      </c>
      <c r="AH852" s="49" t="str">
        <f ca="1">IF(NOTA[[#This Row],[NAMA BARANG]]="","",INDEX(NOTA[SUPPLIER],MATCH(,INDIRECT(ADDRESS(ROW(NOTA[ID]),COLUMN(NOTA[ID]))&amp;":"&amp;ADDRESS(ROW(),COLUMN(NOTA[ID]))),-1)))</f>
        <v>ATALI MAKMUR</v>
      </c>
      <c r="AI852" s="49" t="str">
        <f ca="1">IF(NOTA[[#This Row],[ID_H]]="","",IF(NOTA[[#This Row],[FAKTUR]]="",INDIRECT(ADDRESS(ROW()-1,COLUMN())),NOTA[[#This Row],[FAKTUR]]))</f>
        <v>ARTO MORO</v>
      </c>
      <c r="AJ852" s="38" t="str">
        <f ca="1">IF(NOTA[[#This Row],[ID]]="","",COUNTIF(NOTA[ID_H],NOTA[[#This Row],[ID_H]]))</f>
        <v/>
      </c>
      <c r="AK852" s="38">
        <f ca="1">IF(NOTA[[#This Row],[TGL.NOTA]]="",IF(NOTA[[#This Row],[SUPPLIER_H]]="","",AK851),MONTH(NOTA[[#This Row],[TGL.NOTA]]))</f>
        <v>1</v>
      </c>
      <c r="AL852" s="38" t="str">
        <f>LOWER(SUBSTITUTE(SUBSTITUTE(SUBSTITUTE(SUBSTITUTE(SUBSTITUTE(SUBSTITUTE(SUBSTITUTE(SUBSTITUTE(SUBSTITUTE(NOTA[NAMA BARANG]," ",),".",""),"-",""),"(",""),")",""),",",""),"/",""),"""",""),"+",""))</f>
        <v>longreachstaplerhd35lajk</v>
      </c>
      <c r="AM852" s="38" t="str">
        <f>IF(NOTA[C]="",NOTA[[#This Row],[CONCAT1]]&amp;NOTA[[#This Row],[HARGA SATUAN]],NOTA[[#This Row],[CONCAT1]]&amp;NOTA[[#This Row],[HARGA/ CTN_H]]&amp;NOTA[[#This Row],[DISC 1]]&amp;NOTA[[#This Row],[DISC 2]])</f>
        <v>longreachstaplerhd35lajk20880000.1250.05</v>
      </c>
      <c r="AN852" s="184">
        <f>IF(NOTA[[#This Row],[CONCAT1]]="","",MATCH(NOTA[[#This Row],[CONCAT1]],[1]!db[NB NOTA_C],0)+1)</f>
        <v>1398</v>
      </c>
    </row>
    <row r="853" spans="1:40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Row],[CEK_EXP]]&lt;D852,"err","")</f>
        <v/>
      </c>
      <c r="D853" s="50">
        <f>IF(NOTA[[#This Row],[TANGGAL]]="",D852,NOTA[[#This Row],[TANGGAL]])</f>
        <v>44959</v>
      </c>
      <c r="E853" s="50">
        <f ca="1">IF(NOTA[[#This Row],[NAMA BARANG]]="","",INDEX(NOTA[ID],MATCH(,INDIRECT(ADDRESS(ROW(NOTA[ID]),COLUMN(NOTA[ID]))&amp;":"&amp;ADDRESS(ROW(),COLUMN(NOTA[ID]))),-1)))</f>
        <v>163</v>
      </c>
      <c r="F853" s="119"/>
      <c r="G853" s="120"/>
      <c r="H853" s="120"/>
      <c r="I853" s="121"/>
      <c r="J853" s="120"/>
      <c r="K853" s="122"/>
      <c r="L853" s="120"/>
      <c r="M853" s="26" t="s">
        <v>994</v>
      </c>
      <c r="N853" s="123">
        <v>1</v>
      </c>
      <c r="O853" s="120">
        <v>144</v>
      </c>
      <c r="P853" s="26" t="s">
        <v>116</v>
      </c>
      <c r="Q853" s="124">
        <v>6120</v>
      </c>
      <c r="R853" s="125"/>
      <c r="S853" s="39" t="s">
        <v>129</v>
      </c>
      <c r="T853" s="126">
        <v>0.125</v>
      </c>
      <c r="U853" s="126">
        <v>0.05</v>
      </c>
      <c r="V853" s="127"/>
      <c r="W853" s="128"/>
      <c r="X853" s="54">
        <f>IF(NOTA[[#This Row],[HARGA/ CTN]]="",NOTA[[#This Row],[JUMLAH_H]],NOTA[[#This Row],[HARGA/ CTN]]*IF(NOTA[[#This Row],[C]]="",0,NOTA[[#This Row],[C]]))</f>
        <v>881280</v>
      </c>
      <c r="Y853" s="54">
        <f>IF(NOTA[[#This Row],[JUMLAH]]="","",NOTA[[#This Row],[JUMLAH]]*NOTA[[#This Row],[DISC 1]])</f>
        <v>110160</v>
      </c>
      <c r="Z853" s="54">
        <f>IF(NOTA[[#This Row],[JUMLAH]]="","",(NOTA[[#This Row],[JUMLAH]]-NOTA[[#This Row],[DISC 1-]])*NOTA[[#This Row],[DISC 2]])</f>
        <v>38556</v>
      </c>
      <c r="AA853" s="54">
        <f>IF(NOTA[[#This Row],[JUMLAH]]="","",NOTA[[#This Row],[DISC 1-]]+NOTA[[#This Row],[DISC 2-]])</f>
        <v>148716</v>
      </c>
      <c r="AB853" s="54">
        <f>IF(NOTA[[#This Row],[JUMLAH]]="","",NOTA[[#This Row],[JUMLAH]]-NOTA[[#This Row],[DISC]])</f>
        <v>732564</v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49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853" s="54">
        <f>IF(OR(NOTA[[#This Row],[QTY]]="",NOTA[[#This Row],[HARGA SATUAN]]="",),"",NOTA[[#This Row],[QTY]]*NOTA[[#This Row],[HARGA SATUAN]])</f>
        <v>881280</v>
      </c>
      <c r="AG853" s="51">
        <f ca="1">IF(NOTA[ID_H]="","",INDEX(NOTA[TANGGAL],MATCH(,INDIRECT(ADDRESS(ROW(NOTA[TANGGAL]),COLUMN(NOTA[TANGGAL]))&amp;":"&amp;ADDRESS(ROW(),COLUMN(NOTA[TANGGAL]))),-1)))</f>
        <v>44959</v>
      </c>
      <c r="AH853" s="49" t="str">
        <f ca="1">IF(NOTA[[#This Row],[NAMA BARANG]]="","",INDEX(NOTA[SUPPLIER],MATCH(,INDIRECT(ADDRESS(ROW(NOTA[ID]),COLUMN(NOTA[ID]))&amp;":"&amp;ADDRESS(ROW(),COLUMN(NOTA[ID]))),-1)))</f>
        <v>ATALI MAKMUR</v>
      </c>
      <c r="AI853" s="49" t="str">
        <f ca="1">IF(NOTA[[#This Row],[ID_H]]="","",IF(NOTA[[#This Row],[FAKTUR]]="",INDIRECT(ADDRESS(ROW()-1,COLUMN())),NOTA[[#This Row],[FAKTUR]]))</f>
        <v>ARTO MORO</v>
      </c>
      <c r="AJ853" s="38" t="str">
        <f ca="1">IF(NOTA[[#This Row],[ID]]="","",COUNTIF(NOTA[ID_H],NOTA[[#This Row],[ID_H]]))</f>
        <v/>
      </c>
      <c r="AK853" s="38">
        <f ca="1">IF(NOTA[[#This Row],[TGL.NOTA]]="",IF(NOTA[[#This Row],[SUPPLIER_H]]="","",AK852),MONTH(NOTA[[#This Row],[TGL.NOTA]]))</f>
        <v>1</v>
      </c>
      <c r="AL853" s="38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M853" s="38" t="str">
        <f>IF(NOTA[C]="",NOTA[[#This Row],[CONCAT1]]&amp;NOTA[[#This Row],[HARGA SATUAN]],NOTA[[#This Row],[CONCAT1]]&amp;NOTA[[#This Row],[HARGA/ CTN_H]]&amp;NOTA[[#This Row],[DISC 1]]&amp;NOTA[[#This Row],[DISC 2]])</f>
        <v>ballpenbp273zetoblackjk8812800.1250.05</v>
      </c>
      <c r="AN853" s="184">
        <f>IF(NOTA[[#This Row],[CONCAT1]]="","",MATCH(NOTA[[#This Row],[CONCAT1]],[1]!db[NB NOTA_C],0)+1)</f>
        <v>74</v>
      </c>
    </row>
    <row r="854" spans="1:40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Row],[CEK_EXP]]&lt;D853,"err","")</f>
        <v/>
      </c>
      <c r="D854" s="50">
        <f>IF(NOTA[[#This Row],[TANGGAL]]="",D853,NOTA[[#This Row],[TANGGAL]])</f>
        <v>44959</v>
      </c>
      <c r="E854" s="50">
        <f ca="1">IF(NOTA[[#This Row],[NAMA BARANG]]="","",INDEX(NOTA[ID],MATCH(,INDIRECT(ADDRESS(ROW(NOTA[ID]),COLUMN(NOTA[ID]))&amp;":"&amp;ADDRESS(ROW(),COLUMN(NOTA[ID]))),-1)))</f>
        <v>163</v>
      </c>
      <c r="F854" s="119"/>
      <c r="G854" s="120"/>
      <c r="H854" s="120"/>
      <c r="I854" s="121"/>
      <c r="J854" s="120"/>
      <c r="K854" s="122"/>
      <c r="L854" s="120"/>
      <c r="M854" s="26" t="s">
        <v>995</v>
      </c>
      <c r="N854" s="123">
        <v>1</v>
      </c>
      <c r="O854" s="120">
        <v>50</v>
      </c>
      <c r="P854" s="26" t="s">
        <v>104</v>
      </c>
      <c r="Q854" s="124">
        <v>20500</v>
      </c>
      <c r="R854" s="125"/>
      <c r="S854" s="39" t="s">
        <v>126</v>
      </c>
      <c r="T854" s="126">
        <v>0.125</v>
      </c>
      <c r="U854" s="126">
        <v>0.05</v>
      </c>
      <c r="V854" s="127"/>
      <c r="W854" s="128"/>
      <c r="X854" s="54">
        <f>IF(NOTA[[#This Row],[HARGA/ CTN]]="",NOTA[[#This Row],[JUMLAH_H]],NOTA[[#This Row],[HARGA/ CTN]]*IF(NOTA[[#This Row],[C]]="",0,NOTA[[#This Row],[C]]))</f>
        <v>1025000</v>
      </c>
      <c r="Y854" s="54">
        <f>IF(NOTA[[#This Row],[JUMLAH]]="","",NOTA[[#This Row],[JUMLAH]]*NOTA[[#This Row],[DISC 1]])</f>
        <v>128125</v>
      </c>
      <c r="Z854" s="54">
        <f>IF(NOTA[[#This Row],[JUMLAH]]="","",(NOTA[[#This Row],[JUMLAH]]-NOTA[[#This Row],[DISC 1-]])*NOTA[[#This Row],[DISC 2]])</f>
        <v>44843.75</v>
      </c>
      <c r="AA854" s="54">
        <f>IF(NOTA[[#This Row],[JUMLAH]]="","",NOTA[[#This Row],[DISC 1-]]+NOTA[[#This Row],[DISC 2-]])</f>
        <v>172968.75</v>
      </c>
      <c r="AB854" s="54">
        <f>IF(NOTA[[#This Row],[JUMLAH]]="","",NOTA[[#This Row],[JUMLAH]]-NOTA[[#This Row],[DISC]])</f>
        <v>852031.25</v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49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854" s="54">
        <f>IF(OR(NOTA[[#This Row],[QTY]]="",NOTA[[#This Row],[HARGA SATUAN]]="",),"",NOTA[[#This Row],[QTY]]*NOTA[[#This Row],[HARGA SATUAN]])</f>
        <v>1025000</v>
      </c>
      <c r="AG854" s="51">
        <f ca="1">IF(NOTA[ID_H]="","",INDEX(NOTA[TANGGAL],MATCH(,INDIRECT(ADDRESS(ROW(NOTA[TANGGAL]),COLUMN(NOTA[TANGGAL]))&amp;":"&amp;ADDRESS(ROW(),COLUMN(NOTA[TANGGAL]))),-1)))</f>
        <v>44959</v>
      </c>
      <c r="AH854" s="49" t="str">
        <f ca="1">IF(NOTA[[#This Row],[NAMA BARANG]]="","",INDEX(NOTA[SUPPLIER],MATCH(,INDIRECT(ADDRESS(ROW(NOTA[ID]),COLUMN(NOTA[ID]))&amp;":"&amp;ADDRESS(ROW(),COLUMN(NOTA[ID]))),-1)))</f>
        <v>ATALI MAKMUR</v>
      </c>
      <c r="AI854" s="49" t="str">
        <f ca="1">IF(NOTA[[#This Row],[ID_H]]="","",IF(NOTA[[#This Row],[FAKTUR]]="",INDIRECT(ADDRESS(ROW()-1,COLUMN())),NOTA[[#This Row],[FAKTUR]]))</f>
        <v>ARTO MORO</v>
      </c>
      <c r="AJ854" s="38" t="str">
        <f ca="1">IF(NOTA[[#This Row],[ID]]="","",COUNTIF(NOTA[ID_H],NOTA[[#This Row],[ID_H]]))</f>
        <v/>
      </c>
      <c r="AK854" s="38">
        <f ca="1">IF(NOTA[[#This Row],[TGL.NOTA]]="",IF(NOTA[[#This Row],[SUPPLIER_H]]="","",AK853),MONTH(NOTA[[#This Row],[TGL.NOTA]]))</f>
        <v>1</v>
      </c>
      <c r="AL854" s="38" t="str">
        <f>LOWER(SUBSTITUTE(SUBSTITUTE(SUBSTITUTE(SUBSTITUTE(SUBSTITUTE(SUBSTITUTE(SUBSTITUTE(SUBSTITUTE(SUBSTITUTE(NOTA[NAMA BARANG]," ",),".",""),"-",""),"(",""),")",""),",",""),"/",""),"""",""),"+",""))</f>
        <v>desksetds0812jk</v>
      </c>
      <c r="AM854" s="38" t="str">
        <f>IF(NOTA[C]="",NOTA[[#This Row],[CONCAT1]]&amp;NOTA[[#This Row],[HARGA SATUAN]],NOTA[[#This Row],[CONCAT1]]&amp;NOTA[[#This Row],[HARGA/ CTN_H]]&amp;NOTA[[#This Row],[DISC 1]]&amp;NOTA[[#This Row],[DISC 2]])</f>
        <v>desksetds0812jk10250000.1250.05</v>
      </c>
      <c r="AN854" s="184">
        <f>IF(NOTA[[#This Row],[CONCAT1]]="","",MATCH(NOTA[[#This Row],[CONCAT1]],[1]!db[NB NOTA_C],0)+1)</f>
        <v>583</v>
      </c>
    </row>
    <row r="855" spans="1:40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Row],[CEK_EXP]]&lt;D854,"err","")</f>
        <v/>
      </c>
      <c r="D855" s="50">
        <f>IF(NOTA[[#This Row],[TANGGAL]]="",D854,NOTA[[#This Row],[TANGGAL]])</f>
        <v>44959</v>
      </c>
      <c r="E855" s="50">
        <f ca="1">IF(NOTA[[#This Row],[NAMA BARANG]]="","",INDEX(NOTA[ID],MATCH(,INDIRECT(ADDRESS(ROW(NOTA[ID]),COLUMN(NOTA[ID]))&amp;":"&amp;ADDRESS(ROW(),COLUMN(NOTA[ID]))),-1)))</f>
        <v>163</v>
      </c>
      <c r="F855" s="119"/>
      <c r="G855" s="120"/>
      <c r="H855" s="120"/>
      <c r="I855" s="121"/>
      <c r="J855" s="120"/>
      <c r="K855" s="122"/>
      <c r="L855" s="120"/>
      <c r="M855" s="26" t="s">
        <v>996</v>
      </c>
      <c r="N855" s="123">
        <v>1</v>
      </c>
      <c r="O855" s="120">
        <v>60</v>
      </c>
      <c r="P855" s="26" t="s">
        <v>131</v>
      </c>
      <c r="Q855" s="124">
        <v>31800</v>
      </c>
      <c r="R855" s="125"/>
      <c r="S855" s="39" t="s">
        <v>997</v>
      </c>
      <c r="T855" s="126">
        <v>0.125</v>
      </c>
      <c r="U855" s="126">
        <v>0.05</v>
      </c>
      <c r="V855" s="127"/>
      <c r="W855" s="128"/>
      <c r="X855" s="54">
        <f>IF(NOTA[[#This Row],[HARGA/ CTN]]="",NOTA[[#This Row],[JUMLAH_H]],NOTA[[#This Row],[HARGA/ CTN]]*IF(NOTA[[#This Row],[C]]="",0,NOTA[[#This Row],[C]]))</f>
        <v>1908000</v>
      </c>
      <c r="Y855" s="54">
        <f>IF(NOTA[[#This Row],[JUMLAH]]="","",NOTA[[#This Row],[JUMLAH]]*NOTA[[#This Row],[DISC 1]])</f>
        <v>238500</v>
      </c>
      <c r="Z855" s="54">
        <f>IF(NOTA[[#This Row],[JUMLAH]]="","",(NOTA[[#This Row],[JUMLAH]]-NOTA[[#This Row],[DISC 1-]])*NOTA[[#This Row],[DISC 2]])</f>
        <v>83475</v>
      </c>
      <c r="AA855" s="54">
        <f>IF(NOTA[[#This Row],[JUMLAH]]="","",NOTA[[#This Row],[DISC 1-]]+NOTA[[#This Row],[DISC 2-]])</f>
        <v>321975</v>
      </c>
      <c r="AB855" s="54">
        <f>IF(NOTA[[#This Row],[JUMLAH]]="","",NOTA[[#This Row],[JUMLAH]]-NOTA[[#This Row],[DISC]])</f>
        <v>1586025</v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55" s="54">
        <f>IF(OR(NOTA[[#This Row],[QTY]]="",NOTA[[#This Row],[HARGA SATUAN]]="",),"",NOTA[[#This Row],[QTY]]*NOTA[[#This Row],[HARGA SATUAN]])</f>
        <v>1908000</v>
      </c>
      <c r="AG855" s="51">
        <f ca="1">IF(NOTA[ID_H]="","",INDEX(NOTA[TANGGAL],MATCH(,INDIRECT(ADDRESS(ROW(NOTA[TANGGAL]),COLUMN(NOTA[TANGGAL]))&amp;":"&amp;ADDRESS(ROW(),COLUMN(NOTA[TANGGAL]))),-1)))</f>
        <v>44959</v>
      </c>
      <c r="AH855" s="49" t="str">
        <f ca="1">IF(NOTA[[#This Row],[NAMA BARANG]]="","",INDEX(NOTA[SUPPLIER],MATCH(,INDIRECT(ADDRESS(ROW(NOTA[ID]),COLUMN(NOTA[ID]))&amp;":"&amp;ADDRESS(ROW(),COLUMN(NOTA[ID]))),-1)))</f>
        <v>ATALI MAKMUR</v>
      </c>
      <c r="AI855" s="49" t="str">
        <f ca="1">IF(NOTA[[#This Row],[ID_H]]="","",IF(NOTA[[#This Row],[FAKTUR]]="",INDIRECT(ADDRESS(ROW()-1,COLUMN())),NOTA[[#This Row],[FAKTUR]]))</f>
        <v>ARTO MORO</v>
      </c>
      <c r="AJ855" s="38" t="str">
        <f ca="1">IF(NOTA[[#This Row],[ID]]="","",COUNTIF(NOTA[ID_H],NOTA[[#This Row],[ID_H]]))</f>
        <v/>
      </c>
      <c r="AK855" s="38">
        <f ca="1">IF(NOTA[[#This Row],[TGL.NOTA]]="",IF(NOTA[[#This Row],[SUPPLIER_H]]="","",AK854),MONTH(NOTA[[#This Row],[TGL.NOTA]]))</f>
        <v>1</v>
      </c>
      <c r="AL855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M855" s="38" t="str">
        <f>IF(NOTA[C]="",NOTA[[#This Row],[CONCAT1]]&amp;NOTA[[#This Row],[HARGA SATUAN]],NOTA[[#This Row],[CONCAT1]]&amp;NOTA[[#This Row],[HARGA/ CTN_H]]&amp;NOTA[[#This Row],[DISC 1]]&amp;NOTA[[#This Row],[DISC 2]])</f>
        <v>sharpenerb82bearjk19080000.1250.05</v>
      </c>
      <c r="AN855" s="184">
        <f>IF(NOTA[[#This Row],[CONCAT1]]="","",MATCH(NOTA[[#This Row],[CONCAT1]],[1]!db[NB NOTA_C],0)+1)</f>
        <v>1964</v>
      </c>
    </row>
    <row r="856" spans="1:40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Row],[CEK_EXP]]&lt;D855,"err","")</f>
        <v/>
      </c>
      <c r="D856" s="50">
        <f>IF(NOTA[[#This Row],[TANGGAL]]="",D855,NOTA[[#This Row],[TANGGAL]])</f>
        <v>44959</v>
      </c>
      <c r="E856" s="50">
        <f ca="1">IF(NOTA[[#This Row],[NAMA BARANG]]="","",INDEX(NOTA[ID],MATCH(,INDIRECT(ADDRESS(ROW(NOTA[ID]),COLUMN(NOTA[ID]))&amp;":"&amp;ADDRESS(ROW(),COLUMN(NOTA[ID]))),-1)))</f>
        <v>163</v>
      </c>
      <c r="F856" s="119"/>
      <c r="G856" s="120"/>
      <c r="H856" s="120"/>
      <c r="I856" s="121"/>
      <c r="J856" s="120"/>
      <c r="K856" s="122"/>
      <c r="L856" s="120"/>
      <c r="M856" s="26" t="s">
        <v>946</v>
      </c>
      <c r="N856" s="123">
        <v>1</v>
      </c>
      <c r="O856" s="120">
        <v>24</v>
      </c>
      <c r="P856" s="26" t="s">
        <v>104</v>
      </c>
      <c r="Q856" s="124">
        <v>11100</v>
      </c>
      <c r="R856" s="125"/>
      <c r="S856" s="39" t="s">
        <v>130</v>
      </c>
      <c r="T856" s="126">
        <v>0.125</v>
      </c>
      <c r="U856" s="126">
        <v>0.05</v>
      </c>
      <c r="V856" s="127"/>
      <c r="W856" s="128"/>
      <c r="X856" s="54">
        <f>IF(NOTA[[#This Row],[HARGA/ CTN]]="",NOTA[[#This Row],[JUMLAH_H]],NOTA[[#This Row],[HARGA/ CTN]]*IF(NOTA[[#This Row],[C]]="",0,NOTA[[#This Row],[C]]))</f>
        <v>266400</v>
      </c>
      <c r="Y856" s="54">
        <f>IF(NOTA[[#This Row],[JUMLAH]]="","",NOTA[[#This Row],[JUMLAH]]*NOTA[[#This Row],[DISC 1]])</f>
        <v>33300</v>
      </c>
      <c r="Z856" s="54">
        <f>IF(NOTA[[#This Row],[JUMLAH]]="","",(NOTA[[#This Row],[JUMLAH]]-NOTA[[#This Row],[DISC 1-]])*NOTA[[#This Row],[DISC 2]])</f>
        <v>11655</v>
      </c>
      <c r="AA856" s="54">
        <f>IF(NOTA[[#This Row],[JUMLAH]]="","",NOTA[[#This Row],[DISC 1-]]+NOTA[[#This Row],[DISC 2-]])</f>
        <v>44955</v>
      </c>
      <c r="AB856" s="54">
        <f>IF(NOTA[[#This Row],[JUMLAH]]="","",NOTA[[#This Row],[JUMLAH]]-NOTA[[#This Row],[DISC]])</f>
        <v>221445</v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856" s="54">
        <f>IF(OR(NOTA[[#This Row],[QTY]]="",NOTA[[#This Row],[HARGA SATUAN]]="",),"",NOTA[[#This Row],[QTY]]*NOTA[[#This Row],[HARGA SATUAN]])</f>
        <v>266400</v>
      </c>
      <c r="AG856" s="51">
        <f ca="1">IF(NOTA[ID_H]="","",INDEX(NOTA[TANGGAL],MATCH(,INDIRECT(ADDRESS(ROW(NOTA[TANGGAL]),COLUMN(NOTA[TANGGAL]))&amp;":"&amp;ADDRESS(ROW(),COLUMN(NOTA[TANGGAL]))),-1)))</f>
        <v>44959</v>
      </c>
      <c r="AH856" s="49" t="str">
        <f ca="1">IF(NOTA[[#This Row],[NAMA BARANG]]="","",INDEX(NOTA[SUPPLIER],MATCH(,INDIRECT(ADDRESS(ROW(NOTA[ID]),COLUMN(NOTA[ID]))&amp;":"&amp;ADDRESS(ROW(),COLUMN(NOTA[ID]))),-1)))</f>
        <v>ATALI MAKMUR</v>
      </c>
      <c r="AI856" s="49" t="str">
        <f ca="1">IF(NOTA[[#This Row],[ID_H]]="","",IF(NOTA[[#This Row],[FAKTUR]]="",INDIRECT(ADDRESS(ROW()-1,COLUMN())),NOTA[[#This Row],[FAKTUR]]))</f>
        <v>ARTO MORO</v>
      </c>
      <c r="AJ856" s="38" t="str">
        <f ca="1">IF(NOTA[[#This Row],[ID]]="","",COUNTIF(NOTA[ID_H],NOTA[[#This Row],[ID_H]]))</f>
        <v/>
      </c>
      <c r="AK856" s="38">
        <f ca="1">IF(NOTA[[#This Row],[TGL.NOTA]]="",IF(NOTA[[#This Row],[SUPPLIER_H]]="","",AK855),MONTH(NOTA[[#This Row],[TGL.NOTA]]))</f>
        <v>1</v>
      </c>
      <c r="AL856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856" s="38" t="str">
        <f>IF(NOTA[C]="",NOTA[[#This Row],[CONCAT1]]&amp;NOTA[[#This Row],[HARGA SATUAN]],NOTA[[#This Row],[CONCAT1]]&amp;NOTA[[#This Row],[HARGA/ CTN_H]]&amp;NOTA[[#This Row],[DISC 1]]&amp;NOTA[[#This Row],[DISC 2]])</f>
        <v>tapecuttertd102jk2664000.1250.05</v>
      </c>
      <c r="AN856" s="184">
        <f>IF(NOTA[[#This Row],[CONCAT1]]="","",MATCH(NOTA[[#This Row],[CONCAT1]],[1]!db[NB NOTA_C],0)+1)</f>
        <v>2025</v>
      </c>
    </row>
    <row r="857" spans="1:40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Row],[CEK_EXP]]&lt;D856,"err","")</f>
        <v/>
      </c>
      <c r="D857" s="50">
        <f>IF(NOTA[[#This Row],[TANGGAL]]="",D856,NOTA[[#This Row],[TANGGAL]])</f>
        <v>44959</v>
      </c>
      <c r="E857" s="50">
        <f ca="1">IF(NOTA[[#This Row],[NAMA BARANG]]="","",INDEX(NOTA[ID],MATCH(,INDIRECT(ADDRESS(ROW(NOTA[ID]),COLUMN(NOTA[ID]))&amp;":"&amp;ADDRESS(ROW(),COLUMN(NOTA[ID]))),-1)))</f>
        <v>163</v>
      </c>
      <c r="F857" s="119"/>
      <c r="G857" s="120"/>
      <c r="H857" s="120"/>
      <c r="I857" s="121"/>
      <c r="J857" s="120"/>
      <c r="K857" s="122"/>
      <c r="L857" s="120"/>
      <c r="M857" s="26" t="s">
        <v>627</v>
      </c>
      <c r="N857" s="123">
        <v>1</v>
      </c>
      <c r="O857" s="120">
        <v>768</v>
      </c>
      <c r="P857" s="26" t="s">
        <v>104</v>
      </c>
      <c r="Q857" s="124">
        <v>2100</v>
      </c>
      <c r="R857" s="125"/>
      <c r="S857" s="39" t="s">
        <v>628</v>
      </c>
      <c r="T857" s="126">
        <v>0.125</v>
      </c>
      <c r="U857" s="126">
        <v>0.05</v>
      </c>
      <c r="V857" s="127"/>
      <c r="W857" s="128"/>
      <c r="X857" s="54">
        <f>IF(NOTA[[#This Row],[HARGA/ CTN]]="",NOTA[[#This Row],[JUMLAH_H]],NOTA[[#This Row],[HARGA/ CTN]]*IF(NOTA[[#This Row],[C]]="",0,NOTA[[#This Row],[C]]))</f>
        <v>1612800</v>
      </c>
      <c r="Y857" s="54">
        <f>IF(NOTA[[#This Row],[JUMLAH]]="","",NOTA[[#This Row],[JUMLAH]]*NOTA[[#This Row],[DISC 1]])</f>
        <v>201600</v>
      </c>
      <c r="Z857" s="54">
        <f>IF(NOTA[[#This Row],[JUMLAH]]="","",(NOTA[[#This Row],[JUMLAH]]-NOTA[[#This Row],[DISC 1-]])*NOTA[[#This Row],[DISC 2]])</f>
        <v>70560</v>
      </c>
      <c r="AA857" s="54">
        <f>IF(NOTA[[#This Row],[JUMLAH]]="","",NOTA[[#This Row],[DISC 1-]]+NOTA[[#This Row],[DISC 2-]])</f>
        <v>272160</v>
      </c>
      <c r="AB857" s="54">
        <f>IF(NOTA[[#This Row],[JUMLAH]]="","",NOTA[[#This Row],[JUMLAH]]-NOTA[[#This Row],[DISC]])</f>
        <v>1340640</v>
      </c>
      <c r="AC8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2228121</v>
      </c>
      <c r="AD8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10975559</v>
      </c>
      <c r="AE857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57" s="54">
        <f>IF(OR(NOTA[[#This Row],[QTY]]="",NOTA[[#This Row],[HARGA SATUAN]]="",),"",NOTA[[#This Row],[QTY]]*NOTA[[#This Row],[HARGA SATUAN]])</f>
        <v>1612800</v>
      </c>
      <c r="AG857" s="51">
        <f ca="1">IF(NOTA[ID_H]="","",INDEX(NOTA[TANGGAL],MATCH(,INDIRECT(ADDRESS(ROW(NOTA[TANGGAL]),COLUMN(NOTA[TANGGAL]))&amp;":"&amp;ADDRESS(ROW(),COLUMN(NOTA[TANGGAL]))),-1)))</f>
        <v>44959</v>
      </c>
      <c r="AH857" s="49" t="str">
        <f ca="1">IF(NOTA[[#This Row],[NAMA BARANG]]="","",INDEX(NOTA[SUPPLIER],MATCH(,INDIRECT(ADDRESS(ROW(NOTA[ID]),COLUMN(NOTA[ID]))&amp;":"&amp;ADDRESS(ROW(),COLUMN(NOTA[ID]))),-1)))</f>
        <v>ATALI MAKMUR</v>
      </c>
      <c r="AI857" s="49" t="str">
        <f ca="1">IF(NOTA[[#This Row],[ID_H]]="","",IF(NOTA[[#This Row],[FAKTUR]]="",INDIRECT(ADDRESS(ROW()-1,COLUMN())),NOTA[[#This Row],[FAKTUR]]))</f>
        <v>ARTO MORO</v>
      </c>
      <c r="AJ857" s="38" t="str">
        <f ca="1">IF(NOTA[[#This Row],[ID]]="","",COUNTIF(NOTA[ID_H],NOTA[[#This Row],[ID_H]]))</f>
        <v/>
      </c>
      <c r="AK857" s="38">
        <f ca="1">IF(NOTA[[#This Row],[TGL.NOTA]]="",IF(NOTA[[#This Row],[SUPPLIER_H]]="","",AK856),MONTH(NOTA[[#This Row],[TGL.NOTA]]))</f>
        <v>1</v>
      </c>
      <c r="AL85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57" s="38" t="str">
        <f>IF(NOTA[C]="",NOTA[[#This Row],[CONCAT1]]&amp;NOTA[[#This Row],[HARGA SATUAN]],NOTA[[#This Row],[CONCAT1]]&amp;NOTA[[#This Row],[HARGA/ CTN_H]]&amp;NOTA[[#This Row],[DISC 1]]&amp;NOTA[[#This Row],[DISC 2]])</f>
        <v>gluestickgs098gramjk16128000.1250.05</v>
      </c>
      <c r="AN857" s="184">
        <f>IF(NOTA[[#This Row],[CONCAT1]]="","",MATCH(NOTA[[#This Row],[CONCAT1]],[1]!db[NB NOTA_C],0)+1)</f>
        <v>927</v>
      </c>
    </row>
    <row r="858" spans="1:40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Row],[CEK_EXP]]&lt;D857,"err","")</f>
        <v/>
      </c>
      <c r="D858" s="50">
        <f>IF(NOTA[[#This Row],[TANGGAL]]="",D857,NOTA[[#This Row],[TANGGAL]])</f>
        <v>44959</v>
      </c>
      <c r="E858" s="50" t="str">
        <f ca="1">IF(NOTA[[#This Row],[NAMA BARANG]]="","",INDEX(NOTA[ID],MATCH(,INDIRECT(ADDRESS(ROW(NOTA[ID]),COLUMN(NOTA[ID]))&amp;":"&amp;ADDRESS(ROW(),COLUMN(NOTA[ID]))),-1)))</f>
        <v/>
      </c>
      <c r="F858" s="119"/>
      <c r="G858" s="120"/>
      <c r="H858" s="120"/>
      <c r="I858" s="121"/>
      <c r="J858" s="120"/>
      <c r="K858" s="122"/>
      <c r="L858" s="120"/>
      <c r="M858" s="120"/>
      <c r="N858" s="123"/>
      <c r="O858" s="120"/>
      <c r="P858" s="120"/>
      <c r="Q858" s="124"/>
      <c r="R858" s="125"/>
      <c r="S858" s="123"/>
      <c r="T858" s="126"/>
      <c r="U858" s="126"/>
      <c r="V858" s="127"/>
      <c r="W858" s="128"/>
      <c r="X858" s="54" t="str">
        <f>IF(NOTA[[#This Row],[HARGA/ CTN]]="",NOTA[[#This Row],[JUMLAH_H]],NOTA[[#This Row],[HARGA/ CTN]]*IF(NOTA[[#This Row],[C]]="",0,NOTA[[#This Row],[C]]))</f>
        <v/>
      </c>
      <c r="Y858" s="54" t="str">
        <f>IF(NOTA[[#This Row],[JUMLAH]]="","",NOTA[[#This Row],[JUMLAH]]*NOTA[[#This Row],[DISC 1]])</f>
        <v/>
      </c>
      <c r="Z858" s="54" t="str">
        <f>IF(NOTA[[#This Row],[JUMLAH]]="","",(NOTA[[#This Row],[JUMLAH]]-NOTA[[#This Row],[DISC 1-]])*NOTA[[#This Row],[DISC 2]])</f>
        <v/>
      </c>
      <c r="AA858" s="54" t="str">
        <f>IF(NOTA[[#This Row],[JUMLAH]]="","",NOTA[[#This Row],[DISC 1-]]+NOTA[[#This Row],[DISC 2-]])</f>
        <v/>
      </c>
      <c r="AB858" s="54" t="str">
        <f>IF(NOTA[[#This Row],[JUMLAH]]="","",NOTA[[#This Row],[JUMLAH]]-NOTA[[#This Row],[DISC]])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54" t="str">
        <f>IF(OR(NOTA[[#This Row],[QTY]]="",NOTA[[#This Row],[HARGA SATUAN]]="",),"",NOTA[[#This Row],[QTY]]*NOTA[[#This Row],[HARGA SATUAN]])</f>
        <v/>
      </c>
      <c r="AG858" s="51" t="str">
        <f ca="1">IF(NOTA[ID_H]="","",INDEX(NOTA[TANGGAL],MATCH(,INDIRECT(ADDRESS(ROW(NOTA[TANGGAL]),COLUMN(NOTA[TANGGAL]))&amp;":"&amp;ADDRESS(ROW(),COLUMN(NOTA[TANGGAL]))),-1)))</f>
        <v/>
      </c>
      <c r="AH858" s="49" t="str">
        <f ca="1">IF(NOTA[[#This Row],[NAMA BARANG]]="","",INDEX(NOTA[SUPPLIER],MATCH(,INDIRECT(ADDRESS(ROW(NOTA[ID]),COLUMN(NOTA[ID]))&amp;":"&amp;ADDRESS(ROW(),COLUMN(NOTA[ID]))),-1)))</f>
        <v/>
      </c>
      <c r="AI858" s="49" t="str">
        <f ca="1">IF(NOTA[[#This Row],[ID_H]]="","",IF(NOTA[[#This Row],[FAKTUR]]="",INDIRECT(ADDRESS(ROW()-1,COLUMN())),NOTA[[#This Row],[FAKTUR]]))</f>
        <v/>
      </c>
      <c r="AJ858" s="38" t="str">
        <f ca="1">IF(NOTA[[#This Row],[ID]]="","",COUNTIF(NOTA[ID_H],NOTA[[#This Row],[ID_H]]))</f>
        <v/>
      </c>
      <c r="AK858" s="38" t="str">
        <f ca="1">IF(NOTA[[#This Row],[TGL.NOTA]]="",IF(NOTA[[#This Row],[SUPPLIER_H]]="","",AK857),MONTH(NOTA[[#This Row],[TGL.NOTA]]))</f>
        <v/>
      </c>
      <c r="AL858" s="38" t="str">
        <f>LOWER(SUBSTITUTE(SUBSTITUTE(SUBSTITUTE(SUBSTITUTE(SUBSTITUTE(SUBSTITUTE(SUBSTITUTE(SUBSTITUTE(SUBSTITUTE(NOTA[NAMA BARANG]," ",),".",""),"-",""),"(",""),")",""),",",""),"/",""),"""",""),"+",""))</f>
        <v/>
      </c>
      <c r="AM858" s="38" t="str">
        <f>IF(NOTA[C]="",NOTA[[#This Row],[CONCAT1]]&amp;NOTA[[#This Row],[HARGA SATUAN]],NOTA[[#This Row],[CONCAT1]]&amp;NOTA[[#This Row],[HARGA/ CTN_H]]&amp;NOTA[[#This Row],[DISC 1]]&amp;NOTA[[#This Row],[DISC 2]])</f>
        <v/>
      </c>
      <c r="AN858" s="184" t="str">
        <f>IF(NOTA[[#This Row],[CONCAT1]]="","",MATCH(NOTA[[#This Row],[CONCAT1]],[1]!db[NB NOTA_C],0)+1)</f>
        <v/>
      </c>
    </row>
    <row r="859" spans="1:40" ht="20.100000000000001" customHeight="1" x14ac:dyDescent="0.25">
      <c r="A859" s="49">
        <f ca="1">IF(INDIRECT(ADDRESS(ROW()-1,COLUMN(NOTA[[#Headers],[ID]])))="ID",1,IF(NOTA[[#This Row],[FAKTUR]]="","",COUNT(INDIRECT(ADDRESS(ROW(NOTA[ID]),COLUMN(NOTA[ID]))&amp;":"&amp;ADDRESS(ROW()-1,COLUMN(NOTA[ID]))))+1))</f>
        <v>164</v>
      </c>
      <c r="B8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ATA_0202_822-5</v>
      </c>
      <c r="C859" s="50" t="str">
        <f>IF(NOTA[[#This Row],[CEK_EXP]]&lt;D858,"err","")</f>
        <v/>
      </c>
      <c r="D859" s="50">
        <f>IF(NOTA[[#This Row],[TANGGAL]]="",D858,NOTA[[#This Row],[TANGGAL]])</f>
        <v>44959</v>
      </c>
      <c r="E859" s="50">
        <f ca="1">IF(NOTA[[#This Row],[NAMA BARANG]]="","",INDEX(NOTA[ID],MATCH(,INDIRECT(ADDRESS(ROW(NOTA[ID]),COLUMN(NOTA[ID]))&amp;":"&amp;ADDRESS(ROW(),COLUMN(NOTA[ID]))),-1)))</f>
        <v>164</v>
      </c>
      <c r="F859" s="119"/>
      <c r="G859" s="26" t="s">
        <v>25</v>
      </c>
      <c r="H859" s="26" t="s">
        <v>24</v>
      </c>
      <c r="I859" s="31" t="s">
        <v>998</v>
      </c>
      <c r="J859" s="120"/>
      <c r="K859" s="122">
        <v>44957</v>
      </c>
      <c r="L859" s="120"/>
      <c r="M859" s="26" t="s">
        <v>999</v>
      </c>
      <c r="N859" s="123">
        <v>1</v>
      </c>
      <c r="O859" s="120">
        <v>100</v>
      </c>
      <c r="P859" s="26" t="s">
        <v>95</v>
      </c>
      <c r="Q859" s="124">
        <v>8400</v>
      </c>
      <c r="R859" s="125"/>
      <c r="S859" s="39" t="s">
        <v>122</v>
      </c>
      <c r="T859" s="126">
        <v>0.125</v>
      </c>
      <c r="U859" s="126">
        <v>0.05</v>
      </c>
      <c r="V859" s="127"/>
      <c r="W859" s="128"/>
      <c r="X859" s="54">
        <f>IF(NOTA[[#This Row],[HARGA/ CTN]]="",NOTA[[#This Row],[JUMLAH_H]],NOTA[[#This Row],[HARGA/ CTN]]*IF(NOTA[[#This Row],[C]]="",0,NOTA[[#This Row],[C]]))</f>
        <v>840000</v>
      </c>
      <c r="Y859" s="54">
        <f>IF(NOTA[[#This Row],[JUMLAH]]="","",NOTA[[#This Row],[JUMLAH]]*NOTA[[#This Row],[DISC 1]])</f>
        <v>105000</v>
      </c>
      <c r="Z859" s="54">
        <f>IF(NOTA[[#This Row],[JUMLAH]]="","",(NOTA[[#This Row],[JUMLAH]]-NOTA[[#This Row],[DISC 1-]])*NOTA[[#This Row],[DISC 2]])</f>
        <v>36750</v>
      </c>
      <c r="AA859" s="54">
        <f>IF(NOTA[[#This Row],[JUMLAH]]="","",NOTA[[#This Row],[DISC 1-]]+NOTA[[#This Row],[DISC 2-]])</f>
        <v>141750</v>
      </c>
      <c r="AB859" s="54">
        <f>IF(NOTA[[#This Row],[JUMLAH]]="","",NOTA[[#This Row],[JUMLAH]]-NOTA[[#This Row],[DISC]])</f>
        <v>698250</v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859" s="54">
        <f>IF(OR(NOTA[[#This Row],[QTY]]="",NOTA[[#This Row],[HARGA SATUAN]]="",),"",NOTA[[#This Row],[QTY]]*NOTA[[#This Row],[HARGA SATUAN]])</f>
        <v>840000</v>
      </c>
      <c r="AG859" s="51">
        <f ca="1">IF(NOTA[ID_H]="","",INDEX(NOTA[TANGGAL],MATCH(,INDIRECT(ADDRESS(ROW(NOTA[TANGGAL]),COLUMN(NOTA[TANGGAL]))&amp;":"&amp;ADDRESS(ROW(),COLUMN(NOTA[TANGGAL]))),-1)))</f>
        <v>44959</v>
      </c>
      <c r="AH859" s="49" t="str">
        <f ca="1">IF(NOTA[[#This Row],[NAMA BARANG]]="","",INDEX(NOTA[SUPPLIER],MATCH(,INDIRECT(ADDRESS(ROW(NOTA[ID]),COLUMN(NOTA[ID]))&amp;":"&amp;ADDRESS(ROW(),COLUMN(NOTA[ID]))),-1)))</f>
        <v>ATALI MAKMUR</v>
      </c>
      <c r="AI859" s="49" t="str">
        <f ca="1">IF(NOTA[[#This Row],[ID_H]]="","",IF(NOTA[[#This Row],[FAKTUR]]="",INDIRECT(ADDRESS(ROW()-1,COLUMN())),NOTA[[#This Row],[FAKTUR]]))</f>
        <v>ARTO MORO</v>
      </c>
      <c r="AJ859" s="38">
        <f ca="1">IF(NOTA[[#This Row],[ID]]="","",COUNTIF(NOTA[ID_H],NOTA[[#This Row],[ID_H]]))</f>
        <v>5</v>
      </c>
      <c r="AK859" s="38">
        <f>IF(NOTA[[#This Row],[TGL.NOTA]]="",IF(NOTA[[#This Row],[SUPPLIER_H]]="","",AK858),MONTH(NOTA[[#This Row],[TGL.NOTA]]))</f>
        <v>1</v>
      </c>
      <c r="AL859" s="38" t="str">
        <f>LOWER(SUBSTITUTE(SUBSTITUTE(SUBSTITUTE(SUBSTITUTE(SUBSTITUTE(SUBSTITUTE(SUBSTITUTE(SUBSTITUTE(SUBSTITUTE(NOTA[NAMA BARANG]," ",),".",""),"-",""),"(",""),")",""),",",""),"/",""),"""",""),"+",""))</f>
        <v>paperfastenerpf50colorjk</v>
      </c>
      <c r="AM859" s="38" t="str">
        <f>IF(NOTA[C]="",NOTA[[#This Row],[CONCAT1]]&amp;NOTA[[#This Row],[HARGA SATUAN]],NOTA[[#This Row],[CONCAT1]]&amp;NOTA[[#This Row],[HARGA/ CTN_H]]&amp;NOTA[[#This Row],[DISC 1]]&amp;NOTA[[#This Row],[DISC 2]])</f>
        <v>paperfastenerpf50colorjk8400000.1250.05</v>
      </c>
      <c r="AN859" s="184">
        <f>IF(NOTA[[#This Row],[CONCAT1]]="","",MATCH(NOTA[[#This Row],[CONCAT1]],[1]!db[NB NOTA_C],0)+1)</f>
        <v>1631</v>
      </c>
    </row>
    <row r="860" spans="1:40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Row],[CEK_EXP]]&lt;D859,"err","")</f>
        <v/>
      </c>
      <c r="D860" s="50">
        <f>IF(NOTA[[#This Row],[TANGGAL]]="",D859,NOTA[[#This Row],[TANGGAL]])</f>
        <v>44959</v>
      </c>
      <c r="E860" s="50">
        <f ca="1">IF(NOTA[[#This Row],[NAMA BARANG]]="","",INDEX(NOTA[ID],MATCH(,INDIRECT(ADDRESS(ROW(NOTA[ID]),COLUMN(NOTA[ID]))&amp;":"&amp;ADDRESS(ROW(),COLUMN(NOTA[ID]))),-1)))</f>
        <v>164</v>
      </c>
      <c r="F860" s="119"/>
      <c r="G860" s="120"/>
      <c r="H860" s="120"/>
      <c r="I860" s="121"/>
      <c r="J860" s="120"/>
      <c r="K860" s="122"/>
      <c r="L860" s="120"/>
      <c r="M860" s="26" t="s">
        <v>1000</v>
      </c>
      <c r="N860" s="123">
        <v>1</v>
      </c>
      <c r="O860" s="120">
        <v>100</v>
      </c>
      <c r="P860" s="26" t="s">
        <v>95</v>
      </c>
      <c r="Q860" s="124">
        <v>8400</v>
      </c>
      <c r="R860" s="125"/>
      <c r="S860" s="39" t="s">
        <v>122</v>
      </c>
      <c r="T860" s="126">
        <v>0.125</v>
      </c>
      <c r="U860" s="126">
        <v>0.05</v>
      </c>
      <c r="V860" s="127"/>
      <c r="W860" s="128"/>
      <c r="X860" s="54">
        <f>IF(NOTA[[#This Row],[HARGA/ CTN]]="",NOTA[[#This Row],[JUMLAH_H]],NOTA[[#This Row],[HARGA/ CTN]]*IF(NOTA[[#This Row],[C]]="",0,NOTA[[#This Row],[C]]))</f>
        <v>840000</v>
      </c>
      <c r="Y860" s="54">
        <f>IF(NOTA[[#This Row],[JUMLAH]]="","",NOTA[[#This Row],[JUMLAH]]*NOTA[[#This Row],[DISC 1]])</f>
        <v>105000</v>
      </c>
      <c r="Z860" s="54">
        <f>IF(NOTA[[#This Row],[JUMLAH]]="","",(NOTA[[#This Row],[JUMLAH]]-NOTA[[#This Row],[DISC 1-]])*NOTA[[#This Row],[DISC 2]])</f>
        <v>36750</v>
      </c>
      <c r="AA860" s="54">
        <f>IF(NOTA[[#This Row],[JUMLAH]]="","",NOTA[[#This Row],[DISC 1-]]+NOTA[[#This Row],[DISC 2-]])</f>
        <v>141750</v>
      </c>
      <c r="AB860" s="54">
        <f>IF(NOTA[[#This Row],[JUMLAH]]="","",NOTA[[#This Row],[JUMLAH]]-NOTA[[#This Row],[DISC]])</f>
        <v>698250</v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860" s="54">
        <f>IF(OR(NOTA[[#This Row],[QTY]]="",NOTA[[#This Row],[HARGA SATUAN]]="",),"",NOTA[[#This Row],[QTY]]*NOTA[[#This Row],[HARGA SATUAN]])</f>
        <v>840000</v>
      </c>
      <c r="AG860" s="51">
        <f ca="1">IF(NOTA[ID_H]="","",INDEX(NOTA[TANGGAL],MATCH(,INDIRECT(ADDRESS(ROW(NOTA[TANGGAL]),COLUMN(NOTA[TANGGAL]))&amp;":"&amp;ADDRESS(ROW(),COLUMN(NOTA[TANGGAL]))),-1)))</f>
        <v>44959</v>
      </c>
      <c r="AH860" s="49" t="str">
        <f ca="1">IF(NOTA[[#This Row],[NAMA BARANG]]="","",INDEX(NOTA[SUPPLIER],MATCH(,INDIRECT(ADDRESS(ROW(NOTA[ID]),COLUMN(NOTA[ID]))&amp;":"&amp;ADDRESS(ROW(),COLUMN(NOTA[ID]))),-1)))</f>
        <v>ATALI MAKMUR</v>
      </c>
      <c r="AI860" s="49" t="str">
        <f ca="1">IF(NOTA[[#This Row],[ID_H]]="","",IF(NOTA[[#This Row],[FAKTUR]]="",INDIRECT(ADDRESS(ROW()-1,COLUMN())),NOTA[[#This Row],[FAKTUR]]))</f>
        <v>ARTO MORO</v>
      </c>
      <c r="AJ860" s="38" t="str">
        <f ca="1">IF(NOTA[[#This Row],[ID]]="","",COUNTIF(NOTA[ID_H],NOTA[[#This Row],[ID_H]]))</f>
        <v/>
      </c>
      <c r="AK860" s="38">
        <f ca="1">IF(NOTA[[#This Row],[TGL.NOTA]]="",IF(NOTA[[#This Row],[SUPPLIER_H]]="","",AK859),MONTH(NOTA[[#This Row],[TGL.NOTA]]))</f>
        <v>1</v>
      </c>
      <c r="AL860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M860" s="38" t="str">
        <f>IF(NOTA[C]="",NOTA[[#This Row],[CONCAT1]]&amp;NOTA[[#This Row],[HARGA SATUAN]],NOTA[[#This Row],[CONCAT1]]&amp;NOTA[[#This Row],[HARGA/ CTN_H]]&amp;NOTA[[#This Row],[DISC 1]]&amp;NOTA[[#This Row],[DISC 2]])</f>
        <v>paperfastenerpf50whitejk8400000.1250.05</v>
      </c>
      <c r="AN860" s="184">
        <f>IF(NOTA[[#This Row],[CONCAT1]]="","",MATCH(NOTA[[#This Row],[CONCAT1]],[1]!db[NB NOTA_C],0)+1)</f>
        <v>1632</v>
      </c>
    </row>
    <row r="861" spans="1:40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Row],[CEK_EXP]]&lt;D860,"err","")</f>
        <v/>
      </c>
      <c r="D861" s="50">
        <f>IF(NOTA[[#This Row],[TANGGAL]]="",D860,NOTA[[#This Row],[TANGGAL]])</f>
        <v>44959</v>
      </c>
      <c r="E861" s="50">
        <f ca="1">IF(NOTA[[#This Row],[NAMA BARANG]]="","",INDEX(NOTA[ID],MATCH(,INDIRECT(ADDRESS(ROW(NOTA[ID]),COLUMN(NOTA[ID]))&amp;":"&amp;ADDRESS(ROW(),COLUMN(NOTA[ID]))),-1)))</f>
        <v>164</v>
      </c>
      <c r="F861" s="119"/>
      <c r="G861" s="120"/>
      <c r="H861" s="120"/>
      <c r="I861" s="121"/>
      <c r="J861" s="120"/>
      <c r="K861" s="122"/>
      <c r="L861" s="120"/>
      <c r="M861" s="26" t="s">
        <v>1001</v>
      </c>
      <c r="N861" s="123">
        <v>1</v>
      </c>
      <c r="O861" s="120">
        <v>288</v>
      </c>
      <c r="P861" s="26" t="s">
        <v>1002</v>
      </c>
      <c r="Q861" s="124">
        <v>3100</v>
      </c>
      <c r="R861" s="125"/>
      <c r="S861" s="39" t="s">
        <v>1003</v>
      </c>
      <c r="T861" s="126">
        <v>0.125</v>
      </c>
      <c r="U861" s="126">
        <v>0.05</v>
      </c>
      <c r="V861" s="127"/>
      <c r="W861" s="128"/>
      <c r="X861" s="54">
        <f>IF(NOTA[[#This Row],[HARGA/ CTN]]="",NOTA[[#This Row],[JUMLAH_H]],NOTA[[#This Row],[HARGA/ CTN]]*IF(NOTA[[#This Row],[C]]="",0,NOTA[[#This Row],[C]]))</f>
        <v>892800</v>
      </c>
      <c r="Y861" s="54">
        <f>IF(NOTA[[#This Row],[JUMLAH]]="","",NOTA[[#This Row],[JUMLAH]]*NOTA[[#This Row],[DISC 1]])</f>
        <v>111600</v>
      </c>
      <c r="Z861" s="54">
        <f>IF(NOTA[[#This Row],[JUMLAH]]="","",(NOTA[[#This Row],[JUMLAH]]-NOTA[[#This Row],[DISC 1-]])*NOTA[[#This Row],[DISC 2]])</f>
        <v>39060</v>
      </c>
      <c r="AA861" s="54">
        <f>IF(NOTA[[#This Row],[JUMLAH]]="","",NOTA[[#This Row],[DISC 1-]]+NOTA[[#This Row],[DISC 2-]])</f>
        <v>150660</v>
      </c>
      <c r="AB861" s="54">
        <f>IF(NOTA[[#This Row],[JUMLAH]]="","",NOTA[[#This Row],[JUMLAH]]-NOTA[[#This Row],[DISC]])</f>
        <v>742140</v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861" s="54">
        <f>IF(OR(NOTA[[#This Row],[QTY]]="",NOTA[[#This Row],[HARGA SATUAN]]="",),"",NOTA[[#This Row],[QTY]]*NOTA[[#This Row],[HARGA SATUAN]])</f>
        <v>892800</v>
      </c>
      <c r="AG861" s="51">
        <f ca="1">IF(NOTA[ID_H]="","",INDEX(NOTA[TANGGAL],MATCH(,INDIRECT(ADDRESS(ROW(NOTA[TANGGAL]),COLUMN(NOTA[TANGGAL]))&amp;":"&amp;ADDRESS(ROW(),COLUMN(NOTA[TANGGAL]))),-1)))</f>
        <v>44959</v>
      </c>
      <c r="AH861" s="49" t="str">
        <f ca="1">IF(NOTA[[#This Row],[NAMA BARANG]]="","",INDEX(NOTA[SUPPLIER],MATCH(,INDIRECT(ADDRESS(ROW(NOTA[ID]),COLUMN(NOTA[ID]))&amp;":"&amp;ADDRESS(ROW(),COLUMN(NOTA[ID]))),-1)))</f>
        <v>ATALI MAKMUR</v>
      </c>
      <c r="AI861" s="49" t="str">
        <f ca="1">IF(NOTA[[#This Row],[ID_H]]="","",IF(NOTA[[#This Row],[FAKTUR]]="",INDIRECT(ADDRESS(ROW()-1,COLUMN())),NOTA[[#This Row],[FAKTUR]]))</f>
        <v>ARTO MORO</v>
      </c>
      <c r="AJ861" s="38" t="str">
        <f ca="1">IF(NOTA[[#This Row],[ID]]="","",COUNTIF(NOTA[ID_H],NOTA[[#This Row],[ID_H]]))</f>
        <v/>
      </c>
      <c r="AK861" s="38">
        <f ca="1">IF(NOTA[[#This Row],[TGL.NOTA]]="",IF(NOTA[[#This Row],[SUPPLIER_H]]="","",AK860),MONTH(NOTA[[#This Row],[TGL.NOTA]]))</f>
        <v>1</v>
      </c>
      <c r="AL861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M861" s="38" t="str">
        <f>IF(NOTA[C]="",NOTA[[#This Row],[CONCAT1]]&amp;NOTA[[#This Row],[HARGA SATUAN]],NOTA[[#This Row],[CONCAT1]]&amp;NOTA[[#This Row],[HARGA/ CTN_H]]&amp;NOTA[[#This Row],[DISC 1]]&amp;NOTA[[#This Row],[DISC 2]])</f>
        <v>paperclipc3100jk8928000.1250.05</v>
      </c>
      <c r="AN861" s="184">
        <f>IF(NOTA[[#This Row],[CONCAT1]]="","",MATCH(NOTA[[#This Row],[CONCAT1]],[1]!db[NB NOTA_C],0)+1)</f>
        <v>1625</v>
      </c>
    </row>
    <row r="862" spans="1:40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Row],[CEK_EXP]]&lt;D861,"err","")</f>
        <v/>
      </c>
      <c r="D862" s="50">
        <f>IF(NOTA[[#This Row],[TANGGAL]]="",D861,NOTA[[#This Row],[TANGGAL]])</f>
        <v>44959</v>
      </c>
      <c r="E862" s="50">
        <f ca="1">IF(NOTA[[#This Row],[NAMA BARANG]]="","",INDEX(NOTA[ID],MATCH(,INDIRECT(ADDRESS(ROW(NOTA[ID]),COLUMN(NOTA[ID]))&amp;":"&amp;ADDRESS(ROW(),COLUMN(NOTA[ID]))),-1)))</f>
        <v>164</v>
      </c>
      <c r="F862" s="119"/>
      <c r="G862" s="120"/>
      <c r="H862" s="120"/>
      <c r="I862" s="121"/>
      <c r="J862" s="120"/>
      <c r="K862" s="122"/>
      <c r="L862" s="120"/>
      <c r="M862" s="26" t="s">
        <v>482</v>
      </c>
      <c r="N862" s="123">
        <v>1</v>
      </c>
      <c r="O862" s="120">
        <v>12</v>
      </c>
      <c r="P862" s="26" t="s">
        <v>274</v>
      </c>
      <c r="Q862" s="124">
        <v>176400</v>
      </c>
      <c r="R862" s="125"/>
      <c r="S862" s="39" t="s">
        <v>117</v>
      </c>
      <c r="T862" s="126">
        <v>0.125</v>
      </c>
      <c r="U862" s="126">
        <v>0.05</v>
      </c>
      <c r="V862" s="127"/>
      <c r="W862" s="128"/>
      <c r="X862" s="54">
        <f>IF(NOTA[[#This Row],[HARGA/ CTN]]="",NOTA[[#This Row],[JUMLAH_H]],NOTA[[#This Row],[HARGA/ CTN]]*IF(NOTA[[#This Row],[C]]="",0,NOTA[[#This Row],[C]]))</f>
        <v>2116800</v>
      </c>
      <c r="Y862" s="54">
        <f>IF(NOTA[[#This Row],[JUMLAH]]="","",NOTA[[#This Row],[JUMLAH]]*NOTA[[#This Row],[DISC 1]])</f>
        <v>264600</v>
      </c>
      <c r="Z862" s="54">
        <f>IF(NOTA[[#This Row],[JUMLAH]]="","",(NOTA[[#This Row],[JUMLAH]]-NOTA[[#This Row],[DISC 1-]])*NOTA[[#This Row],[DISC 2]])</f>
        <v>92610</v>
      </c>
      <c r="AA862" s="54">
        <f>IF(NOTA[[#This Row],[JUMLAH]]="","",NOTA[[#This Row],[DISC 1-]]+NOTA[[#This Row],[DISC 2-]])</f>
        <v>357210</v>
      </c>
      <c r="AB862" s="54">
        <f>IF(NOTA[[#This Row],[JUMLAH]]="","",NOTA[[#This Row],[JUMLAH]]-NOTA[[#This Row],[DISC]])</f>
        <v>1759590</v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862" s="54">
        <f>IF(OR(NOTA[[#This Row],[QTY]]="",NOTA[[#This Row],[HARGA SATUAN]]="",),"",NOTA[[#This Row],[QTY]]*NOTA[[#This Row],[HARGA SATUAN]])</f>
        <v>2116800</v>
      </c>
      <c r="AG862" s="51">
        <f ca="1">IF(NOTA[ID_H]="","",INDEX(NOTA[TANGGAL],MATCH(,INDIRECT(ADDRESS(ROW(NOTA[TANGGAL]),COLUMN(NOTA[TANGGAL]))&amp;":"&amp;ADDRESS(ROW(),COLUMN(NOTA[TANGGAL]))),-1)))</f>
        <v>44959</v>
      </c>
      <c r="AH862" s="49" t="str">
        <f ca="1">IF(NOTA[[#This Row],[NAMA BARANG]]="","",INDEX(NOTA[SUPPLIER],MATCH(,INDIRECT(ADDRESS(ROW(NOTA[ID]),COLUMN(NOTA[ID]))&amp;":"&amp;ADDRESS(ROW(),COLUMN(NOTA[ID]))),-1)))</f>
        <v>ATALI MAKMUR</v>
      </c>
      <c r="AI862" s="49" t="str">
        <f ca="1">IF(NOTA[[#This Row],[ID_H]]="","",IF(NOTA[[#This Row],[FAKTUR]]="",INDIRECT(ADDRESS(ROW()-1,COLUMN())),NOTA[[#This Row],[FAKTUR]]))</f>
        <v>ARTO MORO</v>
      </c>
      <c r="AJ862" s="38" t="str">
        <f ca="1">IF(NOTA[[#This Row],[ID]]="","",COUNTIF(NOTA[ID_H],NOTA[[#This Row],[ID_H]]))</f>
        <v/>
      </c>
      <c r="AK862" s="38">
        <f ca="1">IF(NOTA[[#This Row],[TGL.NOTA]]="",IF(NOTA[[#This Row],[SUPPLIER_H]]="","",AK861),MONTH(NOTA[[#This Row],[TGL.NOTA]]))</f>
        <v>1</v>
      </c>
      <c r="AL86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862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N862" s="184">
        <f>IF(NOTA[[#This Row],[CONCAT1]]="","",MATCH(NOTA[[#This Row],[CONCAT1]],[1]!db[NB NOTA_C],0)+1)</f>
        <v>1760</v>
      </c>
    </row>
    <row r="863" spans="1:40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Row],[CEK_EXP]]&lt;D862,"err","")</f>
        <v/>
      </c>
      <c r="D863" s="50">
        <f>IF(NOTA[[#This Row],[TANGGAL]]="",D862,NOTA[[#This Row],[TANGGAL]])</f>
        <v>44959</v>
      </c>
      <c r="E863" s="50">
        <f ca="1">IF(NOTA[[#This Row],[NAMA BARANG]]="","",INDEX(NOTA[ID],MATCH(,INDIRECT(ADDRESS(ROW(NOTA[ID]),COLUMN(NOTA[ID]))&amp;":"&amp;ADDRESS(ROW(),COLUMN(NOTA[ID]))),-1)))</f>
        <v>164</v>
      </c>
      <c r="F863" s="119"/>
      <c r="G863" s="120"/>
      <c r="H863" s="120"/>
      <c r="I863" s="121"/>
      <c r="J863" s="120"/>
      <c r="K863" s="122"/>
      <c r="L863" s="120"/>
      <c r="M863" s="26" t="s">
        <v>946</v>
      </c>
      <c r="N863" s="123">
        <v>2</v>
      </c>
      <c r="O863" s="120">
        <v>48</v>
      </c>
      <c r="P863" s="26" t="s">
        <v>104</v>
      </c>
      <c r="Q863" s="124">
        <v>11100</v>
      </c>
      <c r="R863" s="125"/>
      <c r="S863" s="39" t="s">
        <v>130</v>
      </c>
      <c r="T863" s="126">
        <v>0.125</v>
      </c>
      <c r="U863" s="126">
        <v>0.05</v>
      </c>
      <c r="V863" s="127"/>
      <c r="W863" s="128"/>
      <c r="X863" s="54">
        <f>IF(NOTA[[#This Row],[HARGA/ CTN]]="",NOTA[[#This Row],[JUMLAH_H]],NOTA[[#This Row],[HARGA/ CTN]]*IF(NOTA[[#This Row],[C]]="",0,NOTA[[#This Row],[C]]))</f>
        <v>532800</v>
      </c>
      <c r="Y863" s="54">
        <f>IF(NOTA[[#This Row],[JUMLAH]]="","",NOTA[[#This Row],[JUMLAH]]*NOTA[[#This Row],[DISC 1]])</f>
        <v>66600</v>
      </c>
      <c r="Z863" s="54">
        <f>IF(NOTA[[#This Row],[JUMLAH]]="","",(NOTA[[#This Row],[JUMLAH]]-NOTA[[#This Row],[DISC 1-]])*NOTA[[#This Row],[DISC 2]])</f>
        <v>23310</v>
      </c>
      <c r="AA863" s="54">
        <f>IF(NOTA[[#This Row],[JUMLAH]]="","",NOTA[[#This Row],[DISC 1-]]+NOTA[[#This Row],[DISC 2-]])</f>
        <v>89910</v>
      </c>
      <c r="AB863" s="54">
        <f>IF(NOTA[[#This Row],[JUMLAH]]="","",NOTA[[#This Row],[JUMLAH]]-NOTA[[#This Row],[DISC]])</f>
        <v>442890</v>
      </c>
      <c r="AC8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881280</v>
      </c>
      <c r="AD8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4341120</v>
      </c>
      <c r="AE863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863" s="54">
        <f>IF(OR(NOTA[[#This Row],[QTY]]="",NOTA[[#This Row],[HARGA SATUAN]]="",),"",NOTA[[#This Row],[QTY]]*NOTA[[#This Row],[HARGA SATUAN]])</f>
        <v>532800</v>
      </c>
      <c r="AG863" s="51">
        <f ca="1">IF(NOTA[ID_H]="","",INDEX(NOTA[TANGGAL],MATCH(,INDIRECT(ADDRESS(ROW(NOTA[TANGGAL]),COLUMN(NOTA[TANGGAL]))&amp;":"&amp;ADDRESS(ROW(),COLUMN(NOTA[TANGGAL]))),-1)))</f>
        <v>44959</v>
      </c>
      <c r="AH863" s="49" t="str">
        <f ca="1">IF(NOTA[[#This Row],[NAMA BARANG]]="","",INDEX(NOTA[SUPPLIER],MATCH(,INDIRECT(ADDRESS(ROW(NOTA[ID]),COLUMN(NOTA[ID]))&amp;":"&amp;ADDRESS(ROW(),COLUMN(NOTA[ID]))),-1)))</f>
        <v>ATALI MAKMUR</v>
      </c>
      <c r="AI863" s="49" t="str">
        <f ca="1">IF(NOTA[[#This Row],[ID_H]]="","",IF(NOTA[[#This Row],[FAKTUR]]="",INDIRECT(ADDRESS(ROW()-1,COLUMN())),NOTA[[#This Row],[FAKTUR]]))</f>
        <v>ARTO MORO</v>
      </c>
      <c r="AJ863" s="38" t="str">
        <f ca="1">IF(NOTA[[#This Row],[ID]]="","",COUNTIF(NOTA[ID_H],NOTA[[#This Row],[ID_H]]))</f>
        <v/>
      </c>
      <c r="AK863" s="38">
        <f ca="1">IF(NOTA[[#This Row],[TGL.NOTA]]="",IF(NOTA[[#This Row],[SUPPLIER_H]]="","",AK862),MONTH(NOTA[[#This Row],[TGL.NOTA]]))</f>
        <v>1</v>
      </c>
      <c r="AL86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863" s="38" t="str">
        <f>IF(NOTA[C]="",NOTA[[#This Row],[CONCAT1]]&amp;NOTA[[#This Row],[HARGA SATUAN]],NOTA[[#This Row],[CONCAT1]]&amp;NOTA[[#This Row],[HARGA/ CTN_H]]&amp;NOTA[[#This Row],[DISC 1]]&amp;NOTA[[#This Row],[DISC 2]])</f>
        <v>tapecuttertd102jk2664000.1250.05</v>
      </c>
      <c r="AN863" s="184">
        <f>IF(NOTA[[#This Row],[CONCAT1]]="","",MATCH(NOTA[[#This Row],[CONCAT1]],[1]!db[NB NOTA_C],0)+1)</f>
        <v>2025</v>
      </c>
    </row>
    <row r="864" spans="1:40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Row],[CEK_EXP]]&lt;D863,"err","")</f>
        <v/>
      </c>
      <c r="D864" s="50">
        <f>IF(NOTA[[#This Row],[TANGGAL]]="",D863,NOTA[[#This Row],[TANGGAL]])</f>
        <v>44959</v>
      </c>
      <c r="E864" s="50" t="str">
        <f ca="1">IF(NOTA[[#This Row],[NAMA BARANG]]="","",INDEX(NOTA[ID],MATCH(,INDIRECT(ADDRESS(ROW(NOTA[ID]),COLUMN(NOTA[ID]))&amp;":"&amp;ADDRESS(ROW(),COLUMN(NOTA[ID]))),-1)))</f>
        <v/>
      </c>
      <c r="F864" s="119"/>
      <c r="G864" s="120"/>
      <c r="H864" s="120"/>
      <c r="I864" s="121"/>
      <c r="J864" s="120"/>
      <c r="K864" s="122"/>
      <c r="L864" s="120"/>
      <c r="M864" s="120"/>
      <c r="N864" s="123"/>
      <c r="O864" s="120"/>
      <c r="P864" s="120"/>
      <c r="Q864" s="124"/>
      <c r="R864" s="125"/>
      <c r="S864" s="123"/>
      <c r="T864" s="126"/>
      <c r="U864" s="126"/>
      <c r="V864" s="127"/>
      <c r="W864" s="128"/>
      <c r="X864" s="54" t="str">
        <f>IF(NOTA[[#This Row],[HARGA/ CTN]]="",NOTA[[#This Row],[JUMLAH_H]],NOTA[[#This Row],[HARGA/ CTN]]*IF(NOTA[[#This Row],[C]]="",0,NOTA[[#This Row],[C]]))</f>
        <v/>
      </c>
      <c r="Y864" s="54" t="str">
        <f>IF(NOTA[[#This Row],[JUMLAH]]="","",NOTA[[#This Row],[JUMLAH]]*NOTA[[#This Row],[DISC 1]])</f>
        <v/>
      </c>
      <c r="Z864" s="54" t="str">
        <f>IF(NOTA[[#This Row],[JUMLAH]]="","",(NOTA[[#This Row],[JUMLAH]]-NOTA[[#This Row],[DISC 1-]])*NOTA[[#This Row],[DISC 2]])</f>
        <v/>
      </c>
      <c r="AA864" s="54" t="str">
        <f>IF(NOTA[[#This Row],[JUMLAH]]="","",NOTA[[#This Row],[DISC 1-]]+NOTA[[#This Row],[DISC 2-]])</f>
        <v/>
      </c>
      <c r="AB864" s="54" t="str">
        <f>IF(NOTA[[#This Row],[JUMLAH]]="","",NOTA[[#This Row],[JUMLAH]]-NOTA[[#This Row],[DISC]])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54" t="str">
        <f>IF(OR(NOTA[[#This Row],[QTY]]="",NOTA[[#This Row],[HARGA SATUAN]]="",),"",NOTA[[#This Row],[QTY]]*NOTA[[#This Row],[HARGA SATUAN]])</f>
        <v/>
      </c>
      <c r="AG864" s="51" t="str">
        <f ca="1">IF(NOTA[ID_H]="","",INDEX(NOTA[TANGGAL],MATCH(,INDIRECT(ADDRESS(ROW(NOTA[TANGGAL]),COLUMN(NOTA[TANGGAL]))&amp;":"&amp;ADDRESS(ROW(),COLUMN(NOTA[TANGGAL]))),-1)))</f>
        <v/>
      </c>
      <c r="AH864" s="49" t="str">
        <f ca="1">IF(NOTA[[#This Row],[NAMA BARANG]]="","",INDEX(NOTA[SUPPLIER],MATCH(,INDIRECT(ADDRESS(ROW(NOTA[ID]),COLUMN(NOTA[ID]))&amp;":"&amp;ADDRESS(ROW(),COLUMN(NOTA[ID]))),-1)))</f>
        <v/>
      </c>
      <c r="AI864" s="49" t="str">
        <f ca="1">IF(NOTA[[#This Row],[ID_H]]="","",IF(NOTA[[#This Row],[FAKTUR]]="",INDIRECT(ADDRESS(ROW()-1,COLUMN())),NOTA[[#This Row],[FAKTUR]]))</f>
        <v/>
      </c>
      <c r="AJ864" s="38" t="str">
        <f ca="1">IF(NOTA[[#This Row],[ID]]="","",COUNTIF(NOTA[ID_H],NOTA[[#This Row],[ID_H]]))</f>
        <v/>
      </c>
      <c r="AK864" s="38" t="str">
        <f ca="1">IF(NOTA[[#This Row],[TGL.NOTA]]="",IF(NOTA[[#This Row],[SUPPLIER_H]]="","",AK863),MONTH(NOTA[[#This Row],[TGL.NOTA]]))</f>
        <v/>
      </c>
      <c r="AL864" s="38" t="str">
        <f>LOWER(SUBSTITUTE(SUBSTITUTE(SUBSTITUTE(SUBSTITUTE(SUBSTITUTE(SUBSTITUTE(SUBSTITUTE(SUBSTITUTE(SUBSTITUTE(NOTA[NAMA BARANG]," ",),".",""),"-",""),"(",""),")",""),",",""),"/",""),"""",""),"+",""))</f>
        <v/>
      </c>
      <c r="AM86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64" s="184" t="str">
        <f>IF(NOTA[[#This Row],[CONCAT1]]="","",MATCH(NOTA[[#This Row],[CONCAT1]],[1]!db[NB NOTA_C],0)+1)</f>
        <v/>
      </c>
    </row>
    <row r="865" spans="1:40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Row],[CEK_EXP]]&lt;D864,"err","")</f>
        <v/>
      </c>
      <c r="D865" s="50">
        <f>IF(NOTA[[#This Row],[TANGGAL]]="",D864,NOTA[[#This Row],[TANGGAL]])</f>
        <v>44959</v>
      </c>
      <c r="E865" s="50" t="str">
        <f ca="1">IF(NOTA[[#This Row],[NAMA BARANG]]="","",INDEX(NOTA[ID],MATCH(,INDIRECT(ADDRESS(ROW(NOTA[ID]),COLUMN(NOTA[ID]))&amp;":"&amp;ADDRESS(ROW(),COLUMN(NOTA[ID]))),-1)))</f>
        <v/>
      </c>
      <c r="F865" s="119"/>
      <c r="G865" s="120"/>
      <c r="H865" s="120"/>
      <c r="I865" s="121"/>
      <c r="J865" s="120"/>
      <c r="K865" s="122"/>
      <c r="L865" s="120"/>
      <c r="M865" s="120"/>
      <c r="N865" s="123"/>
      <c r="O865" s="120"/>
      <c r="P865" s="120"/>
      <c r="Q865" s="124"/>
      <c r="R865" s="125"/>
      <c r="S865" s="123"/>
      <c r="T865" s="126"/>
      <c r="U865" s="126"/>
      <c r="V865" s="127"/>
      <c r="W865" s="128"/>
      <c r="X865" s="54" t="str">
        <f>IF(NOTA[[#This Row],[HARGA/ CTN]]="",NOTA[[#This Row],[JUMLAH_H]],NOTA[[#This Row],[HARGA/ CTN]]*IF(NOTA[[#This Row],[C]]="",0,NOTA[[#This Row],[C]]))</f>
        <v/>
      </c>
      <c r="Y865" s="54" t="str">
        <f>IF(NOTA[[#This Row],[JUMLAH]]="","",NOTA[[#This Row],[JUMLAH]]*NOTA[[#This Row],[DISC 1]])</f>
        <v/>
      </c>
      <c r="Z865" s="54" t="str">
        <f>IF(NOTA[[#This Row],[JUMLAH]]="","",(NOTA[[#This Row],[JUMLAH]]-NOTA[[#This Row],[DISC 1-]])*NOTA[[#This Row],[DISC 2]])</f>
        <v/>
      </c>
      <c r="AA865" s="54" t="str">
        <f>IF(NOTA[[#This Row],[JUMLAH]]="","",NOTA[[#This Row],[DISC 1-]]+NOTA[[#This Row],[DISC 2-]])</f>
        <v/>
      </c>
      <c r="AB865" s="54" t="str">
        <f>IF(NOTA[[#This Row],[JUMLAH]]="","",NOTA[[#This Row],[JUMLAH]]-NOTA[[#This Row],[DISC]])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54" t="str">
        <f>IF(OR(NOTA[[#This Row],[QTY]]="",NOTA[[#This Row],[HARGA SATUAN]]="",),"",NOTA[[#This Row],[QTY]]*NOTA[[#This Row],[HARGA SATUAN]])</f>
        <v/>
      </c>
      <c r="AG865" s="51" t="str">
        <f ca="1">IF(NOTA[ID_H]="","",INDEX(NOTA[TANGGAL],MATCH(,INDIRECT(ADDRESS(ROW(NOTA[TANGGAL]),COLUMN(NOTA[TANGGAL]))&amp;":"&amp;ADDRESS(ROW(),COLUMN(NOTA[TANGGAL]))),-1)))</f>
        <v/>
      </c>
      <c r="AH865" s="49" t="str">
        <f ca="1">IF(NOTA[[#This Row],[NAMA BARANG]]="","",INDEX(NOTA[SUPPLIER],MATCH(,INDIRECT(ADDRESS(ROW(NOTA[ID]),COLUMN(NOTA[ID]))&amp;":"&amp;ADDRESS(ROW(),COLUMN(NOTA[ID]))),-1)))</f>
        <v/>
      </c>
      <c r="AI865" s="49" t="str">
        <f ca="1">IF(NOTA[[#This Row],[ID_H]]="","",IF(NOTA[[#This Row],[FAKTUR]]="",INDIRECT(ADDRESS(ROW()-1,COLUMN())),NOTA[[#This Row],[FAKTUR]]))</f>
        <v/>
      </c>
      <c r="AJ865" s="38" t="str">
        <f ca="1">IF(NOTA[[#This Row],[ID]]="","",COUNTIF(NOTA[ID_H],NOTA[[#This Row],[ID_H]]))</f>
        <v/>
      </c>
      <c r="AK865" s="38" t="str">
        <f ca="1">IF(NOTA[[#This Row],[TGL.NOTA]]="",IF(NOTA[[#This Row],[SUPPLIER_H]]="","",AK864),MONTH(NOTA[[#This Row],[TGL.NOTA]]))</f>
        <v/>
      </c>
      <c r="AL865" s="38" t="str">
        <f>LOWER(SUBSTITUTE(SUBSTITUTE(SUBSTITUTE(SUBSTITUTE(SUBSTITUTE(SUBSTITUTE(SUBSTITUTE(SUBSTITUTE(SUBSTITUTE(NOTA[NAMA BARANG]," ",),".",""),"-",""),"(",""),")",""),",",""),"/",""),"""",""),"+",""))</f>
        <v/>
      </c>
      <c r="AM865" s="38" t="str">
        <f>IF(NOTA[C]="",NOTA[[#This Row],[CONCAT1]]&amp;NOTA[[#This Row],[HARGA SATUAN]],NOTA[[#This Row],[CONCAT1]]&amp;NOTA[[#This Row],[HARGA/ CTN_H]]&amp;NOTA[[#This Row],[DISC 1]]&amp;NOTA[[#This Row],[DISC 2]])</f>
        <v/>
      </c>
      <c r="AN865" s="184" t="str">
        <f>IF(NOTA[[#This Row],[CONCAT1]]="","",MATCH(NOTA[[#This Row],[CONCAT1]],[1]!db[NB NOTA_C],0)+1)</f>
        <v/>
      </c>
    </row>
    <row r="866" spans="1:40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Row],[CEK_EXP]]&lt;D865,"err","")</f>
        <v/>
      </c>
      <c r="D866" s="50">
        <f>IF(NOTA[[#This Row],[TANGGAL]]="",D865,NOTA[[#This Row],[TANGGAL]])</f>
        <v>44959</v>
      </c>
      <c r="E866" s="50" t="str">
        <f ca="1">IF(NOTA[[#This Row],[NAMA BARANG]]="","",INDEX(NOTA[ID],MATCH(,INDIRECT(ADDRESS(ROW(NOTA[ID]),COLUMN(NOTA[ID]))&amp;":"&amp;ADDRESS(ROW(),COLUMN(NOTA[ID]))),-1)))</f>
        <v/>
      </c>
      <c r="F866" s="119"/>
      <c r="G866" s="120"/>
      <c r="H866" s="120"/>
      <c r="I866" s="121"/>
      <c r="J866" s="120"/>
      <c r="K866" s="122"/>
      <c r="L866" s="120"/>
      <c r="M866" s="120"/>
      <c r="N866" s="123"/>
      <c r="O866" s="120"/>
      <c r="P866" s="120"/>
      <c r="Q866" s="124"/>
      <c r="R866" s="125"/>
      <c r="S866" s="123"/>
      <c r="T866" s="126"/>
      <c r="U866" s="126"/>
      <c r="V866" s="127"/>
      <c r="W866" s="128"/>
      <c r="X866" s="54" t="str">
        <f>IF(NOTA[[#This Row],[HARGA/ CTN]]="",NOTA[[#This Row],[JUMLAH_H]],NOTA[[#This Row],[HARGA/ CTN]]*IF(NOTA[[#This Row],[C]]="",0,NOTA[[#This Row],[C]]))</f>
        <v/>
      </c>
      <c r="Y866" s="54" t="str">
        <f>IF(NOTA[[#This Row],[JUMLAH]]="","",NOTA[[#This Row],[JUMLAH]]*NOTA[[#This Row],[DISC 1]])</f>
        <v/>
      </c>
      <c r="Z866" s="54" t="str">
        <f>IF(NOTA[[#This Row],[JUMLAH]]="","",(NOTA[[#This Row],[JUMLAH]]-NOTA[[#This Row],[DISC 1-]])*NOTA[[#This Row],[DISC 2]])</f>
        <v/>
      </c>
      <c r="AA866" s="54" t="str">
        <f>IF(NOTA[[#This Row],[JUMLAH]]="","",NOTA[[#This Row],[DISC 1-]]+NOTA[[#This Row],[DISC 2-]])</f>
        <v/>
      </c>
      <c r="AB866" s="54" t="str">
        <f>IF(NOTA[[#This Row],[JUMLAH]]="","",NOTA[[#This Row],[JUMLAH]]-NOTA[[#This Row],[DISC]])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54" t="str">
        <f>IF(OR(NOTA[[#This Row],[QTY]]="",NOTA[[#This Row],[HARGA SATUAN]]="",),"",NOTA[[#This Row],[QTY]]*NOTA[[#This Row],[HARGA SATUAN]])</f>
        <v/>
      </c>
      <c r="AG866" s="51" t="str">
        <f ca="1">IF(NOTA[ID_H]="","",INDEX(NOTA[TANGGAL],MATCH(,INDIRECT(ADDRESS(ROW(NOTA[TANGGAL]),COLUMN(NOTA[TANGGAL]))&amp;":"&amp;ADDRESS(ROW(),COLUMN(NOTA[TANGGAL]))),-1)))</f>
        <v/>
      </c>
      <c r="AH866" s="49" t="str">
        <f ca="1">IF(NOTA[[#This Row],[NAMA BARANG]]="","",INDEX(NOTA[SUPPLIER],MATCH(,INDIRECT(ADDRESS(ROW(NOTA[ID]),COLUMN(NOTA[ID]))&amp;":"&amp;ADDRESS(ROW(),COLUMN(NOTA[ID]))),-1)))</f>
        <v/>
      </c>
      <c r="AI866" s="49" t="str">
        <f ca="1">IF(NOTA[[#This Row],[ID_H]]="","",IF(NOTA[[#This Row],[FAKTUR]]="",INDIRECT(ADDRESS(ROW()-1,COLUMN())),NOTA[[#This Row],[FAKTUR]]))</f>
        <v/>
      </c>
      <c r="AJ866" s="38" t="str">
        <f ca="1">IF(NOTA[[#This Row],[ID]]="","",COUNTIF(NOTA[ID_H],NOTA[[#This Row],[ID_H]]))</f>
        <v/>
      </c>
      <c r="AK866" s="38" t="str">
        <f ca="1">IF(NOTA[[#This Row],[TGL.NOTA]]="",IF(NOTA[[#This Row],[SUPPLIER_H]]="","",AK865),MONTH(NOTA[[#This Row],[TGL.NOTA]]))</f>
        <v/>
      </c>
      <c r="AL866" s="38" t="str">
        <f>LOWER(SUBSTITUTE(SUBSTITUTE(SUBSTITUTE(SUBSTITUTE(SUBSTITUTE(SUBSTITUTE(SUBSTITUTE(SUBSTITUTE(SUBSTITUTE(NOTA[NAMA BARANG]," ",),".",""),"-",""),"(",""),")",""),",",""),"/",""),"""",""),"+",""))</f>
        <v/>
      </c>
      <c r="AM866" s="38" t="str">
        <f>IF(NOTA[C]="",NOTA[[#This Row],[CONCAT1]]&amp;NOTA[[#This Row],[HARGA SATUAN]],NOTA[[#This Row],[CONCAT1]]&amp;NOTA[[#This Row],[HARGA/ CTN_H]]&amp;NOTA[[#This Row],[DISC 1]]&amp;NOTA[[#This Row],[DISC 2]])</f>
        <v/>
      </c>
      <c r="AN866" s="184" t="str">
        <f>IF(NOTA[[#This Row],[CONCAT1]]="","",MATCH(NOTA[[#This Row],[CONCAT1]],[1]!db[NB NOTA_C],0)+1)</f>
        <v/>
      </c>
    </row>
    <row r="867" spans="1:40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Row],[CEK_EXP]]&lt;D866,"err","")</f>
        <v/>
      </c>
      <c r="D867" s="50">
        <f>IF(NOTA[[#This Row],[TANGGAL]]="",D866,NOTA[[#This Row],[TANGGAL]])</f>
        <v>44959</v>
      </c>
      <c r="E867" s="50" t="str">
        <f ca="1">IF(NOTA[[#This Row],[NAMA BARANG]]="","",INDEX(NOTA[ID],MATCH(,INDIRECT(ADDRESS(ROW(NOTA[ID]),COLUMN(NOTA[ID]))&amp;":"&amp;ADDRESS(ROW(),COLUMN(NOTA[ID]))),-1)))</f>
        <v/>
      </c>
      <c r="F867" s="23"/>
      <c r="G867" s="26"/>
      <c r="H867" s="26"/>
      <c r="I867" s="31"/>
      <c r="J867" s="26"/>
      <c r="K867" s="51"/>
      <c r="L867" s="26"/>
      <c r="M867" s="26"/>
      <c r="N867" s="39"/>
      <c r="O867" s="26"/>
      <c r="P867" s="26"/>
      <c r="Q867" s="49"/>
      <c r="R867" s="52"/>
      <c r="S867" s="39"/>
      <c r="T867" s="53"/>
      <c r="U867" s="53"/>
      <c r="V867" s="54"/>
      <c r="W867" s="37"/>
      <c r="X867" s="54" t="str">
        <f>IF(NOTA[[#This Row],[HARGA/ CTN]]="",NOTA[[#This Row],[JUMLAH_H]],NOTA[[#This Row],[HARGA/ CTN]]*IF(NOTA[[#This Row],[C]]="",0,NOTA[[#This Row],[C]]))</f>
        <v/>
      </c>
      <c r="Y867" s="54" t="str">
        <f>IF(NOTA[[#This Row],[JUMLAH]]="","",NOTA[[#This Row],[JUMLAH]]*NOTA[[#This Row],[DISC 1]])</f>
        <v/>
      </c>
      <c r="Z867" s="54" t="str">
        <f>IF(NOTA[[#This Row],[JUMLAH]]="","",(NOTA[[#This Row],[JUMLAH]]-NOTA[[#This Row],[DISC 1-]])*NOTA[[#This Row],[DISC 2]])</f>
        <v/>
      </c>
      <c r="AA867" s="54" t="str">
        <f>IF(NOTA[[#This Row],[JUMLAH]]="","",NOTA[[#This Row],[DISC 1-]]+NOTA[[#This Row],[DISC 2-]])</f>
        <v/>
      </c>
      <c r="AB867" s="54" t="str">
        <f>IF(NOTA[[#This Row],[JUMLAH]]="","",NOTA[[#This Row],[JUMLAH]]-NOTA[[#This Row],[DISC]])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54" t="str">
        <f>IF(OR(NOTA[[#This Row],[QTY]]="",NOTA[[#This Row],[HARGA SATUAN]]="",),"",NOTA[[#This Row],[QTY]]*NOTA[[#This Row],[HARGA SATUAN]])</f>
        <v/>
      </c>
      <c r="AG867" s="51" t="str">
        <f ca="1">IF(NOTA[ID_H]="","",INDEX(NOTA[TANGGAL],MATCH(,INDIRECT(ADDRESS(ROW(NOTA[TANGGAL]),COLUMN(NOTA[TANGGAL]))&amp;":"&amp;ADDRESS(ROW(),COLUMN(NOTA[TANGGAL]))),-1)))</f>
        <v/>
      </c>
      <c r="AH867" s="49" t="str">
        <f ca="1">IF(NOTA[[#This Row],[NAMA BARANG]]="","",INDEX(NOTA[SUPPLIER],MATCH(,INDIRECT(ADDRESS(ROW(NOTA[ID]),COLUMN(NOTA[ID]))&amp;":"&amp;ADDRESS(ROW(),COLUMN(NOTA[ID]))),-1)))</f>
        <v/>
      </c>
      <c r="AI867" s="49" t="str">
        <f ca="1">IF(NOTA[[#This Row],[ID_H]]="","",IF(NOTA[[#This Row],[FAKTUR]]="",INDIRECT(ADDRESS(ROW()-1,COLUMN())),NOTA[[#This Row],[FAKTUR]]))</f>
        <v/>
      </c>
      <c r="AJ867" s="38" t="str">
        <f ca="1">IF(NOTA[[#This Row],[ID]]="","",COUNTIF(NOTA[ID_H],NOTA[[#This Row],[ID_H]]))</f>
        <v/>
      </c>
      <c r="AK867" s="38" t="str">
        <f ca="1">IF(NOTA[[#This Row],[TGL.NOTA]]="",IF(NOTA[[#This Row],[SUPPLIER_H]]="","",AK866),MONTH(NOTA[[#This Row],[TGL.NOTA]]))</f>
        <v/>
      </c>
      <c r="AL867" s="38" t="str">
        <f>LOWER(SUBSTITUTE(SUBSTITUTE(SUBSTITUTE(SUBSTITUTE(SUBSTITUTE(SUBSTITUTE(SUBSTITUTE(SUBSTITUTE(SUBSTITUTE(NOTA[NAMA BARANG]," ",),".",""),"-",""),"(",""),")",""),",",""),"/",""),"""",""),"+",""))</f>
        <v/>
      </c>
      <c r="AM867" s="38" t="str">
        <f>IF(NOTA[C]="",NOTA[[#This Row],[CONCAT1]]&amp;NOTA[[#This Row],[HARGA SATUAN]],NOTA[[#This Row],[CONCAT1]]&amp;NOTA[[#This Row],[HARGA/ CTN_H]]&amp;NOTA[[#This Row],[DISC 1]]&amp;NOTA[[#This Row],[DISC 2]])</f>
        <v/>
      </c>
      <c r="AN867" s="184" t="str">
        <f>IF(NOTA[[#This Row],[CONCAT1]]="","",MATCH(NOTA[[#This Row],[CONCAT1]],[1]!db[NB NOTA_C],0)+1)</f>
        <v/>
      </c>
    </row>
    <row r="868" spans="1:40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Row],[CEK_EXP]]&lt;D867,"err","")</f>
        <v/>
      </c>
      <c r="D868" s="50">
        <f>IF(NOTA[[#This Row],[TANGGAL]]="",D867,NOTA[[#This Row],[TANGGAL]])</f>
        <v>44959</v>
      </c>
      <c r="E868" s="50" t="str">
        <f ca="1">IF(NOTA[[#This Row],[NAMA BARANG]]="","",INDEX(NOTA[ID],MATCH(,INDIRECT(ADDRESS(ROW(NOTA[ID]),COLUMN(NOTA[ID]))&amp;":"&amp;ADDRESS(ROW(),COLUMN(NOTA[ID]))),-1)))</f>
        <v/>
      </c>
      <c r="F868" s="23"/>
      <c r="G868" s="26"/>
      <c r="H868" s="26"/>
      <c r="I868" s="31"/>
      <c r="J868" s="26"/>
      <c r="K868" s="51"/>
      <c r="L868" s="26"/>
      <c r="M868" s="26"/>
      <c r="N868" s="39"/>
      <c r="O868" s="26"/>
      <c r="P868" s="26"/>
      <c r="Q868" s="49"/>
      <c r="R868" s="52"/>
      <c r="S868" s="39"/>
      <c r="T868" s="53"/>
      <c r="U868" s="53"/>
      <c r="V868" s="54"/>
      <c r="W868" s="37"/>
      <c r="X868" s="54" t="str">
        <f>IF(NOTA[[#This Row],[HARGA/ CTN]]="",NOTA[[#This Row],[JUMLAH_H]],NOTA[[#This Row],[HARGA/ CTN]]*IF(NOTA[[#This Row],[C]]="",0,NOTA[[#This Row],[C]]))</f>
        <v/>
      </c>
      <c r="Y868" s="54" t="str">
        <f>IF(NOTA[[#This Row],[JUMLAH]]="","",NOTA[[#This Row],[JUMLAH]]*NOTA[[#This Row],[DISC 1]])</f>
        <v/>
      </c>
      <c r="Z868" s="54" t="str">
        <f>IF(NOTA[[#This Row],[JUMLAH]]="","",(NOTA[[#This Row],[JUMLAH]]-NOTA[[#This Row],[DISC 1-]])*NOTA[[#This Row],[DISC 2]])</f>
        <v/>
      </c>
      <c r="AA868" s="54" t="str">
        <f>IF(NOTA[[#This Row],[JUMLAH]]="","",NOTA[[#This Row],[DISC 1-]]+NOTA[[#This Row],[DISC 2-]])</f>
        <v/>
      </c>
      <c r="AB868" s="54" t="str">
        <f>IF(NOTA[[#This Row],[JUMLAH]]="","",NOTA[[#This Row],[JUMLAH]]-NOTA[[#This Row],[DISC]])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54" t="str">
        <f>IF(OR(NOTA[[#This Row],[QTY]]="",NOTA[[#This Row],[HARGA SATUAN]]="",),"",NOTA[[#This Row],[QTY]]*NOTA[[#This Row],[HARGA SATUAN]])</f>
        <v/>
      </c>
      <c r="AG868" s="51" t="str">
        <f ca="1">IF(NOTA[ID_H]="","",INDEX(NOTA[TANGGAL],MATCH(,INDIRECT(ADDRESS(ROW(NOTA[TANGGAL]),COLUMN(NOTA[TANGGAL]))&amp;":"&amp;ADDRESS(ROW(),COLUMN(NOTA[TANGGAL]))),-1)))</f>
        <v/>
      </c>
      <c r="AH868" s="49" t="str">
        <f ca="1">IF(NOTA[[#This Row],[NAMA BARANG]]="","",INDEX(NOTA[SUPPLIER],MATCH(,INDIRECT(ADDRESS(ROW(NOTA[ID]),COLUMN(NOTA[ID]))&amp;":"&amp;ADDRESS(ROW(),COLUMN(NOTA[ID]))),-1)))</f>
        <v/>
      </c>
      <c r="AI868" s="49" t="str">
        <f ca="1">IF(NOTA[[#This Row],[ID_H]]="","",IF(NOTA[[#This Row],[FAKTUR]]="",INDIRECT(ADDRESS(ROW()-1,COLUMN())),NOTA[[#This Row],[FAKTUR]]))</f>
        <v/>
      </c>
      <c r="AJ868" s="38" t="str">
        <f ca="1">IF(NOTA[[#This Row],[ID]]="","",COUNTIF(NOTA[ID_H],NOTA[[#This Row],[ID_H]]))</f>
        <v/>
      </c>
      <c r="AK868" s="38" t="str">
        <f ca="1">IF(NOTA[[#This Row],[TGL.NOTA]]="",IF(NOTA[[#This Row],[SUPPLIER_H]]="","",AK867),MONTH(NOTA[[#This Row],[TGL.NOTA]]))</f>
        <v/>
      </c>
      <c r="AL868" s="38" t="str">
        <f>LOWER(SUBSTITUTE(SUBSTITUTE(SUBSTITUTE(SUBSTITUTE(SUBSTITUTE(SUBSTITUTE(SUBSTITUTE(SUBSTITUTE(SUBSTITUTE(NOTA[NAMA BARANG]," ",),".",""),"-",""),"(",""),")",""),",",""),"/",""),"""",""),"+",""))</f>
        <v/>
      </c>
      <c r="AM868" s="38" t="str">
        <f>IF(NOTA[C]="",NOTA[[#This Row],[CONCAT1]]&amp;NOTA[[#This Row],[HARGA SATUAN]],NOTA[[#This Row],[CONCAT1]]&amp;NOTA[[#This Row],[HARGA/ CTN_H]]&amp;NOTA[[#This Row],[DISC 1]]&amp;NOTA[[#This Row],[DISC 2]])</f>
        <v/>
      </c>
      <c r="AN868" s="184" t="str">
        <f>IF(NOTA[[#This Row],[CONCAT1]]="","",MATCH(NOTA[[#This Row],[CONCAT1]],[1]!db[NB NOTA_C],0)+1)</f>
        <v/>
      </c>
    </row>
    <row r="869" spans="1:40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Row],[CEK_EXP]]&lt;D868,"err","")</f>
        <v/>
      </c>
      <c r="D869" s="50">
        <f>IF(NOTA[[#This Row],[TANGGAL]]="",D868,NOTA[[#This Row],[TANGGAL]])</f>
        <v>44959</v>
      </c>
      <c r="E869" s="50" t="str">
        <f ca="1">IF(NOTA[[#This Row],[NAMA BARANG]]="","",INDEX(NOTA[ID],MATCH(,INDIRECT(ADDRESS(ROW(NOTA[ID]),COLUMN(NOTA[ID]))&amp;":"&amp;ADDRESS(ROW(),COLUMN(NOTA[ID]))),-1)))</f>
        <v/>
      </c>
      <c r="F869" s="23"/>
      <c r="G869" s="26"/>
      <c r="H869" s="26"/>
      <c r="I869" s="31"/>
      <c r="J869" s="26"/>
      <c r="K869" s="51"/>
      <c r="L869" s="26"/>
      <c r="M869" s="26"/>
      <c r="N869" s="39"/>
      <c r="O869" s="26"/>
      <c r="P869" s="26"/>
      <c r="Q869" s="49"/>
      <c r="R869" s="52"/>
      <c r="S869" s="39"/>
      <c r="T869" s="53"/>
      <c r="U869" s="53"/>
      <c r="V869" s="54"/>
      <c r="W869" s="37"/>
      <c r="X869" s="54" t="str">
        <f>IF(NOTA[[#This Row],[HARGA/ CTN]]="",NOTA[[#This Row],[JUMLAH_H]],NOTA[[#This Row],[HARGA/ CTN]]*IF(NOTA[[#This Row],[C]]="",0,NOTA[[#This Row],[C]]))</f>
        <v/>
      </c>
      <c r="Y869" s="54" t="str">
        <f>IF(NOTA[[#This Row],[JUMLAH]]="","",NOTA[[#This Row],[JUMLAH]]*NOTA[[#This Row],[DISC 1]])</f>
        <v/>
      </c>
      <c r="Z869" s="54" t="str">
        <f>IF(NOTA[[#This Row],[JUMLAH]]="","",(NOTA[[#This Row],[JUMLAH]]-NOTA[[#This Row],[DISC 1-]])*NOTA[[#This Row],[DISC 2]])</f>
        <v/>
      </c>
      <c r="AA869" s="54" t="str">
        <f>IF(NOTA[[#This Row],[JUMLAH]]="","",NOTA[[#This Row],[DISC 1-]]+NOTA[[#This Row],[DISC 2-]])</f>
        <v/>
      </c>
      <c r="AB869" s="54" t="str">
        <f>IF(NOTA[[#This Row],[JUMLAH]]="","",NOTA[[#This Row],[JUMLAH]]-NOTA[[#This Row],[DISC]])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54" t="str">
        <f>IF(OR(NOTA[[#This Row],[QTY]]="",NOTA[[#This Row],[HARGA SATUAN]]="",),"",NOTA[[#This Row],[QTY]]*NOTA[[#This Row],[HARGA SATUAN]])</f>
        <v/>
      </c>
      <c r="AG869" s="51" t="str">
        <f ca="1">IF(NOTA[ID_H]="","",INDEX(NOTA[TANGGAL],MATCH(,INDIRECT(ADDRESS(ROW(NOTA[TANGGAL]),COLUMN(NOTA[TANGGAL]))&amp;":"&amp;ADDRESS(ROW(),COLUMN(NOTA[TANGGAL]))),-1)))</f>
        <v/>
      </c>
      <c r="AH869" s="49" t="str">
        <f ca="1">IF(NOTA[[#This Row],[NAMA BARANG]]="","",INDEX(NOTA[SUPPLIER],MATCH(,INDIRECT(ADDRESS(ROW(NOTA[ID]),COLUMN(NOTA[ID]))&amp;":"&amp;ADDRESS(ROW(),COLUMN(NOTA[ID]))),-1)))</f>
        <v/>
      </c>
      <c r="AI869" s="49" t="str">
        <f ca="1">IF(NOTA[[#This Row],[ID_H]]="","",IF(NOTA[[#This Row],[FAKTUR]]="",INDIRECT(ADDRESS(ROW()-1,COLUMN())),NOTA[[#This Row],[FAKTUR]]))</f>
        <v/>
      </c>
      <c r="AJ869" s="38" t="str">
        <f ca="1">IF(NOTA[[#This Row],[ID]]="","",COUNTIF(NOTA[ID_H],NOTA[[#This Row],[ID_H]]))</f>
        <v/>
      </c>
      <c r="AK869" s="38" t="str">
        <f ca="1">IF(NOTA[[#This Row],[TGL.NOTA]]="",IF(NOTA[[#This Row],[SUPPLIER_H]]="","",AK868),MONTH(NOTA[[#This Row],[TGL.NOTA]]))</f>
        <v/>
      </c>
      <c r="AL869" s="38" t="str">
        <f>LOWER(SUBSTITUTE(SUBSTITUTE(SUBSTITUTE(SUBSTITUTE(SUBSTITUTE(SUBSTITUTE(SUBSTITUTE(SUBSTITUTE(SUBSTITUTE(NOTA[NAMA BARANG]," ",),".",""),"-",""),"(",""),")",""),",",""),"/",""),"""",""),"+",""))</f>
        <v/>
      </c>
      <c r="AM869" s="38" t="str">
        <f>IF(NOTA[C]="",NOTA[[#This Row],[CONCAT1]]&amp;NOTA[[#This Row],[HARGA SATUAN]],NOTA[[#This Row],[CONCAT1]]&amp;NOTA[[#This Row],[HARGA/ CTN_H]]&amp;NOTA[[#This Row],[DISC 1]]&amp;NOTA[[#This Row],[DISC 2]])</f>
        <v/>
      </c>
      <c r="AN869" s="184" t="str">
        <f>IF(NOTA[[#This Row],[CONCAT1]]="","",MATCH(NOTA[[#This Row],[CONCAT1]],[1]!db[NB NOTA_C],0)+1)</f>
        <v/>
      </c>
    </row>
    <row r="870" spans="1:40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Row],[CEK_EXP]]&lt;D869,"err","")</f>
        <v/>
      </c>
      <c r="D870" s="50">
        <f>IF(NOTA[[#This Row],[TANGGAL]]="",D869,NOTA[[#This Row],[TANGGAL]])</f>
        <v>44959</v>
      </c>
      <c r="E870" s="50" t="str">
        <f ca="1">IF(NOTA[[#This Row],[NAMA BARANG]]="","",INDEX(NOTA[ID],MATCH(,INDIRECT(ADDRESS(ROW(NOTA[ID]),COLUMN(NOTA[ID]))&amp;":"&amp;ADDRESS(ROW(),COLUMN(NOTA[ID]))),-1)))</f>
        <v/>
      </c>
      <c r="F870" s="23"/>
      <c r="G870" s="26"/>
      <c r="H870" s="26"/>
      <c r="I870" s="31"/>
      <c r="J870" s="26"/>
      <c r="K870" s="51"/>
      <c r="L870" s="26"/>
      <c r="M870" s="26"/>
      <c r="N870" s="39"/>
      <c r="O870" s="26"/>
      <c r="P870" s="26"/>
      <c r="Q870" s="49"/>
      <c r="R870" s="52"/>
      <c r="S870" s="39"/>
      <c r="T870" s="53"/>
      <c r="U870" s="53"/>
      <c r="V870" s="54"/>
      <c r="W870" s="37"/>
      <c r="X870" s="54" t="str">
        <f>IF(NOTA[[#This Row],[HARGA/ CTN]]="",NOTA[[#This Row],[JUMLAH_H]],NOTA[[#This Row],[HARGA/ CTN]]*IF(NOTA[[#This Row],[C]]="",0,NOTA[[#This Row],[C]]))</f>
        <v/>
      </c>
      <c r="Y870" s="54" t="str">
        <f>IF(NOTA[[#This Row],[JUMLAH]]="","",NOTA[[#This Row],[JUMLAH]]*NOTA[[#This Row],[DISC 1]])</f>
        <v/>
      </c>
      <c r="Z870" s="54" t="str">
        <f>IF(NOTA[[#This Row],[JUMLAH]]="","",(NOTA[[#This Row],[JUMLAH]]-NOTA[[#This Row],[DISC 1-]])*NOTA[[#This Row],[DISC 2]])</f>
        <v/>
      </c>
      <c r="AA870" s="54" t="str">
        <f>IF(NOTA[[#This Row],[JUMLAH]]="","",NOTA[[#This Row],[DISC 1-]]+NOTA[[#This Row],[DISC 2-]])</f>
        <v/>
      </c>
      <c r="AB870" s="54" t="str">
        <f>IF(NOTA[[#This Row],[JUMLAH]]="","",NOTA[[#This Row],[JUMLAH]]-NOTA[[#This Row],[DISC]])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54" t="str">
        <f>IF(OR(NOTA[[#This Row],[QTY]]="",NOTA[[#This Row],[HARGA SATUAN]]="",),"",NOTA[[#This Row],[QTY]]*NOTA[[#This Row],[HARGA SATUAN]])</f>
        <v/>
      </c>
      <c r="AG870" s="51" t="str">
        <f ca="1">IF(NOTA[ID_H]="","",INDEX(NOTA[TANGGAL],MATCH(,INDIRECT(ADDRESS(ROW(NOTA[TANGGAL]),COLUMN(NOTA[TANGGAL]))&amp;":"&amp;ADDRESS(ROW(),COLUMN(NOTA[TANGGAL]))),-1)))</f>
        <v/>
      </c>
      <c r="AH870" s="49" t="str">
        <f ca="1">IF(NOTA[[#This Row],[NAMA BARANG]]="","",INDEX(NOTA[SUPPLIER],MATCH(,INDIRECT(ADDRESS(ROW(NOTA[ID]),COLUMN(NOTA[ID]))&amp;":"&amp;ADDRESS(ROW(),COLUMN(NOTA[ID]))),-1)))</f>
        <v/>
      </c>
      <c r="AI870" s="49" t="str">
        <f ca="1">IF(NOTA[[#This Row],[ID_H]]="","",IF(NOTA[[#This Row],[FAKTUR]]="",INDIRECT(ADDRESS(ROW()-1,COLUMN())),NOTA[[#This Row],[FAKTUR]]))</f>
        <v/>
      </c>
      <c r="AJ870" s="38" t="str">
        <f ca="1">IF(NOTA[[#This Row],[ID]]="","",COUNTIF(NOTA[ID_H],NOTA[[#This Row],[ID_H]]))</f>
        <v/>
      </c>
      <c r="AK870" s="38" t="str">
        <f ca="1">IF(NOTA[[#This Row],[TGL.NOTA]]="",IF(NOTA[[#This Row],[SUPPLIER_H]]="","",AK869),MONTH(NOTA[[#This Row],[TGL.NOTA]]))</f>
        <v/>
      </c>
      <c r="AL870" s="38" t="str">
        <f>LOWER(SUBSTITUTE(SUBSTITUTE(SUBSTITUTE(SUBSTITUTE(SUBSTITUTE(SUBSTITUTE(SUBSTITUTE(SUBSTITUTE(SUBSTITUTE(NOTA[NAMA BARANG]," ",),".",""),"-",""),"(",""),")",""),",",""),"/",""),"""",""),"+",""))</f>
        <v/>
      </c>
      <c r="AM870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0" s="184" t="str">
        <f>IF(NOTA[[#This Row],[CONCAT1]]="","",MATCH(NOTA[[#This Row],[CONCAT1]],[1]!db[NB NOTA_C],0)+1)</f>
        <v/>
      </c>
    </row>
    <row r="871" spans="1:40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Row],[CEK_EXP]]&lt;D870,"err","")</f>
        <v/>
      </c>
      <c r="D871" s="50">
        <f>IF(NOTA[[#This Row],[TANGGAL]]="",D870,NOTA[[#This Row],[TANGGAL]])</f>
        <v>44959</v>
      </c>
      <c r="E871" s="50" t="str">
        <f ca="1">IF(NOTA[[#This Row],[NAMA BARANG]]="","",INDEX(NOTA[ID],MATCH(,INDIRECT(ADDRESS(ROW(NOTA[ID]),COLUMN(NOTA[ID]))&amp;":"&amp;ADDRESS(ROW(),COLUMN(NOTA[ID]))),-1)))</f>
        <v/>
      </c>
      <c r="F871" s="23"/>
      <c r="G871" s="26"/>
      <c r="H871" s="26"/>
      <c r="I871" s="31"/>
      <c r="J871" s="26"/>
      <c r="K871" s="51"/>
      <c r="L871" s="26"/>
      <c r="M871" s="26"/>
      <c r="N871" s="39"/>
      <c r="O871" s="26"/>
      <c r="P871" s="26"/>
      <c r="Q871" s="49"/>
      <c r="R871" s="52"/>
      <c r="S871" s="39"/>
      <c r="T871" s="53"/>
      <c r="U871" s="53"/>
      <c r="V871" s="54"/>
      <c r="W871" s="37"/>
      <c r="X871" s="54" t="str">
        <f>IF(NOTA[[#This Row],[HARGA/ CTN]]="",NOTA[[#This Row],[JUMLAH_H]],NOTA[[#This Row],[HARGA/ CTN]]*IF(NOTA[[#This Row],[C]]="",0,NOTA[[#This Row],[C]]))</f>
        <v/>
      </c>
      <c r="Y871" s="54" t="str">
        <f>IF(NOTA[[#This Row],[JUMLAH]]="","",NOTA[[#This Row],[JUMLAH]]*NOTA[[#This Row],[DISC 1]])</f>
        <v/>
      </c>
      <c r="Z871" s="54" t="str">
        <f>IF(NOTA[[#This Row],[JUMLAH]]="","",(NOTA[[#This Row],[JUMLAH]]-NOTA[[#This Row],[DISC 1-]])*NOTA[[#This Row],[DISC 2]])</f>
        <v/>
      </c>
      <c r="AA871" s="54" t="str">
        <f>IF(NOTA[[#This Row],[JUMLAH]]="","",NOTA[[#This Row],[DISC 1-]]+NOTA[[#This Row],[DISC 2-]])</f>
        <v/>
      </c>
      <c r="AB871" s="54" t="str">
        <f>IF(NOTA[[#This Row],[JUMLAH]]="","",NOTA[[#This Row],[JUMLAH]]-NOTA[[#This Row],[DISC]])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54" t="str">
        <f>IF(OR(NOTA[[#This Row],[QTY]]="",NOTA[[#This Row],[HARGA SATUAN]]="",),"",NOTA[[#This Row],[QTY]]*NOTA[[#This Row],[HARGA SATUAN]])</f>
        <v/>
      </c>
      <c r="AG871" s="51" t="str">
        <f ca="1">IF(NOTA[ID_H]="","",INDEX(NOTA[TANGGAL],MATCH(,INDIRECT(ADDRESS(ROW(NOTA[TANGGAL]),COLUMN(NOTA[TANGGAL]))&amp;":"&amp;ADDRESS(ROW(),COLUMN(NOTA[TANGGAL]))),-1)))</f>
        <v/>
      </c>
      <c r="AH871" s="49" t="str">
        <f ca="1">IF(NOTA[[#This Row],[NAMA BARANG]]="","",INDEX(NOTA[SUPPLIER],MATCH(,INDIRECT(ADDRESS(ROW(NOTA[ID]),COLUMN(NOTA[ID]))&amp;":"&amp;ADDRESS(ROW(),COLUMN(NOTA[ID]))),-1)))</f>
        <v/>
      </c>
      <c r="AI871" s="49" t="str">
        <f ca="1">IF(NOTA[[#This Row],[ID_H]]="","",IF(NOTA[[#This Row],[FAKTUR]]="",INDIRECT(ADDRESS(ROW()-1,COLUMN())),NOTA[[#This Row],[FAKTUR]]))</f>
        <v/>
      </c>
      <c r="AJ871" s="38" t="str">
        <f ca="1">IF(NOTA[[#This Row],[ID]]="","",COUNTIF(NOTA[ID_H],NOTA[[#This Row],[ID_H]]))</f>
        <v/>
      </c>
      <c r="AK871" s="38" t="str">
        <f ca="1">IF(NOTA[[#This Row],[TGL.NOTA]]="",IF(NOTA[[#This Row],[SUPPLIER_H]]="","",AK870),MONTH(NOTA[[#This Row],[TGL.NOTA]]))</f>
        <v/>
      </c>
      <c r="AL871" s="38" t="str">
        <f>LOWER(SUBSTITUTE(SUBSTITUTE(SUBSTITUTE(SUBSTITUTE(SUBSTITUTE(SUBSTITUTE(SUBSTITUTE(SUBSTITUTE(SUBSTITUTE(NOTA[NAMA BARANG]," ",),".",""),"-",""),"(",""),")",""),",",""),"/",""),"""",""),"+",""))</f>
        <v/>
      </c>
      <c r="AM871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1" s="184" t="str">
        <f>IF(NOTA[[#This Row],[CONCAT1]]="","",MATCH(NOTA[[#This Row],[CONCAT1]],[1]!db[NB NOTA_C],0)+1)</f>
        <v/>
      </c>
    </row>
    <row r="872" spans="1:40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Row],[CEK_EXP]]&lt;D871,"err","")</f>
        <v/>
      </c>
      <c r="D872" s="50">
        <f>IF(NOTA[[#This Row],[TANGGAL]]="",D871,NOTA[[#This Row],[TANGGAL]])</f>
        <v>44959</v>
      </c>
      <c r="E872" s="50" t="str">
        <f ca="1">IF(NOTA[[#This Row],[NAMA BARANG]]="","",INDEX(NOTA[ID],MATCH(,INDIRECT(ADDRESS(ROW(NOTA[ID]),COLUMN(NOTA[ID]))&amp;":"&amp;ADDRESS(ROW(),COLUMN(NOTA[ID]))),-1)))</f>
        <v/>
      </c>
      <c r="F872" s="23"/>
      <c r="G872" s="26"/>
      <c r="H872" s="26"/>
      <c r="I872" s="31"/>
      <c r="J872" s="26"/>
      <c r="K872" s="51"/>
      <c r="L872" s="26"/>
      <c r="M872" s="26"/>
      <c r="N872" s="39"/>
      <c r="O872" s="26"/>
      <c r="P872" s="26"/>
      <c r="Q872" s="49"/>
      <c r="R872" s="52"/>
      <c r="S872" s="39"/>
      <c r="T872" s="53"/>
      <c r="U872" s="53"/>
      <c r="V872" s="54"/>
      <c r="W872" s="37"/>
      <c r="X872" s="54" t="str">
        <f>IF(NOTA[[#This Row],[HARGA/ CTN]]="",NOTA[[#This Row],[JUMLAH_H]],NOTA[[#This Row],[HARGA/ CTN]]*IF(NOTA[[#This Row],[C]]="",0,NOTA[[#This Row],[C]]))</f>
        <v/>
      </c>
      <c r="Y872" s="54" t="str">
        <f>IF(NOTA[[#This Row],[JUMLAH]]="","",NOTA[[#This Row],[JUMLAH]]*NOTA[[#This Row],[DISC 1]])</f>
        <v/>
      </c>
      <c r="Z872" s="54" t="str">
        <f>IF(NOTA[[#This Row],[JUMLAH]]="","",(NOTA[[#This Row],[JUMLAH]]-NOTA[[#This Row],[DISC 1-]])*NOTA[[#This Row],[DISC 2]])</f>
        <v/>
      </c>
      <c r="AA872" s="54" t="str">
        <f>IF(NOTA[[#This Row],[JUMLAH]]="","",NOTA[[#This Row],[DISC 1-]]+NOTA[[#This Row],[DISC 2-]])</f>
        <v/>
      </c>
      <c r="AB872" s="54" t="str">
        <f>IF(NOTA[[#This Row],[JUMLAH]]="","",NOTA[[#This Row],[JUMLAH]]-NOTA[[#This Row],[DISC]])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54" t="str">
        <f>IF(OR(NOTA[[#This Row],[QTY]]="",NOTA[[#This Row],[HARGA SATUAN]]="",),"",NOTA[[#This Row],[QTY]]*NOTA[[#This Row],[HARGA SATUAN]])</f>
        <v/>
      </c>
      <c r="AG872" s="51" t="str">
        <f ca="1">IF(NOTA[ID_H]="","",INDEX(NOTA[TANGGAL],MATCH(,INDIRECT(ADDRESS(ROW(NOTA[TANGGAL]),COLUMN(NOTA[TANGGAL]))&amp;":"&amp;ADDRESS(ROW(),COLUMN(NOTA[TANGGAL]))),-1)))</f>
        <v/>
      </c>
      <c r="AH872" s="49" t="str">
        <f ca="1">IF(NOTA[[#This Row],[NAMA BARANG]]="","",INDEX(NOTA[SUPPLIER],MATCH(,INDIRECT(ADDRESS(ROW(NOTA[ID]),COLUMN(NOTA[ID]))&amp;":"&amp;ADDRESS(ROW(),COLUMN(NOTA[ID]))),-1)))</f>
        <v/>
      </c>
      <c r="AI872" s="49" t="str">
        <f ca="1">IF(NOTA[[#This Row],[ID_H]]="","",IF(NOTA[[#This Row],[FAKTUR]]="",INDIRECT(ADDRESS(ROW()-1,COLUMN())),NOTA[[#This Row],[FAKTUR]]))</f>
        <v/>
      </c>
      <c r="AJ872" s="38" t="str">
        <f ca="1">IF(NOTA[[#This Row],[ID]]="","",COUNTIF(NOTA[ID_H],NOTA[[#This Row],[ID_H]]))</f>
        <v/>
      </c>
      <c r="AK872" s="38" t="str">
        <f ca="1">IF(NOTA[[#This Row],[TGL.NOTA]]="",IF(NOTA[[#This Row],[SUPPLIER_H]]="","",AK871),MONTH(NOTA[[#This Row],[TGL.NOTA]]))</f>
        <v/>
      </c>
      <c r="AL872" s="38" t="str">
        <f>LOWER(SUBSTITUTE(SUBSTITUTE(SUBSTITUTE(SUBSTITUTE(SUBSTITUTE(SUBSTITUTE(SUBSTITUTE(SUBSTITUTE(SUBSTITUTE(NOTA[NAMA BARANG]," ",),".",""),"-",""),"(",""),")",""),",",""),"/",""),"""",""),"+",""))</f>
        <v/>
      </c>
      <c r="AM872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2" s="184" t="str">
        <f>IF(NOTA[[#This Row],[CONCAT1]]="","",MATCH(NOTA[[#This Row],[CONCAT1]],[1]!db[NB NOTA_C],0)+1)</f>
        <v/>
      </c>
    </row>
    <row r="873" spans="1:40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Row],[CEK_EXP]]&lt;D872,"err","")</f>
        <v/>
      </c>
      <c r="D873" s="50">
        <f>IF(NOTA[[#This Row],[TANGGAL]]="",D872,NOTA[[#This Row],[TANGGAL]])</f>
        <v>44959</v>
      </c>
      <c r="E873" s="50" t="str">
        <f ca="1">IF(NOTA[[#This Row],[NAMA BARANG]]="","",INDEX(NOTA[ID],MATCH(,INDIRECT(ADDRESS(ROW(NOTA[ID]),COLUMN(NOTA[ID]))&amp;":"&amp;ADDRESS(ROW(),COLUMN(NOTA[ID]))),-1)))</f>
        <v/>
      </c>
      <c r="F873" s="23"/>
      <c r="G873" s="26"/>
      <c r="H873" s="26"/>
      <c r="I873" s="31"/>
      <c r="J873" s="26"/>
      <c r="K873" s="51"/>
      <c r="L873" s="26"/>
      <c r="M873" s="26"/>
      <c r="N873" s="39"/>
      <c r="O873" s="26"/>
      <c r="P873" s="26"/>
      <c r="Q873" s="49"/>
      <c r="R873" s="52"/>
      <c r="S873" s="39"/>
      <c r="T873" s="53"/>
      <c r="U873" s="53"/>
      <c r="V873" s="54"/>
      <c r="W873" s="37"/>
      <c r="X873" s="54" t="str">
        <f>IF(NOTA[[#This Row],[HARGA/ CTN]]="",NOTA[[#This Row],[JUMLAH_H]],NOTA[[#This Row],[HARGA/ CTN]]*IF(NOTA[[#This Row],[C]]="",0,NOTA[[#This Row],[C]]))</f>
        <v/>
      </c>
      <c r="Y873" s="54" t="str">
        <f>IF(NOTA[[#This Row],[JUMLAH]]="","",NOTA[[#This Row],[JUMLAH]]*NOTA[[#This Row],[DISC 1]])</f>
        <v/>
      </c>
      <c r="Z873" s="54" t="str">
        <f>IF(NOTA[[#This Row],[JUMLAH]]="","",(NOTA[[#This Row],[JUMLAH]]-NOTA[[#This Row],[DISC 1-]])*NOTA[[#This Row],[DISC 2]])</f>
        <v/>
      </c>
      <c r="AA873" s="54" t="str">
        <f>IF(NOTA[[#This Row],[JUMLAH]]="","",NOTA[[#This Row],[DISC 1-]]+NOTA[[#This Row],[DISC 2-]])</f>
        <v/>
      </c>
      <c r="AB873" s="54" t="str">
        <f>IF(NOTA[[#This Row],[JUMLAH]]="","",NOTA[[#This Row],[JUMLAH]]-NOTA[[#This Row],[DISC]])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54" t="str">
        <f>IF(OR(NOTA[[#This Row],[QTY]]="",NOTA[[#This Row],[HARGA SATUAN]]="",),"",NOTA[[#This Row],[QTY]]*NOTA[[#This Row],[HARGA SATUAN]])</f>
        <v/>
      </c>
      <c r="AG873" s="51" t="str">
        <f ca="1">IF(NOTA[ID_H]="","",INDEX(NOTA[TANGGAL],MATCH(,INDIRECT(ADDRESS(ROW(NOTA[TANGGAL]),COLUMN(NOTA[TANGGAL]))&amp;":"&amp;ADDRESS(ROW(),COLUMN(NOTA[TANGGAL]))),-1)))</f>
        <v/>
      </c>
      <c r="AH873" s="49" t="str">
        <f ca="1">IF(NOTA[[#This Row],[NAMA BARANG]]="","",INDEX(NOTA[SUPPLIER],MATCH(,INDIRECT(ADDRESS(ROW(NOTA[ID]),COLUMN(NOTA[ID]))&amp;":"&amp;ADDRESS(ROW(),COLUMN(NOTA[ID]))),-1)))</f>
        <v/>
      </c>
      <c r="AI873" s="49" t="str">
        <f ca="1">IF(NOTA[[#This Row],[ID_H]]="","",IF(NOTA[[#This Row],[FAKTUR]]="",INDIRECT(ADDRESS(ROW()-1,COLUMN())),NOTA[[#This Row],[FAKTUR]]))</f>
        <v/>
      </c>
      <c r="AJ873" s="38" t="str">
        <f ca="1">IF(NOTA[[#This Row],[ID]]="","",COUNTIF(NOTA[ID_H],NOTA[[#This Row],[ID_H]]))</f>
        <v/>
      </c>
      <c r="AK873" s="38" t="str">
        <f ca="1">IF(NOTA[[#This Row],[TGL.NOTA]]="",IF(NOTA[[#This Row],[SUPPLIER_H]]="","",AK872),MONTH(NOTA[[#This Row],[TGL.NOTA]]))</f>
        <v/>
      </c>
      <c r="AL873" s="38" t="str">
        <f>LOWER(SUBSTITUTE(SUBSTITUTE(SUBSTITUTE(SUBSTITUTE(SUBSTITUTE(SUBSTITUTE(SUBSTITUTE(SUBSTITUTE(SUBSTITUTE(NOTA[NAMA BARANG]," ",),".",""),"-",""),"(",""),")",""),",",""),"/",""),"""",""),"+",""))</f>
        <v/>
      </c>
      <c r="AM873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3" s="184" t="str">
        <f>IF(NOTA[[#This Row],[CONCAT1]]="","",MATCH(NOTA[[#This Row],[CONCAT1]],[1]!db[NB NOTA_C],0)+1)</f>
        <v/>
      </c>
    </row>
    <row r="874" spans="1:40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Row],[CEK_EXP]]&lt;D873,"err","")</f>
        <v/>
      </c>
      <c r="D874" s="50">
        <f>IF(NOTA[[#This Row],[TANGGAL]]="",D873,NOTA[[#This Row],[TANGGAL]])</f>
        <v>44959</v>
      </c>
      <c r="E874" s="50" t="str">
        <f ca="1">IF(NOTA[[#This Row],[NAMA BARANG]]="","",INDEX(NOTA[ID],MATCH(,INDIRECT(ADDRESS(ROW(NOTA[ID]),COLUMN(NOTA[ID]))&amp;":"&amp;ADDRESS(ROW(),COLUMN(NOTA[ID]))),-1)))</f>
        <v/>
      </c>
      <c r="F874" s="23"/>
      <c r="G874" s="26"/>
      <c r="H874" s="26"/>
      <c r="I874" s="31"/>
      <c r="J874" s="26"/>
      <c r="K874" s="51"/>
      <c r="L874" s="26"/>
      <c r="M874" s="26"/>
      <c r="N874" s="39"/>
      <c r="O874" s="26"/>
      <c r="P874" s="26"/>
      <c r="Q874" s="49"/>
      <c r="R874" s="52"/>
      <c r="S874" s="39"/>
      <c r="T874" s="53"/>
      <c r="U874" s="53"/>
      <c r="V874" s="54"/>
      <c r="W874" s="37"/>
      <c r="X874" s="54" t="str">
        <f>IF(NOTA[[#This Row],[HARGA/ CTN]]="",NOTA[[#This Row],[JUMLAH_H]],NOTA[[#This Row],[HARGA/ CTN]]*IF(NOTA[[#This Row],[C]]="",0,NOTA[[#This Row],[C]]))</f>
        <v/>
      </c>
      <c r="Y874" s="54" t="str">
        <f>IF(NOTA[[#This Row],[JUMLAH]]="","",NOTA[[#This Row],[JUMLAH]]*NOTA[[#This Row],[DISC 1]])</f>
        <v/>
      </c>
      <c r="Z874" s="54" t="str">
        <f>IF(NOTA[[#This Row],[JUMLAH]]="","",(NOTA[[#This Row],[JUMLAH]]-NOTA[[#This Row],[DISC 1-]])*NOTA[[#This Row],[DISC 2]])</f>
        <v/>
      </c>
      <c r="AA874" s="54" t="str">
        <f>IF(NOTA[[#This Row],[JUMLAH]]="","",NOTA[[#This Row],[DISC 1-]]+NOTA[[#This Row],[DISC 2-]])</f>
        <v/>
      </c>
      <c r="AB874" s="54" t="str">
        <f>IF(NOTA[[#This Row],[JUMLAH]]="","",NOTA[[#This Row],[JUMLAH]]-NOTA[[#This Row],[DISC]])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54" t="str">
        <f>IF(OR(NOTA[[#This Row],[QTY]]="",NOTA[[#This Row],[HARGA SATUAN]]="",),"",NOTA[[#This Row],[QTY]]*NOTA[[#This Row],[HARGA SATUAN]])</f>
        <v/>
      </c>
      <c r="AG874" s="51" t="str">
        <f ca="1">IF(NOTA[ID_H]="","",INDEX(NOTA[TANGGAL],MATCH(,INDIRECT(ADDRESS(ROW(NOTA[TANGGAL]),COLUMN(NOTA[TANGGAL]))&amp;":"&amp;ADDRESS(ROW(),COLUMN(NOTA[TANGGAL]))),-1)))</f>
        <v/>
      </c>
      <c r="AH874" s="49" t="str">
        <f ca="1">IF(NOTA[[#This Row],[NAMA BARANG]]="","",INDEX(NOTA[SUPPLIER],MATCH(,INDIRECT(ADDRESS(ROW(NOTA[ID]),COLUMN(NOTA[ID]))&amp;":"&amp;ADDRESS(ROW(),COLUMN(NOTA[ID]))),-1)))</f>
        <v/>
      </c>
      <c r="AI874" s="49" t="str">
        <f ca="1">IF(NOTA[[#This Row],[ID_H]]="","",IF(NOTA[[#This Row],[FAKTUR]]="",INDIRECT(ADDRESS(ROW()-1,COLUMN())),NOTA[[#This Row],[FAKTUR]]))</f>
        <v/>
      </c>
      <c r="AJ874" s="38" t="str">
        <f ca="1">IF(NOTA[[#This Row],[ID]]="","",COUNTIF(NOTA[ID_H],NOTA[[#This Row],[ID_H]]))</f>
        <v/>
      </c>
      <c r="AK874" s="38" t="str">
        <f ca="1">IF(NOTA[[#This Row],[TGL.NOTA]]="",IF(NOTA[[#This Row],[SUPPLIER_H]]="","",AK873),MONTH(NOTA[[#This Row],[TGL.NOTA]]))</f>
        <v/>
      </c>
      <c r="AL874" s="38" t="str">
        <f>LOWER(SUBSTITUTE(SUBSTITUTE(SUBSTITUTE(SUBSTITUTE(SUBSTITUTE(SUBSTITUTE(SUBSTITUTE(SUBSTITUTE(SUBSTITUTE(NOTA[NAMA BARANG]," ",),".",""),"-",""),"(",""),")",""),",",""),"/",""),"""",""),"+",""))</f>
        <v/>
      </c>
      <c r="AM87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4" s="184" t="str">
        <f>IF(NOTA[[#This Row],[CONCAT1]]="","",MATCH(NOTA[[#This Row],[CONCAT1]],[1]!db[NB NOTA_C],0)+1)</f>
        <v/>
      </c>
    </row>
    <row r="875" spans="1:40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Row],[CEK_EXP]]&lt;D874,"err","")</f>
        <v/>
      </c>
      <c r="D875" s="50">
        <f>IF(NOTA[[#This Row],[TANGGAL]]="",D874,NOTA[[#This Row],[TANGGAL]])</f>
        <v>44959</v>
      </c>
      <c r="E875" s="50" t="str">
        <f ca="1">IF(NOTA[[#This Row],[NAMA BARANG]]="","",INDEX(NOTA[ID],MATCH(,INDIRECT(ADDRESS(ROW(NOTA[ID]),COLUMN(NOTA[ID]))&amp;":"&amp;ADDRESS(ROW(),COLUMN(NOTA[ID]))),-1)))</f>
        <v/>
      </c>
      <c r="F875" s="23"/>
      <c r="G875" s="26"/>
      <c r="H875" s="26"/>
      <c r="I875" s="31"/>
      <c r="J875" s="26"/>
      <c r="K875" s="51"/>
      <c r="L875" s="26"/>
      <c r="M875" s="26"/>
      <c r="N875" s="39"/>
      <c r="O875" s="26"/>
      <c r="P875" s="26"/>
      <c r="Q875" s="49"/>
      <c r="R875" s="52"/>
      <c r="S875" s="39"/>
      <c r="T875" s="53"/>
      <c r="U875" s="53"/>
      <c r="V875" s="54"/>
      <c r="W875" s="37"/>
      <c r="X875" s="54" t="str">
        <f>IF(NOTA[[#This Row],[HARGA/ CTN]]="",NOTA[[#This Row],[JUMLAH_H]],NOTA[[#This Row],[HARGA/ CTN]]*IF(NOTA[[#This Row],[C]]="",0,NOTA[[#This Row],[C]]))</f>
        <v/>
      </c>
      <c r="Y875" s="54" t="str">
        <f>IF(NOTA[[#This Row],[JUMLAH]]="","",NOTA[[#This Row],[JUMLAH]]*NOTA[[#This Row],[DISC 1]])</f>
        <v/>
      </c>
      <c r="Z875" s="54" t="str">
        <f>IF(NOTA[[#This Row],[JUMLAH]]="","",(NOTA[[#This Row],[JUMLAH]]-NOTA[[#This Row],[DISC 1-]])*NOTA[[#This Row],[DISC 2]])</f>
        <v/>
      </c>
      <c r="AA875" s="54" t="str">
        <f>IF(NOTA[[#This Row],[JUMLAH]]="","",NOTA[[#This Row],[DISC 1-]]+NOTA[[#This Row],[DISC 2-]])</f>
        <v/>
      </c>
      <c r="AB875" s="54" t="str">
        <f>IF(NOTA[[#This Row],[JUMLAH]]="","",NOTA[[#This Row],[JUMLAH]]-NOTA[[#This Row],[DISC]])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54" t="str">
        <f>IF(OR(NOTA[[#This Row],[QTY]]="",NOTA[[#This Row],[HARGA SATUAN]]="",),"",NOTA[[#This Row],[QTY]]*NOTA[[#This Row],[HARGA SATUAN]])</f>
        <v/>
      </c>
      <c r="AG875" s="51" t="str">
        <f ca="1">IF(NOTA[ID_H]="","",INDEX(NOTA[TANGGAL],MATCH(,INDIRECT(ADDRESS(ROW(NOTA[TANGGAL]),COLUMN(NOTA[TANGGAL]))&amp;":"&amp;ADDRESS(ROW(),COLUMN(NOTA[TANGGAL]))),-1)))</f>
        <v/>
      </c>
      <c r="AH875" s="49" t="str">
        <f ca="1">IF(NOTA[[#This Row],[NAMA BARANG]]="","",INDEX(NOTA[SUPPLIER],MATCH(,INDIRECT(ADDRESS(ROW(NOTA[ID]),COLUMN(NOTA[ID]))&amp;":"&amp;ADDRESS(ROW(),COLUMN(NOTA[ID]))),-1)))</f>
        <v/>
      </c>
      <c r="AI875" s="49" t="str">
        <f ca="1">IF(NOTA[[#This Row],[ID_H]]="","",IF(NOTA[[#This Row],[FAKTUR]]="",INDIRECT(ADDRESS(ROW()-1,COLUMN())),NOTA[[#This Row],[FAKTUR]]))</f>
        <v/>
      </c>
      <c r="AJ875" s="38" t="str">
        <f ca="1">IF(NOTA[[#This Row],[ID]]="","",COUNTIF(NOTA[ID_H],NOTA[[#This Row],[ID_H]]))</f>
        <v/>
      </c>
      <c r="AK875" s="38" t="str">
        <f ca="1">IF(NOTA[[#This Row],[TGL.NOTA]]="",IF(NOTA[[#This Row],[SUPPLIER_H]]="","",AK874),MONTH(NOTA[[#This Row],[TGL.NOTA]]))</f>
        <v/>
      </c>
      <c r="AL875" s="38" t="str">
        <f>LOWER(SUBSTITUTE(SUBSTITUTE(SUBSTITUTE(SUBSTITUTE(SUBSTITUTE(SUBSTITUTE(SUBSTITUTE(SUBSTITUTE(SUBSTITUTE(NOTA[NAMA BARANG]," ",),".",""),"-",""),"(",""),")",""),",",""),"/",""),"""",""),"+",""))</f>
        <v/>
      </c>
      <c r="AM875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5" s="184" t="str">
        <f>IF(NOTA[[#This Row],[CONCAT1]]="","",MATCH(NOTA[[#This Row],[CONCAT1]],[1]!db[NB NOTA_C],0)+1)</f>
        <v/>
      </c>
    </row>
    <row r="876" spans="1:40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Row],[CEK_EXP]]&lt;D875,"err","")</f>
        <v/>
      </c>
      <c r="D876" s="50">
        <f>IF(NOTA[[#This Row],[TANGGAL]]="",D875,NOTA[[#This Row],[TANGGAL]])</f>
        <v>44959</v>
      </c>
      <c r="E876" s="50" t="str">
        <f ca="1">IF(NOTA[[#This Row],[NAMA BARANG]]="","",INDEX(NOTA[ID],MATCH(,INDIRECT(ADDRESS(ROW(NOTA[ID]),COLUMN(NOTA[ID]))&amp;":"&amp;ADDRESS(ROW(),COLUMN(NOTA[ID]))),-1)))</f>
        <v/>
      </c>
      <c r="F876" s="23"/>
      <c r="G876" s="26"/>
      <c r="H876" s="26"/>
      <c r="I876" s="31"/>
      <c r="J876" s="26"/>
      <c r="K876" s="51"/>
      <c r="L876" s="26"/>
      <c r="M876" s="26"/>
      <c r="N876" s="39"/>
      <c r="O876" s="26"/>
      <c r="P876" s="26"/>
      <c r="Q876" s="49"/>
      <c r="R876" s="52"/>
      <c r="S876" s="39"/>
      <c r="T876" s="53"/>
      <c r="U876" s="53"/>
      <c r="V876" s="54"/>
      <c r="W876" s="37"/>
      <c r="X876" s="54" t="str">
        <f>IF(NOTA[[#This Row],[HARGA/ CTN]]="",NOTA[[#This Row],[JUMLAH_H]],NOTA[[#This Row],[HARGA/ CTN]]*IF(NOTA[[#This Row],[C]]="",0,NOTA[[#This Row],[C]]))</f>
        <v/>
      </c>
      <c r="Y876" s="54" t="str">
        <f>IF(NOTA[[#This Row],[JUMLAH]]="","",NOTA[[#This Row],[JUMLAH]]*NOTA[[#This Row],[DISC 1]])</f>
        <v/>
      </c>
      <c r="Z876" s="54" t="str">
        <f>IF(NOTA[[#This Row],[JUMLAH]]="","",(NOTA[[#This Row],[JUMLAH]]-NOTA[[#This Row],[DISC 1-]])*NOTA[[#This Row],[DISC 2]])</f>
        <v/>
      </c>
      <c r="AA876" s="54" t="str">
        <f>IF(NOTA[[#This Row],[JUMLAH]]="","",NOTA[[#This Row],[DISC 1-]]+NOTA[[#This Row],[DISC 2-]])</f>
        <v/>
      </c>
      <c r="AB876" s="54" t="str">
        <f>IF(NOTA[[#This Row],[JUMLAH]]="","",NOTA[[#This Row],[JUMLAH]]-NOTA[[#This Row],[DISC]])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54" t="str">
        <f>IF(OR(NOTA[[#This Row],[QTY]]="",NOTA[[#This Row],[HARGA SATUAN]]="",),"",NOTA[[#This Row],[QTY]]*NOTA[[#This Row],[HARGA SATUAN]])</f>
        <v/>
      </c>
      <c r="AG876" s="51" t="str">
        <f ca="1">IF(NOTA[ID_H]="","",INDEX(NOTA[TANGGAL],MATCH(,INDIRECT(ADDRESS(ROW(NOTA[TANGGAL]),COLUMN(NOTA[TANGGAL]))&amp;":"&amp;ADDRESS(ROW(),COLUMN(NOTA[TANGGAL]))),-1)))</f>
        <v/>
      </c>
      <c r="AH876" s="49" t="str">
        <f ca="1">IF(NOTA[[#This Row],[NAMA BARANG]]="","",INDEX(NOTA[SUPPLIER],MATCH(,INDIRECT(ADDRESS(ROW(NOTA[ID]),COLUMN(NOTA[ID]))&amp;":"&amp;ADDRESS(ROW(),COLUMN(NOTA[ID]))),-1)))</f>
        <v/>
      </c>
      <c r="AI876" s="49" t="str">
        <f ca="1">IF(NOTA[[#This Row],[ID_H]]="","",IF(NOTA[[#This Row],[FAKTUR]]="",INDIRECT(ADDRESS(ROW()-1,COLUMN())),NOTA[[#This Row],[FAKTUR]]))</f>
        <v/>
      </c>
      <c r="AJ876" s="38" t="str">
        <f ca="1">IF(NOTA[[#This Row],[ID]]="","",COUNTIF(NOTA[ID_H],NOTA[[#This Row],[ID_H]]))</f>
        <v/>
      </c>
      <c r="AK876" s="38" t="str">
        <f ca="1">IF(NOTA[[#This Row],[TGL.NOTA]]="",IF(NOTA[[#This Row],[SUPPLIER_H]]="","",AK875),MONTH(NOTA[[#This Row],[TGL.NOTA]]))</f>
        <v/>
      </c>
      <c r="AL876" s="38" t="str">
        <f>LOWER(SUBSTITUTE(SUBSTITUTE(SUBSTITUTE(SUBSTITUTE(SUBSTITUTE(SUBSTITUTE(SUBSTITUTE(SUBSTITUTE(SUBSTITUTE(NOTA[NAMA BARANG]," ",),".",""),"-",""),"(",""),")",""),",",""),"/",""),"""",""),"+",""))</f>
        <v/>
      </c>
      <c r="AM876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6" s="184" t="str">
        <f>IF(NOTA[[#This Row],[CONCAT1]]="","",MATCH(NOTA[[#This Row],[CONCAT1]],[1]!db[NB NOTA_C],0)+1)</f>
        <v/>
      </c>
    </row>
    <row r="877" spans="1:40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Row],[CEK_EXP]]&lt;D876,"err","")</f>
        <v/>
      </c>
      <c r="D877" s="50">
        <f>IF(NOTA[[#This Row],[TANGGAL]]="",D876,NOTA[[#This Row],[TANGGAL]])</f>
        <v>44959</v>
      </c>
      <c r="E877" s="50" t="str">
        <f ca="1">IF(NOTA[[#This Row],[NAMA BARANG]]="","",INDEX(NOTA[ID],MATCH(,INDIRECT(ADDRESS(ROW(NOTA[ID]),COLUMN(NOTA[ID]))&amp;":"&amp;ADDRESS(ROW(),COLUMN(NOTA[ID]))),-1)))</f>
        <v/>
      </c>
      <c r="F877" s="119"/>
      <c r="G877" s="120"/>
      <c r="H877" s="120"/>
      <c r="I877" s="121"/>
      <c r="J877" s="120"/>
      <c r="K877" s="122"/>
      <c r="L877" s="120"/>
      <c r="M877" s="120"/>
      <c r="N877" s="123"/>
      <c r="O877" s="120"/>
      <c r="P877" s="120"/>
      <c r="Q877" s="124"/>
      <c r="R877" s="125"/>
      <c r="S877" s="123"/>
      <c r="T877" s="126"/>
      <c r="U877" s="126"/>
      <c r="V877" s="127"/>
      <c r="W877" s="128"/>
      <c r="X877" s="54" t="str">
        <f>IF(NOTA[[#This Row],[HARGA/ CTN]]="",NOTA[[#This Row],[JUMLAH_H]],NOTA[[#This Row],[HARGA/ CTN]]*IF(NOTA[[#This Row],[C]]="",0,NOTA[[#This Row],[C]]))</f>
        <v/>
      </c>
      <c r="Y877" s="54" t="str">
        <f>IF(NOTA[[#This Row],[JUMLAH]]="","",NOTA[[#This Row],[JUMLAH]]*NOTA[[#This Row],[DISC 1]])</f>
        <v/>
      </c>
      <c r="Z877" s="54" t="str">
        <f>IF(NOTA[[#This Row],[JUMLAH]]="","",(NOTA[[#This Row],[JUMLAH]]-NOTA[[#This Row],[DISC 1-]])*NOTA[[#This Row],[DISC 2]])</f>
        <v/>
      </c>
      <c r="AA877" s="54" t="str">
        <f>IF(NOTA[[#This Row],[JUMLAH]]="","",NOTA[[#This Row],[DISC 1-]]+NOTA[[#This Row],[DISC 2-]])</f>
        <v/>
      </c>
      <c r="AB877" s="54" t="str">
        <f>IF(NOTA[[#This Row],[JUMLAH]]="","",NOTA[[#This Row],[JUMLAH]]-NOTA[[#This Row],[DISC]])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54" t="str">
        <f>IF(OR(NOTA[[#This Row],[QTY]]="",NOTA[[#This Row],[HARGA SATUAN]]="",),"",NOTA[[#This Row],[QTY]]*NOTA[[#This Row],[HARGA SATUAN]])</f>
        <v/>
      </c>
      <c r="AG877" s="51" t="str">
        <f ca="1">IF(NOTA[ID_H]="","",INDEX(NOTA[TANGGAL],MATCH(,INDIRECT(ADDRESS(ROW(NOTA[TANGGAL]),COLUMN(NOTA[TANGGAL]))&amp;":"&amp;ADDRESS(ROW(),COLUMN(NOTA[TANGGAL]))),-1)))</f>
        <v/>
      </c>
      <c r="AH877" s="49" t="str">
        <f ca="1">IF(NOTA[[#This Row],[NAMA BARANG]]="","",INDEX(NOTA[SUPPLIER],MATCH(,INDIRECT(ADDRESS(ROW(NOTA[ID]),COLUMN(NOTA[ID]))&amp;":"&amp;ADDRESS(ROW(),COLUMN(NOTA[ID]))),-1)))</f>
        <v/>
      </c>
      <c r="AI877" s="49" t="str">
        <f ca="1">IF(NOTA[[#This Row],[ID_H]]="","",IF(NOTA[[#This Row],[FAKTUR]]="",INDIRECT(ADDRESS(ROW()-1,COLUMN())),NOTA[[#This Row],[FAKTUR]]))</f>
        <v/>
      </c>
      <c r="AJ877" s="38" t="str">
        <f ca="1">IF(NOTA[[#This Row],[ID]]="","",COUNTIF(NOTA[ID_H],NOTA[[#This Row],[ID_H]]))</f>
        <v/>
      </c>
      <c r="AK877" s="38" t="str">
        <f ca="1">IF(NOTA[[#This Row],[TGL.NOTA]]="",IF(NOTA[[#This Row],[SUPPLIER_H]]="","",AK876),MONTH(NOTA[[#This Row],[TGL.NOTA]]))</f>
        <v/>
      </c>
      <c r="AL877" s="38" t="str">
        <f>LOWER(SUBSTITUTE(SUBSTITUTE(SUBSTITUTE(SUBSTITUTE(SUBSTITUTE(SUBSTITUTE(SUBSTITUTE(SUBSTITUTE(SUBSTITUTE(NOTA[NAMA BARANG]," ",),".",""),"-",""),"(",""),")",""),",",""),"/",""),"""",""),"+",""))</f>
        <v/>
      </c>
      <c r="AM877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7" s="184" t="str">
        <f>IF(NOTA[[#This Row],[CONCAT1]]="","",MATCH(NOTA[[#This Row],[CONCAT1]],[1]!db[NB NOTA_C],0)+1)</f>
        <v/>
      </c>
    </row>
    <row r="878" spans="1:40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Row],[CEK_EXP]]&lt;D877,"err","")</f>
        <v/>
      </c>
      <c r="D878" s="50">
        <f>IF(NOTA[[#This Row],[TANGGAL]]="",D877,NOTA[[#This Row],[TANGGAL]])</f>
        <v>44959</v>
      </c>
      <c r="E878" s="50" t="str">
        <f ca="1">IF(NOTA[[#This Row],[NAMA BARANG]]="","",INDEX(NOTA[ID],MATCH(,INDIRECT(ADDRESS(ROW(NOTA[ID]),COLUMN(NOTA[ID]))&amp;":"&amp;ADDRESS(ROW(),COLUMN(NOTA[ID]))),-1)))</f>
        <v/>
      </c>
      <c r="F878" s="119"/>
      <c r="G878" s="120"/>
      <c r="H878" s="120"/>
      <c r="I878" s="121"/>
      <c r="J878" s="120"/>
      <c r="K878" s="122"/>
      <c r="L878" s="120"/>
      <c r="M878" s="120"/>
      <c r="N878" s="123"/>
      <c r="O878" s="120"/>
      <c r="P878" s="120"/>
      <c r="Q878" s="124"/>
      <c r="R878" s="125"/>
      <c r="S878" s="123"/>
      <c r="T878" s="126"/>
      <c r="U878" s="126"/>
      <c r="V878" s="127"/>
      <c r="W878" s="128"/>
      <c r="X878" s="54" t="str">
        <f>IF(NOTA[[#This Row],[HARGA/ CTN]]="",NOTA[[#This Row],[JUMLAH_H]],NOTA[[#This Row],[HARGA/ CTN]]*IF(NOTA[[#This Row],[C]]="",0,NOTA[[#This Row],[C]]))</f>
        <v/>
      </c>
      <c r="Y878" s="54" t="str">
        <f>IF(NOTA[[#This Row],[JUMLAH]]="","",NOTA[[#This Row],[JUMLAH]]*NOTA[[#This Row],[DISC 1]])</f>
        <v/>
      </c>
      <c r="Z878" s="54" t="str">
        <f>IF(NOTA[[#This Row],[JUMLAH]]="","",(NOTA[[#This Row],[JUMLAH]]-NOTA[[#This Row],[DISC 1-]])*NOTA[[#This Row],[DISC 2]])</f>
        <v/>
      </c>
      <c r="AA878" s="54" t="str">
        <f>IF(NOTA[[#This Row],[JUMLAH]]="","",NOTA[[#This Row],[DISC 1-]]+NOTA[[#This Row],[DISC 2-]])</f>
        <v/>
      </c>
      <c r="AB878" s="54" t="str">
        <f>IF(NOTA[[#This Row],[JUMLAH]]="","",NOTA[[#This Row],[JUMLAH]]-NOTA[[#This Row],[DISC]])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54" t="str">
        <f>IF(OR(NOTA[[#This Row],[QTY]]="",NOTA[[#This Row],[HARGA SATUAN]]="",),"",NOTA[[#This Row],[QTY]]*NOTA[[#This Row],[HARGA SATUAN]])</f>
        <v/>
      </c>
      <c r="AG878" s="51" t="str">
        <f ca="1">IF(NOTA[ID_H]="","",INDEX(NOTA[TANGGAL],MATCH(,INDIRECT(ADDRESS(ROW(NOTA[TANGGAL]),COLUMN(NOTA[TANGGAL]))&amp;":"&amp;ADDRESS(ROW(),COLUMN(NOTA[TANGGAL]))),-1)))</f>
        <v/>
      </c>
      <c r="AH878" s="49" t="str">
        <f ca="1">IF(NOTA[[#This Row],[NAMA BARANG]]="","",INDEX(NOTA[SUPPLIER],MATCH(,INDIRECT(ADDRESS(ROW(NOTA[ID]),COLUMN(NOTA[ID]))&amp;":"&amp;ADDRESS(ROW(),COLUMN(NOTA[ID]))),-1)))</f>
        <v/>
      </c>
      <c r="AI878" s="49" t="str">
        <f ca="1">IF(NOTA[[#This Row],[ID_H]]="","",IF(NOTA[[#This Row],[FAKTUR]]="",INDIRECT(ADDRESS(ROW()-1,COLUMN())),NOTA[[#This Row],[FAKTUR]]))</f>
        <v/>
      </c>
      <c r="AJ878" s="38" t="str">
        <f ca="1">IF(NOTA[[#This Row],[ID]]="","",COUNTIF(NOTA[ID_H],NOTA[[#This Row],[ID_H]]))</f>
        <v/>
      </c>
      <c r="AK878" s="38" t="str">
        <f ca="1">IF(NOTA[[#This Row],[TGL.NOTA]]="",IF(NOTA[[#This Row],[SUPPLIER_H]]="","",AK877),MONTH(NOTA[[#This Row],[TGL.NOTA]]))</f>
        <v/>
      </c>
      <c r="AL878" s="38" t="str">
        <f>LOWER(SUBSTITUTE(SUBSTITUTE(SUBSTITUTE(SUBSTITUTE(SUBSTITUTE(SUBSTITUTE(SUBSTITUTE(SUBSTITUTE(SUBSTITUTE(NOTA[NAMA BARANG]," ",),".",""),"-",""),"(",""),")",""),",",""),"/",""),"""",""),"+",""))</f>
        <v/>
      </c>
      <c r="AM878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8" s="184" t="str">
        <f>IF(NOTA[[#This Row],[CONCAT1]]="","",MATCH(NOTA[[#This Row],[CONCAT1]],[1]!db[NB NOTA_C],0)+1)</f>
        <v/>
      </c>
    </row>
    <row r="879" spans="1:40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Row],[CEK_EXP]]&lt;D878,"err","")</f>
        <v/>
      </c>
      <c r="D879" s="50">
        <f>IF(NOTA[[#This Row],[TANGGAL]]="",D878,NOTA[[#This Row],[TANGGAL]])</f>
        <v>44959</v>
      </c>
      <c r="E879" s="50" t="str">
        <f ca="1">IF(NOTA[[#This Row],[NAMA BARANG]]="","",INDEX(NOTA[ID],MATCH(,INDIRECT(ADDRESS(ROW(NOTA[ID]),COLUMN(NOTA[ID]))&amp;":"&amp;ADDRESS(ROW(),COLUMN(NOTA[ID]))),-1)))</f>
        <v/>
      </c>
      <c r="F879" s="119"/>
      <c r="G879" s="120"/>
      <c r="H879" s="120"/>
      <c r="I879" s="121"/>
      <c r="J879" s="120"/>
      <c r="K879" s="122"/>
      <c r="L879" s="120"/>
      <c r="M879" s="120"/>
      <c r="N879" s="123"/>
      <c r="O879" s="120"/>
      <c r="P879" s="120"/>
      <c r="Q879" s="124"/>
      <c r="R879" s="125"/>
      <c r="S879" s="123"/>
      <c r="T879" s="126"/>
      <c r="U879" s="126"/>
      <c r="V879" s="127"/>
      <c r="W879" s="128"/>
      <c r="X879" s="54" t="str">
        <f>IF(NOTA[[#This Row],[HARGA/ CTN]]="",NOTA[[#This Row],[JUMLAH_H]],NOTA[[#This Row],[HARGA/ CTN]]*IF(NOTA[[#This Row],[C]]="",0,NOTA[[#This Row],[C]]))</f>
        <v/>
      </c>
      <c r="Y879" s="54" t="str">
        <f>IF(NOTA[[#This Row],[JUMLAH]]="","",NOTA[[#This Row],[JUMLAH]]*NOTA[[#This Row],[DISC 1]])</f>
        <v/>
      </c>
      <c r="Z879" s="54" t="str">
        <f>IF(NOTA[[#This Row],[JUMLAH]]="","",(NOTA[[#This Row],[JUMLAH]]-NOTA[[#This Row],[DISC 1-]])*NOTA[[#This Row],[DISC 2]])</f>
        <v/>
      </c>
      <c r="AA879" s="54" t="str">
        <f>IF(NOTA[[#This Row],[JUMLAH]]="","",NOTA[[#This Row],[DISC 1-]]+NOTA[[#This Row],[DISC 2-]])</f>
        <v/>
      </c>
      <c r="AB879" s="54" t="str">
        <f>IF(NOTA[[#This Row],[JUMLAH]]="","",NOTA[[#This Row],[JUMLAH]]-NOTA[[#This Row],[DISC]])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54" t="str">
        <f>IF(OR(NOTA[[#This Row],[QTY]]="",NOTA[[#This Row],[HARGA SATUAN]]="",),"",NOTA[[#This Row],[QTY]]*NOTA[[#This Row],[HARGA SATUAN]])</f>
        <v/>
      </c>
      <c r="AG879" s="51" t="str">
        <f ca="1">IF(NOTA[ID_H]="","",INDEX(NOTA[TANGGAL],MATCH(,INDIRECT(ADDRESS(ROW(NOTA[TANGGAL]),COLUMN(NOTA[TANGGAL]))&amp;":"&amp;ADDRESS(ROW(),COLUMN(NOTA[TANGGAL]))),-1)))</f>
        <v/>
      </c>
      <c r="AH879" s="49" t="str">
        <f ca="1">IF(NOTA[[#This Row],[NAMA BARANG]]="","",INDEX(NOTA[SUPPLIER],MATCH(,INDIRECT(ADDRESS(ROW(NOTA[ID]),COLUMN(NOTA[ID]))&amp;":"&amp;ADDRESS(ROW(),COLUMN(NOTA[ID]))),-1)))</f>
        <v/>
      </c>
      <c r="AI879" s="49" t="str">
        <f ca="1">IF(NOTA[[#This Row],[ID_H]]="","",IF(NOTA[[#This Row],[FAKTUR]]="",INDIRECT(ADDRESS(ROW()-1,COLUMN())),NOTA[[#This Row],[FAKTUR]]))</f>
        <v/>
      </c>
      <c r="AJ879" s="38" t="str">
        <f ca="1">IF(NOTA[[#This Row],[ID]]="","",COUNTIF(NOTA[ID_H],NOTA[[#This Row],[ID_H]]))</f>
        <v/>
      </c>
      <c r="AK879" s="38" t="str">
        <f ca="1">IF(NOTA[[#This Row],[TGL.NOTA]]="",IF(NOTA[[#This Row],[SUPPLIER_H]]="","",AK878),MONTH(NOTA[[#This Row],[TGL.NOTA]]))</f>
        <v/>
      </c>
      <c r="AL879" s="38" t="str">
        <f>LOWER(SUBSTITUTE(SUBSTITUTE(SUBSTITUTE(SUBSTITUTE(SUBSTITUTE(SUBSTITUTE(SUBSTITUTE(SUBSTITUTE(SUBSTITUTE(NOTA[NAMA BARANG]," ",),".",""),"-",""),"(",""),")",""),",",""),"/",""),"""",""),"+",""))</f>
        <v/>
      </c>
      <c r="AM879" s="38" t="str">
        <f>IF(NOTA[C]="",NOTA[[#This Row],[CONCAT1]]&amp;NOTA[[#This Row],[HARGA SATUAN]],NOTA[[#This Row],[CONCAT1]]&amp;NOTA[[#This Row],[HARGA/ CTN_H]]&amp;NOTA[[#This Row],[DISC 1]]&amp;NOTA[[#This Row],[DISC 2]])</f>
        <v/>
      </c>
      <c r="AN879" s="184" t="str">
        <f>IF(NOTA[[#This Row],[CONCAT1]]="","",MATCH(NOTA[[#This Row],[CONCAT1]],[1]!db[NB NOTA_C],0)+1)</f>
        <v/>
      </c>
    </row>
    <row r="880" spans="1:40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Row],[CEK_EXP]]&lt;D879,"err","")</f>
        <v/>
      </c>
      <c r="D880" s="50">
        <f>IF(NOTA[[#This Row],[TANGGAL]]="",D879,NOTA[[#This Row],[TANGGAL]])</f>
        <v>44959</v>
      </c>
      <c r="E880" s="50" t="str">
        <f ca="1">IF(NOTA[[#This Row],[NAMA BARANG]]="","",INDEX(NOTA[ID],MATCH(,INDIRECT(ADDRESS(ROW(NOTA[ID]),COLUMN(NOTA[ID]))&amp;":"&amp;ADDRESS(ROW(),COLUMN(NOTA[ID]))),-1)))</f>
        <v/>
      </c>
      <c r="F880" s="23"/>
      <c r="G880" s="26"/>
      <c r="H880" s="26"/>
      <c r="I880" s="31"/>
      <c r="J880" s="26"/>
      <c r="K880" s="51"/>
      <c r="L880" s="26"/>
      <c r="M880" s="26"/>
      <c r="N880" s="39"/>
      <c r="O880" s="26"/>
      <c r="P880" s="26"/>
      <c r="Q880" s="49"/>
      <c r="R880" s="52"/>
      <c r="S880" s="39"/>
      <c r="T880" s="53"/>
      <c r="U880" s="53"/>
      <c r="V880" s="54"/>
      <c r="W880" s="37"/>
      <c r="X880" s="54" t="str">
        <f>IF(NOTA[[#This Row],[HARGA/ CTN]]="",NOTA[[#This Row],[JUMLAH_H]],NOTA[[#This Row],[HARGA/ CTN]]*IF(NOTA[[#This Row],[C]]="",0,NOTA[[#This Row],[C]]))</f>
        <v/>
      </c>
      <c r="Y880" s="54" t="str">
        <f>IF(NOTA[[#This Row],[JUMLAH]]="","",NOTA[[#This Row],[JUMLAH]]*NOTA[[#This Row],[DISC 1]])</f>
        <v/>
      </c>
      <c r="Z880" s="54" t="str">
        <f>IF(NOTA[[#This Row],[JUMLAH]]="","",(NOTA[[#This Row],[JUMLAH]]-NOTA[[#This Row],[DISC 1-]])*NOTA[[#This Row],[DISC 2]])</f>
        <v/>
      </c>
      <c r="AA880" s="54" t="str">
        <f>IF(NOTA[[#This Row],[JUMLAH]]="","",NOTA[[#This Row],[DISC 1-]]+NOTA[[#This Row],[DISC 2-]])</f>
        <v/>
      </c>
      <c r="AB880" s="54" t="str">
        <f>IF(NOTA[[#This Row],[JUMLAH]]="","",NOTA[[#This Row],[JUMLAH]]-NOTA[[#This Row],[DISC]])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54" t="str">
        <f>IF(OR(NOTA[[#This Row],[QTY]]="",NOTA[[#This Row],[HARGA SATUAN]]="",),"",NOTA[[#This Row],[QTY]]*NOTA[[#This Row],[HARGA SATUAN]])</f>
        <v/>
      </c>
      <c r="AG880" s="51" t="str">
        <f ca="1">IF(NOTA[ID_H]="","",INDEX(NOTA[TANGGAL],MATCH(,INDIRECT(ADDRESS(ROW(NOTA[TANGGAL]),COLUMN(NOTA[TANGGAL]))&amp;":"&amp;ADDRESS(ROW(),COLUMN(NOTA[TANGGAL]))),-1)))</f>
        <v/>
      </c>
      <c r="AH880" s="49" t="str">
        <f ca="1">IF(NOTA[[#This Row],[NAMA BARANG]]="","",INDEX(NOTA[SUPPLIER],MATCH(,INDIRECT(ADDRESS(ROW(NOTA[ID]),COLUMN(NOTA[ID]))&amp;":"&amp;ADDRESS(ROW(),COLUMN(NOTA[ID]))),-1)))</f>
        <v/>
      </c>
      <c r="AI880" s="49" t="str">
        <f ca="1">IF(NOTA[[#This Row],[ID_H]]="","",IF(NOTA[[#This Row],[FAKTUR]]="",INDIRECT(ADDRESS(ROW()-1,COLUMN())),NOTA[[#This Row],[FAKTUR]]))</f>
        <v/>
      </c>
      <c r="AJ880" s="38" t="str">
        <f ca="1">IF(NOTA[[#This Row],[ID]]="","",COUNTIF(NOTA[ID_H],NOTA[[#This Row],[ID_H]]))</f>
        <v/>
      </c>
      <c r="AK880" s="38" t="str">
        <f ca="1">IF(NOTA[[#This Row],[TGL.NOTA]]="",IF(NOTA[[#This Row],[SUPPLIER_H]]="","",AK879),MONTH(NOTA[[#This Row],[TGL.NOTA]]))</f>
        <v/>
      </c>
      <c r="AL880" s="38" t="str">
        <f>LOWER(SUBSTITUTE(SUBSTITUTE(SUBSTITUTE(SUBSTITUTE(SUBSTITUTE(SUBSTITUTE(SUBSTITUTE(SUBSTITUTE(SUBSTITUTE(NOTA[NAMA BARANG]," ",),".",""),"-",""),"(",""),")",""),",",""),"/",""),"""",""),"+",""))</f>
        <v/>
      </c>
      <c r="AM880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0" s="184" t="str">
        <f>IF(NOTA[[#This Row],[CONCAT1]]="","",MATCH(NOTA[[#This Row],[CONCAT1]],[1]!db[NB NOTA_C],0)+1)</f>
        <v/>
      </c>
    </row>
    <row r="881" spans="1:40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Row],[CEK_EXP]]&lt;D880,"err","")</f>
        <v/>
      </c>
      <c r="D881" s="50">
        <f>IF(NOTA[[#This Row],[TANGGAL]]="",D880,NOTA[[#This Row],[TANGGAL]])</f>
        <v>44959</v>
      </c>
      <c r="E881" s="50" t="str">
        <f ca="1">IF(NOTA[[#This Row],[NAMA BARANG]]="","",INDEX(NOTA[ID],MATCH(,INDIRECT(ADDRESS(ROW(NOTA[ID]),COLUMN(NOTA[ID]))&amp;":"&amp;ADDRESS(ROW(),COLUMN(NOTA[ID]))),-1)))</f>
        <v/>
      </c>
      <c r="F881" s="23"/>
      <c r="G881" s="26"/>
      <c r="H881" s="26"/>
      <c r="I881" s="31"/>
      <c r="J881" s="26"/>
      <c r="K881" s="51"/>
      <c r="L881" s="26"/>
      <c r="M881" s="26"/>
      <c r="N881" s="39"/>
      <c r="O881" s="26"/>
      <c r="P881" s="26"/>
      <c r="Q881" s="49"/>
      <c r="R881" s="52"/>
      <c r="S881" s="39"/>
      <c r="T881" s="53"/>
      <c r="U881" s="53"/>
      <c r="V881" s="54"/>
      <c r="W881" s="37"/>
      <c r="X881" s="54" t="str">
        <f>IF(NOTA[[#This Row],[HARGA/ CTN]]="",NOTA[[#This Row],[JUMLAH_H]],NOTA[[#This Row],[HARGA/ CTN]]*IF(NOTA[[#This Row],[C]]="",0,NOTA[[#This Row],[C]]))</f>
        <v/>
      </c>
      <c r="Y881" s="54" t="str">
        <f>IF(NOTA[[#This Row],[JUMLAH]]="","",NOTA[[#This Row],[JUMLAH]]*NOTA[[#This Row],[DISC 1]])</f>
        <v/>
      </c>
      <c r="Z881" s="54" t="str">
        <f>IF(NOTA[[#This Row],[JUMLAH]]="","",(NOTA[[#This Row],[JUMLAH]]-NOTA[[#This Row],[DISC 1-]])*NOTA[[#This Row],[DISC 2]])</f>
        <v/>
      </c>
      <c r="AA881" s="54" t="str">
        <f>IF(NOTA[[#This Row],[JUMLAH]]="","",NOTA[[#This Row],[DISC 1-]]+NOTA[[#This Row],[DISC 2-]])</f>
        <v/>
      </c>
      <c r="AB881" s="54" t="str">
        <f>IF(NOTA[[#This Row],[JUMLAH]]="","",NOTA[[#This Row],[JUMLAH]]-NOTA[[#This Row],[DISC]])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54" t="str">
        <f>IF(OR(NOTA[[#This Row],[QTY]]="",NOTA[[#This Row],[HARGA SATUAN]]="",),"",NOTA[[#This Row],[QTY]]*NOTA[[#This Row],[HARGA SATUAN]])</f>
        <v/>
      </c>
      <c r="AG881" s="51" t="str">
        <f ca="1">IF(NOTA[ID_H]="","",INDEX(NOTA[TANGGAL],MATCH(,INDIRECT(ADDRESS(ROW(NOTA[TANGGAL]),COLUMN(NOTA[TANGGAL]))&amp;":"&amp;ADDRESS(ROW(),COLUMN(NOTA[TANGGAL]))),-1)))</f>
        <v/>
      </c>
      <c r="AH881" s="49" t="str">
        <f ca="1">IF(NOTA[[#This Row],[NAMA BARANG]]="","",INDEX(NOTA[SUPPLIER],MATCH(,INDIRECT(ADDRESS(ROW(NOTA[ID]),COLUMN(NOTA[ID]))&amp;":"&amp;ADDRESS(ROW(),COLUMN(NOTA[ID]))),-1)))</f>
        <v/>
      </c>
      <c r="AI881" s="49" t="str">
        <f ca="1">IF(NOTA[[#This Row],[ID_H]]="","",IF(NOTA[[#This Row],[FAKTUR]]="",INDIRECT(ADDRESS(ROW()-1,COLUMN())),NOTA[[#This Row],[FAKTUR]]))</f>
        <v/>
      </c>
      <c r="AJ881" s="38" t="str">
        <f ca="1">IF(NOTA[[#This Row],[ID]]="","",COUNTIF(NOTA[ID_H],NOTA[[#This Row],[ID_H]]))</f>
        <v/>
      </c>
      <c r="AK881" s="38" t="str">
        <f ca="1">IF(NOTA[[#This Row],[TGL.NOTA]]="",IF(NOTA[[#This Row],[SUPPLIER_H]]="","",AK880),MONTH(NOTA[[#This Row],[TGL.NOTA]]))</f>
        <v/>
      </c>
      <c r="AL881" s="38" t="str">
        <f>LOWER(SUBSTITUTE(SUBSTITUTE(SUBSTITUTE(SUBSTITUTE(SUBSTITUTE(SUBSTITUTE(SUBSTITUTE(SUBSTITUTE(SUBSTITUTE(NOTA[NAMA BARANG]," ",),".",""),"-",""),"(",""),")",""),",",""),"/",""),"""",""),"+",""))</f>
        <v/>
      </c>
      <c r="AM881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1" s="184" t="str">
        <f>IF(NOTA[[#This Row],[CONCAT1]]="","",MATCH(NOTA[[#This Row],[CONCAT1]],[1]!db[NB NOTA_C],0)+1)</f>
        <v/>
      </c>
    </row>
    <row r="882" spans="1:40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Row],[CEK_EXP]]&lt;D881,"err","")</f>
        <v/>
      </c>
      <c r="D882" s="50">
        <f>IF(NOTA[[#This Row],[TANGGAL]]="",D881,NOTA[[#This Row],[TANGGAL]])</f>
        <v>44959</v>
      </c>
      <c r="E882" s="50" t="str">
        <f ca="1">IF(NOTA[[#This Row],[NAMA BARANG]]="","",INDEX(NOTA[ID],MATCH(,INDIRECT(ADDRESS(ROW(NOTA[ID]),COLUMN(NOTA[ID]))&amp;":"&amp;ADDRESS(ROW(),COLUMN(NOTA[ID]))),-1)))</f>
        <v/>
      </c>
      <c r="F882" s="23"/>
      <c r="G882" s="26"/>
      <c r="H882" s="26"/>
      <c r="I882" s="31"/>
      <c r="J882" s="26"/>
      <c r="K882" s="51"/>
      <c r="L882" s="26"/>
      <c r="M882" s="26"/>
      <c r="N882" s="39"/>
      <c r="O882" s="26"/>
      <c r="P882" s="26"/>
      <c r="Q882" s="49"/>
      <c r="R882" s="52"/>
      <c r="S882" s="39"/>
      <c r="T882" s="53"/>
      <c r="U882" s="53"/>
      <c r="V882" s="54"/>
      <c r="W882" s="37"/>
      <c r="X882" s="54" t="str">
        <f>IF(NOTA[[#This Row],[HARGA/ CTN]]="",NOTA[[#This Row],[JUMLAH_H]],NOTA[[#This Row],[HARGA/ CTN]]*IF(NOTA[[#This Row],[C]]="",0,NOTA[[#This Row],[C]]))</f>
        <v/>
      </c>
      <c r="Y882" s="54" t="str">
        <f>IF(NOTA[[#This Row],[JUMLAH]]="","",NOTA[[#This Row],[JUMLAH]]*NOTA[[#This Row],[DISC 1]])</f>
        <v/>
      </c>
      <c r="Z882" s="54" t="str">
        <f>IF(NOTA[[#This Row],[JUMLAH]]="","",(NOTA[[#This Row],[JUMLAH]]-NOTA[[#This Row],[DISC 1-]])*NOTA[[#This Row],[DISC 2]])</f>
        <v/>
      </c>
      <c r="AA882" s="54" t="str">
        <f>IF(NOTA[[#This Row],[JUMLAH]]="","",NOTA[[#This Row],[DISC 1-]]+NOTA[[#This Row],[DISC 2-]])</f>
        <v/>
      </c>
      <c r="AB882" s="54" t="str">
        <f>IF(NOTA[[#This Row],[JUMLAH]]="","",NOTA[[#This Row],[JUMLAH]]-NOTA[[#This Row],[DISC]])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54" t="str">
        <f>IF(OR(NOTA[[#This Row],[QTY]]="",NOTA[[#This Row],[HARGA SATUAN]]="",),"",NOTA[[#This Row],[QTY]]*NOTA[[#This Row],[HARGA SATUAN]])</f>
        <v/>
      </c>
      <c r="AG882" s="51" t="str">
        <f ca="1">IF(NOTA[ID_H]="","",INDEX(NOTA[TANGGAL],MATCH(,INDIRECT(ADDRESS(ROW(NOTA[TANGGAL]),COLUMN(NOTA[TANGGAL]))&amp;":"&amp;ADDRESS(ROW(),COLUMN(NOTA[TANGGAL]))),-1)))</f>
        <v/>
      </c>
      <c r="AH882" s="49" t="str">
        <f ca="1">IF(NOTA[[#This Row],[NAMA BARANG]]="","",INDEX(NOTA[SUPPLIER],MATCH(,INDIRECT(ADDRESS(ROW(NOTA[ID]),COLUMN(NOTA[ID]))&amp;":"&amp;ADDRESS(ROW(),COLUMN(NOTA[ID]))),-1)))</f>
        <v/>
      </c>
      <c r="AI882" s="49" t="str">
        <f ca="1">IF(NOTA[[#This Row],[ID_H]]="","",IF(NOTA[[#This Row],[FAKTUR]]="",INDIRECT(ADDRESS(ROW()-1,COLUMN())),NOTA[[#This Row],[FAKTUR]]))</f>
        <v/>
      </c>
      <c r="AJ882" s="38" t="str">
        <f ca="1">IF(NOTA[[#This Row],[ID]]="","",COUNTIF(NOTA[ID_H],NOTA[[#This Row],[ID_H]]))</f>
        <v/>
      </c>
      <c r="AK882" s="38" t="str">
        <f ca="1">IF(NOTA[[#This Row],[TGL.NOTA]]="",IF(NOTA[[#This Row],[SUPPLIER_H]]="","",AK881),MONTH(NOTA[[#This Row],[TGL.NOTA]]))</f>
        <v/>
      </c>
      <c r="AL882" s="38" t="str">
        <f>LOWER(SUBSTITUTE(SUBSTITUTE(SUBSTITUTE(SUBSTITUTE(SUBSTITUTE(SUBSTITUTE(SUBSTITUTE(SUBSTITUTE(SUBSTITUTE(NOTA[NAMA BARANG]," ",),".",""),"-",""),"(",""),")",""),",",""),"/",""),"""",""),"+",""))</f>
        <v/>
      </c>
      <c r="AM882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2" s="184" t="str">
        <f>IF(NOTA[[#This Row],[CONCAT1]]="","",MATCH(NOTA[[#This Row],[CONCAT1]],[1]!db[NB NOTA_C],0)+1)</f>
        <v/>
      </c>
    </row>
    <row r="883" spans="1:40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Row],[CEK_EXP]]&lt;D882,"err","")</f>
        <v/>
      </c>
      <c r="D883" s="50">
        <f>IF(NOTA[[#This Row],[TANGGAL]]="",D882,NOTA[[#This Row],[TANGGAL]])</f>
        <v>44959</v>
      </c>
      <c r="E883" s="50" t="str">
        <f ca="1">IF(NOTA[[#This Row],[NAMA BARANG]]="","",INDEX(NOTA[ID],MATCH(,INDIRECT(ADDRESS(ROW(NOTA[ID]),COLUMN(NOTA[ID]))&amp;":"&amp;ADDRESS(ROW(),COLUMN(NOTA[ID]))),-1)))</f>
        <v/>
      </c>
      <c r="F883" s="23"/>
      <c r="G883" s="26"/>
      <c r="H883" s="26"/>
      <c r="I883" s="31"/>
      <c r="J883" s="26"/>
      <c r="K883" s="51"/>
      <c r="L883" s="26"/>
      <c r="M883" s="26"/>
      <c r="N883" s="39"/>
      <c r="O883" s="26"/>
      <c r="P883" s="26"/>
      <c r="Q883" s="49"/>
      <c r="R883" s="52"/>
      <c r="S883" s="39"/>
      <c r="T883" s="53"/>
      <c r="U883" s="53"/>
      <c r="V883" s="54"/>
      <c r="W883" s="37"/>
      <c r="X883" s="54" t="str">
        <f>IF(NOTA[[#This Row],[HARGA/ CTN]]="",NOTA[[#This Row],[JUMLAH_H]],NOTA[[#This Row],[HARGA/ CTN]]*IF(NOTA[[#This Row],[C]]="",0,NOTA[[#This Row],[C]]))</f>
        <v/>
      </c>
      <c r="Y883" s="54" t="str">
        <f>IF(NOTA[[#This Row],[JUMLAH]]="","",NOTA[[#This Row],[JUMLAH]]*NOTA[[#This Row],[DISC 1]])</f>
        <v/>
      </c>
      <c r="Z883" s="54" t="str">
        <f>IF(NOTA[[#This Row],[JUMLAH]]="","",(NOTA[[#This Row],[JUMLAH]]-NOTA[[#This Row],[DISC 1-]])*NOTA[[#This Row],[DISC 2]])</f>
        <v/>
      </c>
      <c r="AA883" s="54" t="str">
        <f>IF(NOTA[[#This Row],[JUMLAH]]="","",NOTA[[#This Row],[DISC 1-]]+NOTA[[#This Row],[DISC 2-]])</f>
        <v/>
      </c>
      <c r="AB883" s="54" t="str">
        <f>IF(NOTA[[#This Row],[JUMLAH]]="","",NOTA[[#This Row],[JUMLAH]]-NOTA[[#This Row],[DISC]])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54" t="str">
        <f>IF(OR(NOTA[[#This Row],[QTY]]="",NOTA[[#This Row],[HARGA SATUAN]]="",),"",NOTA[[#This Row],[QTY]]*NOTA[[#This Row],[HARGA SATUAN]])</f>
        <v/>
      </c>
      <c r="AG883" s="51" t="str">
        <f ca="1">IF(NOTA[ID_H]="","",INDEX(NOTA[TANGGAL],MATCH(,INDIRECT(ADDRESS(ROW(NOTA[TANGGAL]),COLUMN(NOTA[TANGGAL]))&amp;":"&amp;ADDRESS(ROW(),COLUMN(NOTA[TANGGAL]))),-1)))</f>
        <v/>
      </c>
      <c r="AH883" s="49" t="str">
        <f ca="1">IF(NOTA[[#This Row],[NAMA BARANG]]="","",INDEX(NOTA[SUPPLIER],MATCH(,INDIRECT(ADDRESS(ROW(NOTA[ID]),COLUMN(NOTA[ID]))&amp;":"&amp;ADDRESS(ROW(),COLUMN(NOTA[ID]))),-1)))</f>
        <v/>
      </c>
      <c r="AI883" s="49" t="str">
        <f ca="1">IF(NOTA[[#This Row],[ID_H]]="","",IF(NOTA[[#This Row],[FAKTUR]]="",INDIRECT(ADDRESS(ROW()-1,COLUMN())),NOTA[[#This Row],[FAKTUR]]))</f>
        <v/>
      </c>
      <c r="AJ883" s="38" t="str">
        <f ca="1">IF(NOTA[[#This Row],[ID]]="","",COUNTIF(NOTA[ID_H],NOTA[[#This Row],[ID_H]]))</f>
        <v/>
      </c>
      <c r="AK883" s="38" t="str">
        <f ca="1">IF(NOTA[[#This Row],[TGL.NOTA]]="",IF(NOTA[[#This Row],[SUPPLIER_H]]="","",AK882),MONTH(NOTA[[#This Row],[TGL.NOTA]]))</f>
        <v/>
      </c>
      <c r="AL883" s="38" t="str">
        <f>LOWER(SUBSTITUTE(SUBSTITUTE(SUBSTITUTE(SUBSTITUTE(SUBSTITUTE(SUBSTITUTE(SUBSTITUTE(SUBSTITUTE(SUBSTITUTE(NOTA[NAMA BARANG]," ",),".",""),"-",""),"(",""),")",""),",",""),"/",""),"""",""),"+",""))</f>
        <v/>
      </c>
      <c r="AM883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3" s="184" t="str">
        <f>IF(NOTA[[#This Row],[CONCAT1]]="","",MATCH(NOTA[[#This Row],[CONCAT1]],[1]!db[NB NOTA_C],0)+1)</f>
        <v/>
      </c>
    </row>
    <row r="884" spans="1:40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Row],[CEK_EXP]]&lt;D883,"err","")</f>
        <v/>
      </c>
      <c r="D884" s="50">
        <f>IF(NOTA[[#This Row],[TANGGAL]]="",D883,NOTA[[#This Row],[TANGGAL]])</f>
        <v>44959</v>
      </c>
      <c r="E884" s="50" t="str">
        <f ca="1">IF(NOTA[[#This Row],[NAMA BARANG]]="","",INDEX(NOTA[ID],MATCH(,INDIRECT(ADDRESS(ROW(NOTA[ID]),COLUMN(NOTA[ID]))&amp;":"&amp;ADDRESS(ROW(),COLUMN(NOTA[ID]))),-1)))</f>
        <v/>
      </c>
      <c r="F884" s="23"/>
      <c r="G884" s="26"/>
      <c r="H884" s="26"/>
      <c r="I884" s="31"/>
      <c r="J884" s="26"/>
      <c r="K884" s="51"/>
      <c r="L884" s="26"/>
      <c r="M884" s="26"/>
      <c r="N884" s="39"/>
      <c r="O884" s="26"/>
      <c r="P884" s="26"/>
      <c r="Q884" s="49"/>
      <c r="R884" s="52"/>
      <c r="S884" s="39"/>
      <c r="T884" s="53"/>
      <c r="U884" s="53"/>
      <c r="V884" s="54"/>
      <c r="W884" s="37"/>
      <c r="X884" s="54" t="str">
        <f>IF(NOTA[[#This Row],[HARGA/ CTN]]="",NOTA[[#This Row],[JUMLAH_H]],NOTA[[#This Row],[HARGA/ CTN]]*IF(NOTA[[#This Row],[C]]="",0,NOTA[[#This Row],[C]]))</f>
        <v/>
      </c>
      <c r="Y884" s="54" t="str">
        <f>IF(NOTA[[#This Row],[JUMLAH]]="","",NOTA[[#This Row],[JUMLAH]]*NOTA[[#This Row],[DISC 1]])</f>
        <v/>
      </c>
      <c r="Z884" s="54" t="str">
        <f>IF(NOTA[[#This Row],[JUMLAH]]="","",(NOTA[[#This Row],[JUMLAH]]-NOTA[[#This Row],[DISC 1-]])*NOTA[[#This Row],[DISC 2]])</f>
        <v/>
      </c>
      <c r="AA884" s="54" t="str">
        <f>IF(NOTA[[#This Row],[JUMLAH]]="","",NOTA[[#This Row],[DISC 1-]]+NOTA[[#This Row],[DISC 2-]])</f>
        <v/>
      </c>
      <c r="AB884" s="54" t="str">
        <f>IF(NOTA[[#This Row],[JUMLAH]]="","",NOTA[[#This Row],[JUMLAH]]-NOTA[[#This Row],[DISC]])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54" t="str">
        <f>IF(OR(NOTA[[#This Row],[QTY]]="",NOTA[[#This Row],[HARGA SATUAN]]="",),"",NOTA[[#This Row],[QTY]]*NOTA[[#This Row],[HARGA SATUAN]])</f>
        <v/>
      </c>
      <c r="AG884" s="51" t="str">
        <f ca="1">IF(NOTA[ID_H]="","",INDEX(NOTA[TANGGAL],MATCH(,INDIRECT(ADDRESS(ROW(NOTA[TANGGAL]),COLUMN(NOTA[TANGGAL]))&amp;":"&amp;ADDRESS(ROW(),COLUMN(NOTA[TANGGAL]))),-1)))</f>
        <v/>
      </c>
      <c r="AH884" s="49" t="str">
        <f ca="1">IF(NOTA[[#This Row],[NAMA BARANG]]="","",INDEX(NOTA[SUPPLIER],MATCH(,INDIRECT(ADDRESS(ROW(NOTA[ID]),COLUMN(NOTA[ID]))&amp;":"&amp;ADDRESS(ROW(),COLUMN(NOTA[ID]))),-1)))</f>
        <v/>
      </c>
      <c r="AI884" s="49" t="str">
        <f ca="1">IF(NOTA[[#This Row],[ID_H]]="","",IF(NOTA[[#This Row],[FAKTUR]]="",INDIRECT(ADDRESS(ROW()-1,COLUMN())),NOTA[[#This Row],[FAKTUR]]))</f>
        <v/>
      </c>
      <c r="AJ884" s="38" t="str">
        <f ca="1">IF(NOTA[[#This Row],[ID]]="","",COUNTIF(NOTA[ID_H],NOTA[[#This Row],[ID_H]]))</f>
        <v/>
      </c>
      <c r="AK884" s="38" t="str">
        <f ca="1">IF(NOTA[[#This Row],[TGL.NOTA]]="",IF(NOTA[[#This Row],[SUPPLIER_H]]="","",AK883),MONTH(NOTA[[#This Row],[TGL.NOTA]]))</f>
        <v/>
      </c>
      <c r="AL884" s="38" t="str">
        <f>LOWER(SUBSTITUTE(SUBSTITUTE(SUBSTITUTE(SUBSTITUTE(SUBSTITUTE(SUBSTITUTE(SUBSTITUTE(SUBSTITUTE(SUBSTITUTE(NOTA[NAMA BARANG]," ",),".",""),"-",""),"(",""),")",""),",",""),"/",""),"""",""),"+",""))</f>
        <v/>
      </c>
      <c r="AM88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4" s="184" t="str">
        <f>IF(NOTA[[#This Row],[CONCAT1]]="","",MATCH(NOTA[[#This Row],[CONCAT1]],[1]!db[NB NOTA_C],0)+1)</f>
        <v/>
      </c>
    </row>
    <row r="885" spans="1:40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Row],[CEK_EXP]]&lt;D884,"err","")</f>
        <v/>
      </c>
      <c r="D885" s="50">
        <f>IF(NOTA[[#This Row],[TANGGAL]]="",D884,NOTA[[#This Row],[TANGGAL]])</f>
        <v>44959</v>
      </c>
      <c r="E885" s="50" t="str">
        <f ca="1">IF(NOTA[[#This Row],[NAMA BARANG]]="","",INDEX(NOTA[ID],MATCH(,INDIRECT(ADDRESS(ROW(NOTA[ID]),COLUMN(NOTA[ID]))&amp;":"&amp;ADDRESS(ROW(),COLUMN(NOTA[ID]))),-1)))</f>
        <v/>
      </c>
      <c r="F885" s="23"/>
      <c r="G885" s="26"/>
      <c r="H885" s="26"/>
      <c r="I885" s="31"/>
      <c r="J885" s="26"/>
      <c r="K885" s="51"/>
      <c r="L885" s="26"/>
      <c r="M885" s="26"/>
      <c r="N885" s="39"/>
      <c r="O885" s="26"/>
      <c r="P885" s="26"/>
      <c r="Q885" s="49"/>
      <c r="R885" s="52"/>
      <c r="S885" s="39"/>
      <c r="T885" s="53"/>
      <c r="U885" s="53"/>
      <c r="V885" s="54"/>
      <c r="W885" s="37"/>
      <c r="X885" s="54" t="str">
        <f>IF(NOTA[[#This Row],[HARGA/ CTN]]="",NOTA[[#This Row],[JUMLAH_H]],NOTA[[#This Row],[HARGA/ CTN]]*IF(NOTA[[#This Row],[C]]="",0,NOTA[[#This Row],[C]]))</f>
        <v/>
      </c>
      <c r="Y885" s="54" t="str">
        <f>IF(NOTA[[#This Row],[JUMLAH]]="","",NOTA[[#This Row],[JUMLAH]]*NOTA[[#This Row],[DISC 1]])</f>
        <v/>
      </c>
      <c r="Z885" s="54" t="str">
        <f>IF(NOTA[[#This Row],[JUMLAH]]="","",(NOTA[[#This Row],[JUMLAH]]-NOTA[[#This Row],[DISC 1-]])*NOTA[[#This Row],[DISC 2]])</f>
        <v/>
      </c>
      <c r="AA885" s="54" t="str">
        <f>IF(NOTA[[#This Row],[JUMLAH]]="","",NOTA[[#This Row],[DISC 1-]]+NOTA[[#This Row],[DISC 2-]])</f>
        <v/>
      </c>
      <c r="AB885" s="54" t="str">
        <f>IF(NOTA[[#This Row],[JUMLAH]]="","",NOTA[[#This Row],[JUMLAH]]-NOTA[[#This Row],[DISC]])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54" t="str">
        <f>IF(OR(NOTA[[#This Row],[QTY]]="",NOTA[[#This Row],[HARGA SATUAN]]="",),"",NOTA[[#This Row],[QTY]]*NOTA[[#This Row],[HARGA SATUAN]])</f>
        <v/>
      </c>
      <c r="AG885" s="51" t="str">
        <f ca="1">IF(NOTA[ID_H]="","",INDEX(NOTA[TANGGAL],MATCH(,INDIRECT(ADDRESS(ROW(NOTA[TANGGAL]),COLUMN(NOTA[TANGGAL]))&amp;":"&amp;ADDRESS(ROW(),COLUMN(NOTA[TANGGAL]))),-1)))</f>
        <v/>
      </c>
      <c r="AH885" s="49" t="str">
        <f ca="1">IF(NOTA[[#This Row],[NAMA BARANG]]="","",INDEX(NOTA[SUPPLIER],MATCH(,INDIRECT(ADDRESS(ROW(NOTA[ID]),COLUMN(NOTA[ID]))&amp;":"&amp;ADDRESS(ROW(),COLUMN(NOTA[ID]))),-1)))</f>
        <v/>
      </c>
      <c r="AI885" s="49" t="str">
        <f ca="1">IF(NOTA[[#This Row],[ID_H]]="","",IF(NOTA[[#This Row],[FAKTUR]]="",INDIRECT(ADDRESS(ROW()-1,COLUMN())),NOTA[[#This Row],[FAKTUR]]))</f>
        <v/>
      </c>
      <c r="AJ885" s="38" t="str">
        <f ca="1">IF(NOTA[[#This Row],[ID]]="","",COUNTIF(NOTA[ID_H],NOTA[[#This Row],[ID_H]]))</f>
        <v/>
      </c>
      <c r="AK885" s="38" t="str">
        <f ca="1">IF(NOTA[[#This Row],[TGL.NOTA]]="",IF(NOTA[[#This Row],[SUPPLIER_H]]="","",AK884),MONTH(NOTA[[#This Row],[TGL.NOTA]]))</f>
        <v/>
      </c>
      <c r="AL885" s="38" t="str">
        <f>LOWER(SUBSTITUTE(SUBSTITUTE(SUBSTITUTE(SUBSTITUTE(SUBSTITUTE(SUBSTITUTE(SUBSTITUTE(SUBSTITUTE(SUBSTITUTE(NOTA[NAMA BARANG]," ",),".",""),"-",""),"(",""),")",""),",",""),"/",""),"""",""),"+",""))</f>
        <v/>
      </c>
      <c r="AM885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5" s="184" t="str">
        <f>IF(NOTA[[#This Row],[CONCAT1]]="","",MATCH(NOTA[[#This Row],[CONCAT1]],[1]!db[NB NOTA_C],0)+1)</f>
        <v/>
      </c>
    </row>
    <row r="886" spans="1:40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Row],[CEK_EXP]]&lt;D885,"err","")</f>
        <v/>
      </c>
      <c r="D886" s="50">
        <f>IF(NOTA[[#This Row],[TANGGAL]]="",D885,NOTA[[#This Row],[TANGGAL]])</f>
        <v>44959</v>
      </c>
      <c r="E886" s="50" t="str">
        <f ca="1">IF(NOTA[[#This Row],[NAMA BARANG]]="","",INDEX(NOTA[ID],MATCH(,INDIRECT(ADDRESS(ROW(NOTA[ID]),COLUMN(NOTA[ID]))&amp;":"&amp;ADDRESS(ROW(),COLUMN(NOTA[ID]))),-1)))</f>
        <v/>
      </c>
      <c r="F886" s="23"/>
      <c r="G886" s="26"/>
      <c r="H886" s="26"/>
      <c r="I886" s="31"/>
      <c r="J886" s="26"/>
      <c r="K886" s="51"/>
      <c r="L886" s="26"/>
      <c r="M886" s="26"/>
      <c r="N886" s="39"/>
      <c r="O886" s="26"/>
      <c r="P886" s="26"/>
      <c r="Q886" s="49"/>
      <c r="R886" s="52"/>
      <c r="S886" s="39"/>
      <c r="T886" s="53"/>
      <c r="U886" s="53"/>
      <c r="V886" s="54"/>
      <c r="W886" s="37"/>
      <c r="X886" s="54" t="str">
        <f>IF(NOTA[[#This Row],[HARGA/ CTN]]="",NOTA[[#This Row],[JUMLAH_H]],NOTA[[#This Row],[HARGA/ CTN]]*IF(NOTA[[#This Row],[C]]="",0,NOTA[[#This Row],[C]]))</f>
        <v/>
      </c>
      <c r="Y886" s="54" t="str">
        <f>IF(NOTA[[#This Row],[JUMLAH]]="","",NOTA[[#This Row],[JUMLAH]]*NOTA[[#This Row],[DISC 1]])</f>
        <v/>
      </c>
      <c r="Z886" s="54" t="str">
        <f>IF(NOTA[[#This Row],[JUMLAH]]="","",(NOTA[[#This Row],[JUMLAH]]-NOTA[[#This Row],[DISC 1-]])*NOTA[[#This Row],[DISC 2]])</f>
        <v/>
      </c>
      <c r="AA886" s="54" t="str">
        <f>IF(NOTA[[#This Row],[JUMLAH]]="","",NOTA[[#This Row],[DISC 1-]]+NOTA[[#This Row],[DISC 2-]])</f>
        <v/>
      </c>
      <c r="AB886" s="54" t="str">
        <f>IF(NOTA[[#This Row],[JUMLAH]]="","",NOTA[[#This Row],[JUMLAH]]-NOTA[[#This Row],[DISC]])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54" t="str">
        <f>IF(OR(NOTA[[#This Row],[QTY]]="",NOTA[[#This Row],[HARGA SATUAN]]="",),"",NOTA[[#This Row],[QTY]]*NOTA[[#This Row],[HARGA SATUAN]])</f>
        <v/>
      </c>
      <c r="AG886" s="51" t="str">
        <f ca="1">IF(NOTA[ID_H]="","",INDEX(NOTA[TANGGAL],MATCH(,INDIRECT(ADDRESS(ROW(NOTA[TANGGAL]),COLUMN(NOTA[TANGGAL]))&amp;":"&amp;ADDRESS(ROW(),COLUMN(NOTA[TANGGAL]))),-1)))</f>
        <v/>
      </c>
      <c r="AH886" s="49" t="str">
        <f ca="1">IF(NOTA[[#This Row],[NAMA BARANG]]="","",INDEX(NOTA[SUPPLIER],MATCH(,INDIRECT(ADDRESS(ROW(NOTA[ID]),COLUMN(NOTA[ID]))&amp;":"&amp;ADDRESS(ROW(),COLUMN(NOTA[ID]))),-1)))</f>
        <v/>
      </c>
      <c r="AI886" s="49" t="str">
        <f ca="1">IF(NOTA[[#This Row],[ID_H]]="","",IF(NOTA[[#This Row],[FAKTUR]]="",INDIRECT(ADDRESS(ROW()-1,COLUMN())),NOTA[[#This Row],[FAKTUR]]))</f>
        <v/>
      </c>
      <c r="AJ886" s="38" t="str">
        <f ca="1">IF(NOTA[[#This Row],[ID]]="","",COUNTIF(NOTA[ID_H],NOTA[[#This Row],[ID_H]]))</f>
        <v/>
      </c>
      <c r="AK886" s="38" t="str">
        <f ca="1">IF(NOTA[[#This Row],[TGL.NOTA]]="",IF(NOTA[[#This Row],[SUPPLIER_H]]="","",AK885),MONTH(NOTA[[#This Row],[TGL.NOTA]]))</f>
        <v/>
      </c>
      <c r="AL886" s="38" t="str">
        <f>LOWER(SUBSTITUTE(SUBSTITUTE(SUBSTITUTE(SUBSTITUTE(SUBSTITUTE(SUBSTITUTE(SUBSTITUTE(SUBSTITUTE(SUBSTITUTE(NOTA[NAMA BARANG]," ",),".",""),"-",""),"(",""),")",""),",",""),"/",""),"""",""),"+",""))</f>
        <v/>
      </c>
      <c r="AM886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6" s="184" t="str">
        <f>IF(NOTA[[#This Row],[CONCAT1]]="","",MATCH(NOTA[[#This Row],[CONCAT1]],[1]!db[NB NOTA_C],0)+1)</f>
        <v/>
      </c>
    </row>
    <row r="887" spans="1:40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Row],[CEK_EXP]]&lt;D886,"err","")</f>
        <v/>
      </c>
      <c r="D887" s="50">
        <f>IF(NOTA[[#This Row],[TANGGAL]]="",D886,NOTA[[#This Row],[TANGGAL]])</f>
        <v>44959</v>
      </c>
      <c r="E887" s="50" t="str">
        <f ca="1">IF(NOTA[[#This Row],[NAMA BARANG]]="","",INDEX(NOTA[ID],MATCH(,INDIRECT(ADDRESS(ROW(NOTA[ID]),COLUMN(NOTA[ID]))&amp;":"&amp;ADDRESS(ROW(),COLUMN(NOTA[ID]))),-1)))</f>
        <v/>
      </c>
      <c r="F887" s="23"/>
      <c r="G887" s="26"/>
      <c r="H887" s="26"/>
      <c r="I887" s="31"/>
      <c r="J887" s="26"/>
      <c r="K887" s="51"/>
      <c r="L887" s="26"/>
      <c r="M887" s="26"/>
      <c r="N887" s="39"/>
      <c r="O887" s="26"/>
      <c r="P887" s="26"/>
      <c r="Q887" s="49"/>
      <c r="R887" s="52"/>
      <c r="S887" s="39"/>
      <c r="T887" s="53"/>
      <c r="U887" s="53"/>
      <c r="V887" s="54"/>
      <c r="W887" s="37"/>
      <c r="X887" s="54" t="str">
        <f>IF(NOTA[[#This Row],[HARGA/ CTN]]="",NOTA[[#This Row],[JUMLAH_H]],NOTA[[#This Row],[HARGA/ CTN]]*IF(NOTA[[#This Row],[C]]="",0,NOTA[[#This Row],[C]]))</f>
        <v/>
      </c>
      <c r="Y887" s="54" t="str">
        <f>IF(NOTA[[#This Row],[JUMLAH]]="","",NOTA[[#This Row],[JUMLAH]]*NOTA[[#This Row],[DISC 1]])</f>
        <v/>
      </c>
      <c r="Z887" s="54" t="str">
        <f>IF(NOTA[[#This Row],[JUMLAH]]="","",(NOTA[[#This Row],[JUMLAH]]-NOTA[[#This Row],[DISC 1-]])*NOTA[[#This Row],[DISC 2]])</f>
        <v/>
      </c>
      <c r="AA887" s="54" t="str">
        <f>IF(NOTA[[#This Row],[JUMLAH]]="","",NOTA[[#This Row],[DISC 1-]]+NOTA[[#This Row],[DISC 2-]])</f>
        <v/>
      </c>
      <c r="AB887" s="54" t="str">
        <f>IF(NOTA[[#This Row],[JUMLAH]]="","",NOTA[[#This Row],[JUMLAH]]-NOTA[[#This Row],[DISC]])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54" t="str">
        <f>IF(OR(NOTA[[#This Row],[QTY]]="",NOTA[[#This Row],[HARGA SATUAN]]="",),"",NOTA[[#This Row],[QTY]]*NOTA[[#This Row],[HARGA SATUAN]])</f>
        <v/>
      </c>
      <c r="AG887" s="51" t="str">
        <f ca="1">IF(NOTA[ID_H]="","",INDEX(NOTA[TANGGAL],MATCH(,INDIRECT(ADDRESS(ROW(NOTA[TANGGAL]),COLUMN(NOTA[TANGGAL]))&amp;":"&amp;ADDRESS(ROW(),COLUMN(NOTA[TANGGAL]))),-1)))</f>
        <v/>
      </c>
      <c r="AH887" s="49" t="str">
        <f ca="1">IF(NOTA[[#This Row],[NAMA BARANG]]="","",INDEX(NOTA[SUPPLIER],MATCH(,INDIRECT(ADDRESS(ROW(NOTA[ID]),COLUMN(NOTA[ID]))&amp;":"&amp;ADDRESS(ROW(),COLUMN(NOTA[ID]))),-1)))</f>
        <v/>
      </c>
      <c r="AI887" s="49" t="str">
        <f ca="1">IF(NOTA[[#This Row],[ID_H]]="","",IF(NOTA[[#This Row],[FAKTUR]]="",INDIRECT(ADDRESS(ROW()-1,COLUMN())),NOTA[[#This Row],[FAKTUR]]))</f>
        <v/>
      </c>
      <c r="AJ887" s="38" t="str">
        <f ca="1">IF(NOTA[[#This Row],[ID]]="","",COUNTIF(NOTA[ID_H],NOTA[[#This Row],[ID_H]]))</f>
        <v/>
      </c>
      <c r="AK887" s="38" t="str">
        <f ca="1">IF(NOTA[[#This Row],[TGL.NOTA]]="",IF(NOTA[[#This Row],[SUPPLIER_H]]="","",AK886),MONTH(NOTA[[#This Row],[TGL.NOTA]]))</f>
        <v/>
      </c>
      <c r="AL887" s="38" t="str">
        <f>LOWER(SUBSTITUTE(SUBSTITUTE(SUBSTITUTE(SUBSTITUTE(SUBSTITUTE(SUBSTITUTE(SUBSTITUTE(SUBSTITUTE(SUBSTITUTE(NOTA[NAMA BARANG]," ",),".",""),"-",""),"(",""),")",""),",",""),"/",""),"""",""),"+",""))</f>
        <v/>
      </c>
      <c r="AM887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7" s="184" t="str">
        <f>IF(NOTA[[#This Row],[CONCAT1]]="","",MATCH(NOTA[[#This Row],[CONCAT1]],[1]!db[NB NOTA_C],0)+1)</f>
        <v/>
      </c>
    </row>
    <row r="888" spans="1:40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Row],[CEK_EXP]]&lt;D887,"err","")</f>
        <v/>
      </c>
      <c r="D888" s="50">
        <f>IF(NOTA[[#This Row],[TANGGAL]]="",D887,NOTA[[#This Row],[TANGGAL]])</f>
        <v>44959</v>
      </c>
      <c r="E888" s="50" t="str">
        <f ca="1">IF(NOTA[[#This Row],[NAMA BARANG]]="","",INDEX(NOTA[ID],MATCH(,INDIRECT(ADDRESS(ROW(NOTA[ID]),COLUMN(NOTA[ID]))&amp;":"&amp;ADDRESS(ROW(),COLUMN(NOTA[ID]))),-1)))</f>
        <v/>
      </c>
      <c r="F888" s="23"/>
      <c r="G888" s="26"/>
      <c r="H888" s="26"/>
      <c r="I888" s="31"/>
      <c r="J888" s="26"/>
      <c r="K888" s="51"/>
      <c r="L888" s="26"/>
      <c r="M888" s="26"/>
      <c r="N888" s="39"/>
      <c r="O888" s="26"/>
      <c r="P888" s="26"/>
      <c r="Q888" s="49"/>
      <c r="R888" s="52"/>
      <c r="S888" s="39"/>
      <c r="T888" s="53"/>
      <c r="U888" s="53"/>
      <c r="V888" s="54"/>
      <c r="W888" s="37"/>
      <c r="X888" s="54" t="str">
        <f>IF(NOTA[[#This Row],[HARGA/ CTN]]="",NOTA[[#This Row],[JUMLAH_H]],NOTA[[#This Row],[HARGA/ CTN]]*IF(NOTA[[#This Row],[C]]="",0,NOTA[[#This Row],[C]]))</f>
        <v/>
      </c>
      <c r="Y888" s="54" t="str">
        <f>IF(NOTA[[#This Row],[JUMLAH]]="","",NOTA[[#This Row],[JUMLAH]]*NOTA[[#This Row],[DISC 1]])</f>
        <v/>
      </c>
      <c r="Z888" s="54" t="str">
        <f>IF(NOTA[[#This Row],[JUMLAH]]="","",(NOTA[[#This Row],[JUMLAH]]-NOTA[[#This Row],[DISC 1-]])*NOTA[[#This Row],[DISC 2]])</f>
        <v/>
      </c>
      <c r="AA888" s="54" t="str">
        <f>IF(NOTA[[#This Row],[JUMLAH]]="","",NOTA[[#This Row],[DISC 1-]]+NOTA[[#This Row],[DISC 2-]])</f>
        <v/>
      </c>
      <c r="AB888" s="54" t="str">
        <f>IF(NOTA[[#This Row],[JUMLAH]]="","",NOTA[[#This Row],[JUMLAH]]-NOTA[[#This Row],[DISC]])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54" t="str">
        <f>IF(OR(NOTA[[#This Row],[QTY]]="",NOTA[[#This Row],[HARGA SATUAN]]="",),"",NOTA[[#This Row],[QTY]]*NOTA[[#This Row],[HARGA SATUAN]])</f>
        <v/>
      </c>
      <c r="AG888" s="51" t="str">
        <f ca="1">IF(NOTA[ID_H]="","",INDEX(NOTA[TANGGAL],MATCH(,INDIRECT(ADDRESS(ROW(NOTA[TANGGAL]),COLUMN(NOTA[TANGGAL]))&amp;":"&amp;ADDRESS(ROW(),COLUMN(NOTA[TANGGAL]))),-1)))</f>
        <v/>
      </c>
      <c r="AH888" s="49" t="str">
        <f ca="1">IF(NOTA[[#This Row],[NAMA BARANG]]="","",INDEX(NOTA[SUPPLIER],MATCH(,INDIRECT(ADDRESS(ROW(NOTA[ID]),COLUMN(NOTA[ID]))&amp;":"&amp;ADDRESS(ROW(),COLUMN(NOTA[ID]))),-1)))</f>
        <v/>
      </c>
      <c r="AI888" s="49" t="str">
        <f ca="1">IF(NOTA[[#This Row],[ID_H]]="","",IF(NOTA[[#This Row],[FAKTUR]]="",INDIRECT(ADDRESS(ROW()-1,COLUMN())),NOTA[[#This Row],[FAKTUR]]))</f>
        <v/>
      </c>
      <c r="AJ888" s="38" t="str">
        <f ca="1">IF(NOTA[[#This Row],[ID]]="","",COUNTIF(NOTA[ID_H],NOTA[[#This Row],[ID_H]]))</f>
        <v/>
      </c>
      <c r="AK888" s="38" t="str">
        <f ca="1">IF(NOTA[[#This Row],[TGL.NOTA]]="",IF(NOTA[[#This Row],[SUPPLIER_H]]="","",AK887),MONTH(NOTA[[#This Row],[TGL.NOTA]]))</f>
        <v/>
      </c>
      <c r="AL888" s="38" t="str">
        <f>LOWER(SUBSTITUTE(SUBSTITUTE(SUBSTITUTE(SUBSTITUTE(SUBSTITUTE(SUBSTITUTE(SUBSTITUTE(SUBSTITUTE(SUBSTITUTE(NOTA[NAMA BARANG]," ",),".",""),"-",""),"(",""),")",""),",",""),"/",""),"""",""),"+",""))</f>
        <v/>
      </c>
      <c r="AM888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8" s="184" t="str">
        <f>IF(NOTA[[#This Row],[CONCAT1]]="","",MATCH(NOTA[[#This Row],[CONCAT1]],[1]!db[NB NOTA_C],0)+1)</f>
        <v/>
      </c>
    </row>
    <row r="889" spans="1:40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Row],[CEK_EXP]]&lt;D888,"err","")</f>
        <v/>
      </c>
      <c r="D889" s="50">
        <f>IF(NOTA[[#This Row],[TANGGAL]]="",D888,NOTA[[#This Row],[TANGGAL]])</f>
        <v>44959</v>
      </c>
      <c r="E889" s="50" t="str">
        <f ca="1">IF(NOTA[[#This Row],[NAMA BARANG]]="","",INDEX(NOTA[ID],MATCH(,INDIRECT(ADDRESS(ROW(NOTA[ID]),COLUMN(NOTA[ID]))&amp;":"&amp;ADDRESS(ROW(),COLUMN(NOTA[ID]))),-1)))</f>
        <v/>
      </c>
      <c r="F889" s="119"/>
      <c r="G889" s="120"/>
      <c r="H889" s="120"/>
      <c r="I889" s="121"/>
      <c r="J889" s="120"/>
      <c r="K889" s="122"/>
      <c r="L889" s="120"/>
      <c r="M889" s="120"/>
      <c r="N889" s="123"/>
      <c r="O889" s="120"/>
      <c r="P889" s="120"/>
      <c r="Q889" s="124"/>
      <c r="R889" s="125"/>
      <c r="S889" s="123"/>
      <c r="T889" s="126"/>
      <c r="U889" s="126"/>
      <c r="V889" s="127"/>
      <c r="W889" s="128"/>
      <c r="X889" s="54" t="str">
        <f>IF(NOTA[[#This Row],[HARGA/ CTN]]="",NOTA[[#This Row],[JUMLAH_H]],NOTA[[#This Row],[HARGA/ CTN]]*IF(NOTA[[#This Row],[C]]="",0,NOTA[[#This Row],[C]]))</f>
        <v/>
      </c>
      <c r="Y889" s="54" t="str">
        <f>IF(NOTA[[#This Row],[JUMLAH]]="","",NOTA[[#This Row],[JUMLAH]]*NOTA[[#This Row],[DISC 1]])</f>
        <v/>
      </c>
      <c r="Z889" s="54" t="str">
        <f>IF(NOTA[[#This Row],[JUMLAH]]="","",(NOTA[[#This Row],[JUMLAH]]-NOTA[[#This Row],[DISC 1-]])*NOTA[[#This Row],[DISC 2]])</f>
        <v/>
      </c>
      <c r="AA889" s="54" t="str">
        <f>IF(NOTA[[#This Row],[JUMLAH]]="","",NOTA[[#This Row],[DISC 1-]]+NOTA[[#This Row],[DISC 2-]])</f>
        <v/>
      </c>
      <c r="AB889" s="54" t="str">
        <f>IF(NOTA[[#This Row],[JUMLAH]]="","",NOTA[[#This Row],[JUMLAH]]-NOTA[[#This Row],[DISC]])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54" t="str">
        <f>IF(OR(NOTA[[#This Row],[QTY]]="",NOTA[[#This Row],[HARGA SATUAN]]="",),"",NOTA[[#This Row],[QTY]]*NOTA[[#This Row],[HARGA SATUAN]])</f>
        <v/>
      </c>
      <c r="AG889" s="51" t="str">
        <f ca="1">IF(NOTA[ID_H]="","",INDEX(NOTA[TANGGAL],MATCH(,INDIRECT(ADDRESS(ROW(NOTA[TANGGAL]),COLUMN(NOTA[TANGGAL]))&amp;":"&amp;ADDRESS(ROW(),COLUMN(NOTA[TANGGAL]))),-1)))</f>
        <v/>
      </c>
      <c r="AH889" s="49" t="str">
        <f ca="1">IF(NOTA[[#This Row],[NAMA BARANG]]="","",INDEX(NOTA[SUPPLIER],MATCH(,INDIRECT(ADDRESS(ROW(NOTA[ID]),COLUMN(NOTA[ID]))&amp;":"&amp;ADDRESS(ROW(),COLUMN(NOTA[ID]))),-1)))</f>
        <v/>
      </c>
      <c r="AI889" s="49" t="str">
        <f ca="1">IF(NOTA[[#This Row],[ID_H]]="","",IF(NOTA[[#This Row],[FAKTUR]]="",INDIRECT(ADDRESS(ROW()-1,COLUMN())),NOTA[[#This Row],[FAKTUR]]))</f>
        <v/>
      </c>
      <c r="AJ889" s="38" t="str">
        <f ca="1">IF(NOTA[[#This Row],[ID]]="","",COUNTIF(NOTA[ID_H],NOTA[[#This Row],[ID_H]]))</f>
        <v/>
      </c>
      <c r="AK889" s="38" t="str">
        <f ca="1">IF(NOTA[[#This Row],[TGL.NOTA]]="",IF(NOTA[[#This Row],[SUPPLIER_H]]="","",AK888),MONTH(NOTA[[#This Row],[TGL.NOTA]]))</f>
        <v/>
      </c>
      <c r="AL889" s="38" t="str">
        <f>LOWER(SUBSTITUTE(SUBSTITUTE(SUBSTITUTE(SUBSTITUTE(SUBSTITUTE(SUBSTITUTE(SUBSTITUTE(SUBSTITUTE(SUBSTITUTE(NOTA[NAMA BARANG]," ",),".",""),"-",""),"(",""),")",""),",",""),"/",""),"""",""),"+",""))</f>
        <v/>
      </c>
      <c r="AM889" s="38" t="str">
        <f>IF(NOTA[C]="",NOTA[[#This Row],[CONCAT1]]&amp;NOTA[[#This Row],[HARGA SATUAN]],NOTA[[#This Row],[CONCAT1]]&amp;NOTA[[#This Row],[HARGA/ CTN_H]]&amp;NOTA[[#This Row],[DISC 1]]&amp;NOTA[[#This Row],[DISC 2]])</f>
        <v/>
      </c>
      <c r="AN889" s="184" t="str">
        <f>IF(NOTA[[#This Row],[CONCAT1]]="","",MATCH(NOTA[[#This Row],[CONCAT1]],[1]!db[NB NOTA_C],0)+1)</f>
        <v/>
      </c>
    </row>
    <row r="890" spans="1:40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Row],[CEK_EXP]]&lt;D889,"err","")</f>
        <v/>
      </c>
      <c r="D890" s="50">
        <f>IF(NOTA[[#This Row],[TANGGAL]]="",D889,NOTA[[#This Row],[TANGGAL]])</f>
        <v>44959</v>
      </c>
      <c r="E890" s="50" t="str">
        <f ca="1">IF(NOTA[[#This Row],[NAMA BARANG]]="","",INDEX(NOTA[ID],MATCH(,INDIRECT(ADDRESS(ROW(NOTA[ID]),COLUMN(NOTA[ID]))&amp;":"&amp;ADDRESS(ROW(),COLUMN(NOTA[ID]))),-1)))</f>
        <v/>
      </c>
      <c r="F890" s="23"/>
      <c r="G890" s="26"/>
      <c r="H890" s="26"/>
      <c r="I890" s="31"/>
      <c r="J890" s="26"/>
      <c r="K890" s="51"/>
      <c r="L890" s="26"/>
      <c r="M890" s="26"/>
      <c r="N890" s="39"/>
      <c r="O890" s="26"/>
      <c r="P890" s="26"/>
      <c r="Q890" s="49"/>
      <c r="R890" s="52"/>
      <c r="S890" s="39"/>
      <c r="T890" s="53"/>
      <c r="U890" s="53"/>
      <c r="V890" s="54"/>
      <c r="W890" s="37"/>
      <c r="X890" s="54" t="str">
        <f>IF(NOTA[[#This Row],[HARGA/ CTN]]="",NOTA[[#This Row],[JUMLAH_H]],NOTA[[#This Row],[HARGA/ CTN]]*IF(NOTA[[#This Row],[C]]="",0,NOTA[[#This Row],[C]]))</f>
        <v/>
      </c>
      <c r="Y890" s="54" t="str">
        <f>IF(NOTA[[#This Row],[JUMLAH]]="","",NOTA[[#This Row],[JUMLAH]]*NOTA[[#This Row],[DISC 1]])</f>
        <v/>
      </c>
      <c r="Z890" s="54" t="str">
        <f>IF(NOTA[[#This Row],[JUMLAH]]="","",(NOTA[[#This Row],[JUMLAH]]-NOTA[[#This Row],[DISC 1-]])*NOTA[[#This Row],[DISC 2]])</f>
        <v/>
      </c>
      <c r="AA890" s="54" t="str">
        <f>IF(NOTA[[#This Row],[JUMLAH]]="","",NOTA[[#This Row],[DISC 1-]]+NOTA[[#This Row],[DISC 2-]])</f>
        <v/>
      </c>
      <c r="AB890" s="54" t="str">
        <f>IF(NOTA[[#This Row],[JUMLAH]]="","",NOTA[[#This Row],[JUMLAH]]-NOTA[[#This Row],[DISC]])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54" t="str">
        <f>IF(OR(NOTA[[#This Row],[QTY]]="",NOTA[[#This Row],[HARGA SATUAN]]="",),"",NOTA[[#This Row],[QTY]]*NOTA[[#This Row],[HARGA SATUAN]])</f>
        <v/>
      </c>
      <c r="AG890" s="51" t="str">
        <f ca="1">IF(NOTA[ID_H]="","",INDEX(NOTA[TANGGAL],MATCH(,INDIRECT(ADDRESS(ROW(NOTA[TANGGAL]),COLUMN(NOTA[TANGGAL]))&amp;":"&amp;ADDRESS(ROW(),COLUMN(NOTA[TANGGAL]))),-1)))</f>
        <v/>
      </c>
      <c r="AH890" s="49" t="str">
        <f ca="1">IF(NOTA[[#This Row],[NAMA BARANG]]="","",INDEX(NOTA[SUPPLIER],MATCH(,INDIRECT(ADDRESS(ROW(NOTA[ID]),COLUMN(NOTA[ID]))&amp;":"&amp;ADDRESS(ROW(),COLUMN(NOTA[ID]))),-1)))</f>
        <v/>
      </c>
      <c r="AI890" s="49" t="str">
        <f ca="1">IF(NOTA[[#This Row],[ID_H]]="","",IF(NOTA[[#This Row],[FAKTUR]]="",INDIRECT(ADDRESS(ROW()-1,COLUMN())),NOTA[[#This Row],[FAKTUR]]))</f>
        <v/>
      </c>
      <c r="AJ890" s="38" t="str">
        <f ca="1">IF(NOTA[[#This Row],[ID]]="","",COUNTIF(NOTA[ID_H],NOTA[[#This Row],[ID_H]]))</f>
        <v/>
      </c>
      <c r="AK890" s="38" t="str">
        <f ca="1">IF(NOTA[[#This Row],[TGL.NOTA]]="",IF(NOTA[[#This Row],[SUPPLIER_H]]="","",AK889),MONTH(NOTA[[#This Row],[TGL.NOTA]]))</f>
        <v/>
      </c>
      <c r="AL890" s="38" t="str">
        <f>LOWER(SUBSTITUTE(SUBSTITUTE(SUBSTITUTE(SUBSTITUTE(SUBSTITUTE(SUBSTITUTE(SUBSTITUTE(SUBSTITUTE(SUBSTITUTE(NOTA[NAMA BARANG]," ",),".",""),"-",""),"(",""),")",""),",",""),"/",""),"""",""),"+",""))</f>
        <v/>
      </c>
      <c r="AM890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0" s="184" t="str">
        <f>IF(NOTA[[#This Row],[CONCAT1]]="","",MATCH(NOTA[[#This Row],[CONCAT1]],[1]!db[NB NOTA_C],0)+1)</f>
        <v/>
      </c>
    </row>
    <row r="891" spans="1:40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Row],[CEK_EXP]]&lt;D890,"err","")</f>
        <v/>
      </c>
      <c r="D891" s="50">
        <f>IF(NOTA[[#This Row],[TANGGAL]]="",D890,NOTA[[#This Row],[TANGGAL]])</f>
        <v>44959</v>
      </c>
      <c r="E891" s="50" t="str">
        <f ca="1">IF(NOTA[[#This Row],[NAMA BARANG]]="","",INDEX(NOTA[ID],MATCH(,INDIRECT(ADDRESS(ROW(NOTA[ID]),COLUMN(NOTA[ID]))&amp;":"&amp;ADDRESS(ROW(),COLUMN(NOTA[ID]))),-1)))</f>
        <v/>
      </c>
      <c r="F891" s="119"/>
      <c r="G891" s="120"/>
      <c r="H891" s="120"/>
      <c r="I891" s="121"/>
      <c r="J891" s="120"/>
      <c r="K891" s="122"/>
      <c r="L891" s="120"/>
      <c r="M891" s="120"/>
      <c r="N891" s="123"/>
      <c r="O891" s="120"/>
      <c r="P891" s="120"/>
      <c r="Q891" s="124"/>
      <c r="R891" s="125"/>
      <c r="S891" s="123"/>
      <c r="T891" s="126"/>
      <c r="U891" s="126"/>
      <c r="V891" s="127"/>
      <c r="W891" s="128"/>
      <c r="X891" s="54" t="str">
        <f>IF(NOTA[[#This Row],[HARGA/ CTN]]="",NOTA[[#This Row],[JUMLAH_H]],NOTA[[#This Row],[HARGA/ CTN]]*IF(NOTA[[#This Row],[C]]="",0,NOTA[[#This Row],[C]]))</f>
        <v/>
      </c>
      <c r="Y891" s="54" t="str">
        <f>IF(NOTA[[#This Row],[JUMLAH]]="","",NOTA[[#This Row],[JUMLAH]]*NOTA[[#This Row],[DISC 1]])</f>
        <v/>
      </c>
      <c r="Z891" s="54" t="str">
        <f>IF(NOTA[[#This Row],[JUMLAH]]="","",(NOTA[[#This Row],[JUMLAH]]-NOTA[[#This Row],[DISC 1-]])*NOTA[[#This Row],[DISC 2]])</f>
        <v/>
      </c>
      <c r="AA891" s="54" t="str">
        <f>IF(NOTA[[#This Row],[JUMLAH]]="","",NOTA[[#This Row],[DISC 1-]]+NOTA[[#This Row],[DISC 2-]])</f>
        <v/>
      </c>
      <c r="AB891" s="54" t="str">
        <f>IF(NOTA[[#This Row],[JUMLAH]]="","",NOTA[[#This Row],[JUMLAH]]-NOTA[[#This Row],[DISC]])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54" t="str">
        <f>IF(OR(NOTA[[#This Row],[QTY]]="",NOTA[[#This Row],[HARGA SATUAN]]="",),"",NOTA[[#This Row],[QTY]]*NOTA[[#This Row],[HARGA SATUAN]])</f>
        <v/>
      </c>
      <c r="AG891" s="51" t="str">
        <f ca="1">IF(NOTA[ID_H]="","",INDEX(NOTA[TANGGAL],MATCH(,INDIRECT(ADDRESS(ROW(NOTA[TANGGAL]),COLUMN(NOTA[TANGGAL]))&amp;":"&amp;ADDRESS(ROW(),COLUMN(NOTA[TANGGAL]))),-1)))</f>
        <v/>
      </c>
      <c r="AH891" s="49" t="str">
        <f ca="1">IF(NOTA[[#This Row],[NAMA BARANG]]="","",INDEX(NOTA[SUPPLIER],MATCH(,INDIRECT(ADDRESS(ROW(NOTA[ID]),COLUMN(NOTA[ID]))&amp;":"&amp;ADDRESS(ROW(),COLUMN(NOTA[ID]))),-1)))</f>
        <v/>
      </c>
      <c r="AI891" s="49" t="str">
        <f ca="1">IF(NOTA[[#This Row],[ID_H]]="","",IF(NOTA[[#This Row],[FAKTUR]]="",INDIRECT(ADDRESS(ROW()-1,COLUMN())),NOTA[[#This Row],[FAKTUR]]))</f>
        <v/>
      </c>
      <c r="AJ891" s="38" t="str">
        <f ca="1">IF(NOTA[[#This Row],[ID]]="","",COUNTIF(NOTA[ID_H],NOTA[[#This Row],[ID_H]]))</f>
        <v/>
      </c>
      <c r="AK891" s="38" t="str">
        <f ca="1">IF(NOTA[[#This Row],[TGL.NOTA]]="",IF(NOTA[[#This Row],[SUPPLIER_H]]="","",AK890),MONTH(NOTA[[#This Row],[TGL.NOTA]]))</f>
        <v/>
      </c>
      <c r="AL891" s="38" t="str">
        <f>LOWER(SUBSTITUTE(SUBSTITUTE(SUBSTITUTE(SUBSTITUTE(SUBSTITUTE(SUBSTITUTE(SUBSTITUTE(SUBSTITUTE(SUBSTITUTE(NOTA[NAMA BARANG]," ",),".",""),"-",""),"(",""),")",""),",",""),"/",""),"""",""),"+",""))</f>
        <v/>
      </c>
      <c r="AM891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1" s="184" t="str">
        <f>IF(NOTA[[#This Row],[CONCAT1]]="","",MATCH(NOTA[[#This Row],[CONCAT1]],[1]!db[NB NOTA_C],0)+1)</f>
        <v/>
      </c>
    </row>
    <row r="892" spans="1:40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Row],[CEK_EXP]]&lt;D891,"err","")</f>
        <v/>
      </c>
      <c r="D892" s="50">
        <f>IF(NOTA[[#This Row],[TANGGAL]]="",D891,NOTA[[#This Row],[TANGGAL]])</f>
        <v>44959</v>
      </c>
      <c r="E892" s="50" t="str">
        <f ca="1">IF(NOTA[[#This Row],[NAMA BARANG]]="","",INDEX(NOTA[ID],MATCH(,INDIRECT(ADDRESS(ROW(NOTA[ID]),COLUMN(NOTA[ID]))&amp;":"&amp;ADDRESS(ROW(),COLUMN(NOTA[ID]))),-1)))</f>
        <v/>
      </c>
      <c r="F892" s="119"/>
      <c r="G892" s="120"/>
      <c r="H892" s="120"/>
      <c r="I892" s="121"/>
      <c r="J892" s="120"/>
      <c r="K892" s="122"/>
      <c r="L892" s="120"/>
      <c r="M892" s="120"/>
      <c r="N892" s="123"/>
      <c r="O892" s="120"/>
      <c r="P892" s="120"/>
      <c r="Q892" s="124"/>
      <c r="R892" s="125"/>
      <c r="S892" s="123"/>
      <c r="T892" s="126"/>
      <c r="U892" s="126"/>
      <c r="V892" s="127"/>
      <c r="W892" s="128"/>
      <c r="X892" s="54" t="str">
        <f>IF(NOTA[[#This Row],[HARGA/ CTN]]="",NOTA[[#This Row],[JUMLAH_H]],NOTA[[#This Row],[HARGA/ CTN]]*IF(NOTA[[#This Row],[C]]="",0,NOTA[[#This Row],[C]]))</f>
        <v/>
      </c>
      <c r="Y892" s="54" t="str">
        <f>IF(NOTA[[#This Row],[JUMLAH]]="","",NOTA[[#This Row],[JUMLAH]]*NOTA[[#This Row],[DISC 1]])</f>
        <v/>
      </c>
      <c r="Z892" s="54" t="str">
        <f>IF(NOTA[[#This Row],[JUMLAH]]="","",(NOTA[[#This Row],[JUMLAH]]-NOTA[[#This Row],[DISC 1-]])*NOTA[[#This Row],[DISC 2]])</f>
        <v/>
      </c>
      <c r="AA892" s="54" t="str">
        <f>IF(NOTA[[#This Row],[JUMLAH]]="","",NOTA[[#This Row],[DISC 1-]]+NOTA[[#This Row],[DISC 2-]])</f>
        <v/>
      </c>
      <c r="AB892" s="54" t="str">
        <f>IF(NOTA[[#This Row],[JUMLAH]]="","",NOTA[[#This Row],[JUMLAH]]-NOTA[[#This Row],[DISC]])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54" t="str">
        <f>IF(OR(NOTA[[#This Row],[QTY]]="",NOTA[[#This Row],[HARGA SATUAN]]="",),"",NOTA[[#This Row],[QTY]]*NOTA[[#This Row],[HARGA SATUAN]])</f>
        <v/>
      </c>
      <c r="AG892" s="51" t="str">
        <f ca="1">IF(NOTA[ID_H]="","",INDEX(NOTA[TANGGAL],MATCH(,INDIRECT(ADDRESS(ROW(NOTA[TANGGAL]),COLUMN(NOTA[TANGGAL]))&amp;":"&amp;ADDRESS(ROW(),COLUMN(NOTA[TANGGAL]))),-1)))</f>
        <v/>
      </c>
      <c r="AH892" s="49" t="str">
        <f ca="1">IF(NOTA[[#This Row],[NAMA BARANG]]="","",INDEX(NOTA[SUPPLIER],MATCH(,INDIRECT(ADDRESS(ROW(NOTA[ID]),COLUMN(NOTA[ID]))&amp;":"&amp;ADDRESS(ROW(),COLUMN(NOTA[ID]))),-1)))</f>
        <v/>
      </c>
      <c r="AI892" s="49" t="str">
        <f ca="1">IF(NOTA[[#This Row],[ID_H]]="","",IF(NOTA[[#This Row],[FAKTUR]]="",INDIRECT(ADDRESS(ROW()-1,COLUMN())),NOTA[[#This Row],[FAKTUR]]))</f>
        <v/>
      </c>
      <c r="AJ892" s="38" t="str">
        <f ca="1">IF(NOTA[[#This Row],[ID]]="","",COUNTIF(NOTA[ID_H],NOTA[[#This Row],[ID_H]]))</f>
        <v/>
      </c>
      <c r="AK892" s="38" t="str">
        <f ca="1">IF(NOTA[[#This Row],[TGL.NOTA]]="",IF(NOTA[[#This Row],[SUPPLIER_H]]="","",AK891),MONTH(NOTA[[#This Row],[TGL.NOTA]]))</f>
        <v/>
      </c>
      <c r="AL892" s="38" t="str">
        <f>LOWER(SUBSTITUTE(SUBSTITUTE(SUBSTITUTE(SUBSTITUTE(SUBSTITUTE(SUBSTITUTE(SUBSTITUTE(SUBSTITUTE(SUBSTITUTE(NOTA[NAMA BARANG]," ",),".",""),"-",""),"(",""),")",""),",",""),"/",""),"""",""),"+",""))</f>
        <v/>
      </c>
      <c r="AM892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2" s="184" t="str">
        <f>IF(NOTA[[#This Row],[CONCAT1]]="","",MATCH(NOTA[[#This Row],[CONCAT1]],[1]!db[NB NOTA_C],0)+1)</f>
        <v/>
      </c>
    </row>
    <row r="893" spans="1:40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Row],[CEK_EXP]]&lt;D892,"err","")</f>
        <v/>
      </c>
      <c r="D893" s="50">
        <f>IF(NOTA[[#This Row],[TANGGAL]]="",D892,NOTA[[#This Row],[TANGGAL]])</f>
        <v>44959</v>
      </c>
      <c r="E893" s="50" t="str">
        <f ca="1">IF(NOTA[[#This Row],[NAMA BARANG]]="","",INDEX(NOTA[ID],MATCH(,INDIRECT(ADDRESS(ROW(NOTA[ID]),COLUMN(NOTA[ID]))&amp;":"&amp;ADDRESS(ROW(),COLUMN(NOTA[ID]))),-1)))</f>
        <v/>
      </c>
      <c r="F893" s="119"/>
      <c r="G893" s="120"/>
      <c r="H893" s="120"/>
      <c r="I893" s="121"/>
      <c r="J893" s="120"/>
      <c r="K893" s="122"/>
      <c r="L893" s="120"/>
      <c r="M893" s="120"/>
      <c r="N893" s="123"/>
      <c r="O893" s="120"/>
      <c r="P893" s="120"/>
      <c r="Q893" s="124"/>
      <c r="R893" s="125"/>
      <c r="S893" s="123"/>
      <c r="T893" s="126"/>
      <c r="U893" s="126"/>
      <c r="V893" s="127"/>
      <c r="W893" s="128"/>
      <c r="X893" s="54" t="str">
        <f>IF(NOTA[[#This Row],[HARGA/ CTN]]="",NOTA[[#This Row],[JUMLAH_H]],NOTA[[#This Row],[HARGA/ CTN]]*IF(NOTA[[#This Row],[C]]="",0,NOTA[[#This Row],[C]]))</f>
        <v/>
      </c>
      <c r="Y893" s="54" t="str">
        <f>IF(NOTA[[#This Row],[JUMLAH]]="","",NOTA[[#This Row],[JUMLAH]]*NOTA[[#This Row],[DISC 1]])</f>
        <v/>
      </c>
      <c r="Z893" s="54" t="str">
        <f>IF(NOTA[[#This Row],[JUMLAH]]="","",(NOTA[[#This Row],[JUMLAH]]-NOTA[[#This Row],[DISC 1-]])*NOTA[[#This Row],[DISC 2]])</f>
        <v/>
      </c>
      <c r="AA893" s="54" t="str">
        <f>IF(NOTA[[#This Row],[JUMLAH]]="","",NOTA[[#This Row],[DISC 1-]]+NOTA[[#This Row],[DISC 2-]])</f>
        <v/>
      </c>
      <c r="AB893" s="54" t="str">
        <f>IF(NOTA[[#This Row],[JUMLAH]]="","",NOTA[[#This Row],[JUMLAH]]-NOTA[[#This Row],[DISC]])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54" t="str">
        <f>IF(OR(NOTA[[#This Row],[QTY]]="",NOTA[[#This Row],[HARGA SATUAN]]="",),"",NOTA[[#This Row],[QTY]]*NOTA[[#This Row],[HARGA SATUAN]])</f>
        <v/>
      </c>
      <c r="AG893" s="51" t="str">
        <f ca="1">IF(NOTA[ID_H]="","",INDEX(NOTA[TANGGAL],MATCH(,INDIRECT(ADDRESS(ROW(NOTA[TANGGAL]),COLUMN(NOTA[TANGGAL]))&amp;":"&amp;ADDRESS(ROW(),COLUMN(NOTA[TANGGAL]))),-1)))</f>
        <v/>
      </c>
      <c r="AH893" s="49" t="str">
        <f ca="1">IF(NOTA[[#This Row],[NAMA BARANG]]="","",INDEX(NOTA[SUPPLIER],MATCH(,INDIRECT(ADDRESS(ROW(NOTA[ID]),COLUMN(NOTA[ID]))&amp;":"&amp;ADDRESS(ROW(),COLUMN(NOTA[ID]))),-1)))</f>
        <v/>
      </c>
      <c r="AI893" s="49" t="str">
        <f ca="1">IF(NOTA[[#This Row],[ID_H]]="","",IF(NOTA[[#This Row],[FAKTUR]]="",INDIRECT(ADDRESS(ROW()-1,COLUMN())),NOTA[[#This Row],[FAKTUR]]))</f>
        <v/>
      </c>
      <c r="AJ893" s="38" t="str">
        <f ca="1">IF(NOTA[[#This Row],[ID]]="","",COUNTIF(NOTA[ID_H],NOTA[[#This Row],[ID_H]]))</f>
        <v/>
      </c>
      <c r="AK893" s="38" t="str">
        <f ca="1">IF(NOTA[[#This Row],[TGL.NOTA]]="",IF(NOTA[[#This Row],[SUPPLIER_H]]="","",AK892),MONTH(NOTA[[#This Row],[TGL.NOTA]]))</f>
        <v/>
      </c>
      <c r="AL893" s="38" t="str">
        <f>LOWER(SUBSTITUTE(SUBSTITUTE(SUBSTITUTE(SUBSTITUTE(SUBSTITUTE(SUBSTITUTE(SUBSTITUTE(SUBSTITUTE(SUBSTITUTE(NOTA[NAMA BARANG]," ",),".",""),"-",""),"(",""),")",""),",",""),"/",""),"""",""),"+",""))</f>
        <v/>
      </c>
      <c r="AM893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3" s="184" t="str">
        <f>IF(NOTA[[#This Row],[CONCAT1]]="","",MATCH(NOTA[[#This Row],[CONCAT1]],[1]!db[NB NOTA_C],0)+1)</f>
        <v/>
      </c>
    </row>
    <row r="894" spans="1:40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Row],[CEK_EXP]]&lt;D893,"err","")</f>
        <v/>
      </c>
      <c r="D894" s="50">
        <f>IF(NOTA[[#This Row],[TANGGAL]]="",D893,NOTA[[#This Row],[TANGGAL]])</f>
        <v>44959</v>
      </c>
      <c r="E894" s="50" t="str">
        <f ca="1">IF(NOTA[[#This Row],[NAMA BARANG]]="","",INDEX(NOTA[ID],MATCH(,INDIRECT(ADDRESS(ROW(NOTA[ID]),COLUMN(NOTA[ID]))&amp;":"&amp;ADDRESS(ROW(),COLUMN(NOTA[ID]))),-1)))</f>
        <v/>
      </c>
      <c r="F894" s="119"/>
      <c r="G894" s="120"/>
      <c r="H894" s="120"/>
      <c r="I894" s="121"/>
      <c r="J894" s="120"/>
      <c r="K894" s="122"/>
      <c r="L894" s="120"/>
      <c r="M894" s="120"/>
      <c r="N894" s="123"/>
      <c r="O894" s="120"/>
      <c r="P894" s="120"/>
      <c r="Q894" s="124"/>
      <c r="R894" s="125"/>
      <c r="S894" s="123"/>
      <c r="T894" s="126"/>
      <c r="U894" s="126"/>
      <c r="V894" s="127"/>
      <c r="W894" s="128"/>
      <c r="X894" s="54" t="str">
        <f>IF(NOTA[[#This Row],[HARGA/ CTN]]="",NOTA[[#This Row],[JUMLAH_H]],NOTA[[#This Row],[HARGA/ CTN]]*IF(NOTA[[#This Row],[C]]="",0,NOTA[[#This Row],[C]]))</f>
        <v/>
      </c>
      <c r="Y894" s="54" t="str">
        <f>IF(NOTA[[#This Row],[JUMLAH]]="","",NOTA[[#This Row],[JUMLAH]]*NOTA[[#This Row],[DISC 1]])</f>
        <v/>
      </c>
      <c r="Z894" s="54" t="str">
        <f>IF(NOTA[[#This Row],[JUMLAH]]="","",(NOTA[[#This Row],[JUMLAH]]-NOTA[[#This Row],[DISC 1-]])*NOTA[[#This Row],[DISC 2]])</f>
        <v/>
      </c>
      <c r="AA894" s="54" t="str">
        <f>IF(NOTA[[#This Row],[JUMLAH]]="","",NOTA[[#This Row],[DISC 1-]]+NOTA[[#This Row],[DISC 2-]])</f>
        <v/>
      </c>
      <c r="AB894" s="54" t="str">
        <f>IF(NOTA[[#This Row],[JUMLAH]]="","",NOTA[[#This Row],[JUMLAH]]-NOTA[[#This Row],[DISC]])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54" t="str">
        <f>IF(OR(NOTA[[#This Row],[QTY]]="",NOTA[[#This Row],[HARGA SATUAN]]="",),"",NOTA[[#This Row],[QTY]]*NOTA[[#This Row],[HARGA SATUAN]])</f>
        <v/>
      </c>
      <c r="AG894" s="51" t="str">
        <f ca="1">IF(NOTA[ID_H]="","",INDEX(NOTA[TANGGAL],MATCH(,INDIRECT(ADDRESS(ROW(NOTA[TANGGAL]),COLUMN(NOTA[TANGGAL]))&amp;":"&amp;ADDRESS(ROW(),COLUMN(NOTA[TANGGAL]))),-1)))</f>
        <v/>
      </c>
      <c r="AH894" s="49" t="str">
        <f ca="1">IF(NOTA[[#This Row],[NAMA BARANG]]="","",INDEX(NOTA[SUPPLIER],MATCH(,INDIRECT(ADDRESS(ROW(NOTA[ID]),COLUMN(NOTA[ID]))&amp;":"&amp;ADDRESS(ROW(),COLUMN(NOTA[ID]))),-1)))</f>
        <v/>
      </c>
      <c r="AI894" s="49" t="str">
        <f ca="1">IF(NOTA[[#This Row],[ID_H]]="","",IF(NOTA[[#This Row],[FAKTUR]]="",INDIRECT(ADDRESS(ROW()-1,COLUMN())),NOTA[[#This Row],[FAKTUR]]))</f>
        <v/>
      </c>
      <c r="AJ894" s="38" t="str">
        <f ca="1">IF(NOTA[[#This Row],[ID]]="","",COUNTIF(NOTA[ID_H],NOTA[[#This Row],[ID_H]]))</f>
        <v/>
      </c>
      <c r="AK894" s="38" t="str">
        <f ca="1">IF(NOTA[[#This Row],[TGL.NOTA]]="",IF(NOTA[[#This Row],[SUPPLIER_H]]="","",AK893),MONTH(NOTA[[#This Row],[TGL.NOTA]]))</f>
        <v/>
      </c>
      <c r="AL894" s="38" t="str">
        <f>LOWER(SUBSTITUTE(SUBSTITUTE(SUBSTITUTE(SUBSTITUTE(SUBSTITUTE(SUBSTITUTE(SUBSTITUTE(SUBSTITUTE(SUBSTITUTE(NOTA[NAMA BARANG]," ",),".",""),"-",""),"(",""),")",""),",",""),"/",""),"""",""),"+",""))</f>
        <v/>
      </c>
      <c r="AM894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4" s="184" t="str">
        <f>IF(NOTA[[#This Row],[CONCAT1]]="","",MATCH(NOTA[[#This Row],[CONCAT1]],[1]!db[NB NOTA_C],0)+1)</f>
        <v/>
      </c>
    </row>
    <row r="895" spans="1:40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Row],[CEK_EXP]]&lt;D894,"err","")</f>
        <v/>
      </c>
      <c r="D895" s="50">
        <f>IF(NOTA[[#This Row],[TANGGAL]]="",D894,NOTA[[#This Row],[TANGGAL]])</f>
        <v>44959</v>
      </c>
      <c r="E895" s="50" t="str">
        <f ca="1">IF(NOTA[[#This Row],[NAMA BARANG]]="","",INDEX(NOTA[ID],MATCH(,INDIRECT(ADDRESS(ROW(NOTA[ID]),COLUMN(NOTA[ID]))&amp;":"&amp;ADDRESS(ROW(),COLUMN(NOTA[ID]))),-1)))</f>
        <v/>
      </c>
      <c r="F895" s="119"/>
      <c r="G895" s="120"/>
      <c r="H895" s="120"/>
      <c r="I895" s="121"/>
      <c r="J895" s="120"/>
      <c r="K895" s="122"/>
      <c r="L895" s="120"/>
      <c r="M895" s="120"/>
      <c r="N895" s="123"/>
      <c r="O895" s="120"/>
      <c r="P895" s="120"/>
      <c r="Q895" s="124"/>
      <c r="R895" s="125"/>
      <c r="S895" s="123"/>
      <c r="T895" s="126"/>
      <c r="U895" s="126"/>
      <c r="V895" s="127"/>
      <c r="W895" s="128"/>
      <c r="X895" s="54" t="str">
        <f>IF(NOTA[[#This Row],[HARGA/ CTN]]="",NOTA[[#This Row],[JUMLAH_H]],NOTA[[#This Row],[HARGA/ CTN]]*IF(NOTA[[#This Row],[C]]="",0,NOTA[[#This Row],[C]]))</f>
        <v/>
      </c>
      <c r="Y895" s="54" t="str">
        <f>IF(NOTA[[#This Row],[JUMLAH]]="","",NOTA[[#This Row],[JUMLAH]]*NOTA[[#This Row],[DISC 1]])</f>
        <v/>
      </c>
      <c r="Z895" s="54" t="str">
        <f>IF(NOTA[[#This Row],[JUMLAH]]="","",(NOTA[[#This Row],[JUMLAH]]-NOTA[[#This Row],[DISC 1-]])*NOTA[[#This Row],[DISC 2]])</f>
        <v/>
      </c>
      <c r="AA895" s="54" t="str">
        <f>IF(NOTA[[#This Row],[JUMLAH]]="","",NOTA[[#This Row],[DISC 1-]]+NOTA[[#This Row],[DISC 2-]])</f>
        <v/>
      </c>
      <c r="AB895" s="54" t="str">
        <f>IF(NOTA[[#This Row],[JUMLAH]]="","",NOTA[[#This Row],[JUMLAH]]-NOTA[[#This Row],[DISC]])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54" t="str">
        <f>IF(OR(NOTA[[#This Row],[QTY]]="",NOTA[[#This Row],[HARGA SATUAN]]="",),"",NOTA[[#This Row],[QTY]]*NOTA[[#This Row],[HARGA SATUAN]])</f>
        <v/>
      </c>
      <c r="AG895" s="51" t="str">
        <f ca="1">IF(NOTA[ID_H]="","",INDEX(NOTA[TANGGAL],MATCH(,INDIRECT(ADDRESS(ROW(NOTA[TANGGAL]),COLUMN(NOTA[TANGGAL]))&amp;":"&amp;ADDRESS(ROW(),COLUMN(NOTA[TANGGAL]))),-1)))</f>
        <v/>
      </c>
      <c r="AH895" s="49" t="str">
        <f ca="1">IF(NOTA[[#This Row],[NAMA BARANG]]="","",INDEX(NOTA[SUPPLIER],MATCH(,INDIRECT(ADDRESS(ROW(NOTA[ID]),COLUMN(NOTA[ID]))&amp;":"&amp;ADDRESS(ROW(),COLUMN(NOTA[ID]))),-1)))</f>
        <v/>
      </c>
      <c r="AI895" s="49" t="str">
        <f ca="1">IF(NOTA[[#This Row],[ID_H]]="","",IF(NOTA[[#This Row],[FAKTUR]]="",INDIRECT(ADDRESS(ROW()-1,COLUMN())),NOTA[[#This Row],[FAKTUR]]))</f>
        <v/>
      </c>
      <c r="AJ895" s="38" t="str">
        <f ca="1">IF(NOTA[[#This Row],[ID]]="","",COUNTIF(NOTA[ID_H],NOTA[[#This Row],[ID_H]]))</f>
        <v/>
      </c>
      <c r="AK895" s="38" t="str">
        <f ca="1">IF(NOTA[[#This Row],[TGL.NOTA]]="",IF(NOTA[[#This Row],[SUPPLIER_H]]="","",AK894),MONTH(NOTA[[#This Row],[TGL.NOTA]]))</f>
        <v/>
      </c>
      <c r="AL895" s="38" t="str">
        <f>LOWER(SUBSTITUTE(SUBSTITUTE(SUBSTITUTE(SUBSTITUTE(SUBSTITUTE(SUBSTITUTE(SUBSTITUTE(SUBSTITUTE(SUBSTITUTE(NOTA[NAMA BARANG]," ",),".",""),"-",""),"(",""),")",""),",",""),"/",""),"""",""),"+",""))</f>
        <v/>
      </c>
      <c r="AM895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5" s="184" t="str">
        <f>IF(NOTA[[#This Row],[CONCAT1]]="","",MATCH(NOTA[[#This Row],[CONCAT1]],[1]!db[NB NOTA_C],0)+1)</f>
        <v/>
      </c>
    </row>
    <row r="896" spans="1:40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Row],[CEK_EXP]]&lt;D895,"err","")</f>
        <v/>
      </c>
      <c r="D896" s="50">
        <f>IF(NOTA[[#This Row],[TANGGAL]]="",D895,NOTA[[#This Row],[TANGGAL]])</f>
        <v>44959</v>
      </c>
      <c r="E896" s="50" t="str">
        <f ca="1">IF(NOTA[[#This Row],[NAMA BARANG]]="","",INDEX(NOTA[ID],MATCH(,INDIRECT(ADDRESS(ROW(NOTA[ID]),COLUMN(NOTA[ID]))&amp;":"&amp;ADDRESS(ROW(),COLUMN(NOTA[ID]))),-1)))</f>
        <v/>
      </c>
      <c r="F896" s="119"/>
      <c r="G896" s="120"/>
      <c r="H896" s="120"/>
      <c r="I896" s="121"/>
      <c r="J896" s="120"/>
      <c r="K896" s="122"/>
      <c r="L896" s="120"/>
      <c r="M896" s="120"/>
      <c r="N896" s="123"/>
      <c r="O896" s="120"/>
      <c r="P896" s="120"/>
      <c r="Q896" s="124"/>
      <c r="R896" s="125"/>
      <c r="S896" s="123"/>
      <c r="T896" s="126"/>
      <c r="U896" s="126"/>
      <c r="V896" s="127"/>
      <c r="W896" s="128"/>
      <c r="X896" s="54" t="str">
        <f>IF(NOTA[[#This Row],[HARGA/ CTN]]="",NOTA[[#This Row],[JUMLAH_H]],NOTA[[#This Row],[HARGA/ CTN]]*IF(NOTA[[#This Row],[C]]="",0,NOTA[[#This Row],[C]]))</f>
        <v/>
      </c>
      <c r="Y896" s="54" t="str">
        <f>IF(NOTA[[#This Row],[JUMLAH]]="","",NOTA[[#This Row],[JUMLAH]]*NOTA[[#This Row],[DISC 1]])</f>
        <v/>
      </c>
      <c r="Z896" s="54" t="str">
        <f>IF(NOTA[[#This Row],[JUMLAH]]="","",(NOTA[[#This Row],[JUMLAH]]-NOTA[[#This Row],[DISC 1-]])*NOTA[[#This Row],[DISC 2]])</f>
        <v/>
      </c>
      <c r="AA896" s="54" t="str">
        <f>IF(NOTA[[#This Row],[JUMLAH]]="","",NOTA[[#This Row],[DISC 1-]]+NOTA[[#This Row],[DISC 2-]])</f>
        <v/>
      </c>
      <c r="AB896" s="54" t="str">
        <f>IF(NOTA[[#This Row],[JUMLAH]]="","",NOTA[[#This Row],[JUMLAH]]-NOTA[[#This Row],[DISC]])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54" t="str">
        <f>IF(OR(NOTA[[#This Row],[QTY]]="",NOTA[[#This Row],[HARGA SATUAN]]="",),"",NOTA[[#This Row],[QTY]]*NOTA[[#This Row],[HARGA SATUAN]])</f>
        <v/>
      </c>
      <c r="AG896" s="51" t="str">
        <f ca="1">IF(NOTA[ID_H]="","",INDEX(NOTA[TANGGAL],MATCH(,INDIRECT(ADDRESS(ROW(NOTA[TANGGAL]),COLUMN(NOTA[TANGGAL]))&amp;":"&amp;ADDRESS(ROW(),COLUMN(NOTA[TANGGAL]))),-1)))</f>
        <v/>
      </c>
      <c r="AH896" s="49" t="str">
        <f ca="1">IF(NOTA[[#This Row],[NAMA BARANG]]="","",INDEX(NOTA[SUPPLIER],MATCH(,INDIRECT(ADDRESS(ROW(NOTA[ID]),COLUMN(NOTA[ID]))&amp;":"&amp;ADDRESS(ROW(),COLUMN(NOTA[ID]))),-1)))</f>
        <v/>
      </c>
      <c r="AI896" s="49" t="str">
        <f ca="1">IF(NOTA[[#This Row],[ID_H]]="","",IF(NOTA[[#This Row],[FAKTUR]]="",INDIRECT(ADDRESS(ROW()-1,COLUMN())),NOTA[[#This Row],[FAKTUR]]))</f>
        <v/>
      </c>
      <c r="AJ896" s="38" t="str">
        <f ca="1">IF(NOTA[[#This Row],[ID]]="","",COUNTIF(NOTA[ID_H],NOTA[[#This Row],[ID_H]]))</f>
        <v/>
      </c>
      <c r="AK896" s="38" t="str">
        <f ca="1">IF(NOTA[[#This Row],[TGL.NOTA]]="",IF(NOTA[[#This Row],[SUPPLIER_H]]="","",AK895),MONTH(NOTA[[#This Row],[TGL.NOTA]]))</f>
        <v/>
      </c>
      <c r="AL896" s="38" t="str">
        <f>LOWER(SUBSTITUTE(SUBSTITUTE(SUBSTITUTE(SUBSTITUTE(SUBSTITUTE(SUBSTITUTE(SUBSTITUTE(SUBSTITUTE(SUBSTITUTE(NOTA[NAMA BARANG]," ",),".",""),"-",""),"(",""),")",""),",",""),"/",""),"""",""),"+",""))</f>
        <v/>
      </c>
      <c r="AM896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6" s="184" t="str">
        <f>IF(NOTA[[#This Row],[CONCAT1]]="","",MATCH(NOTA[[#This Row],[CONCAT1]],[1]!db[NB NOTA_C],0)+1)</f>
        <v/>
      </c>
    </row>
    <row r="897" spans="1:40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Row],[CEK_EXP]]&lt;D896,"err","")</f>
        <v/>
      </c>
      <c r="D897" s="50">
        <f>IF(NOTA[[#This Row],[TANGGAL]]="",D896,NOTA[[#This Row],[TANGGAL]])</f>
        <v>44959</v>
      </c>
      <c r="E897" s="50" t="str">
        <f ca="1">IF(NOTA[[#This Row],[NAMA BARANG]]="","",INDEX(NOTA[ID],MATCH(,INDIRECT(ADDRESS(ROW(NOTA[ID]),COLUMN(NOTA[ID]))&amp;":"&amp;ADDRESS(ROW(),COLUMN(NOTA[ID]))),-1)))</f>
        <v/>
      </c>
      <c r="F897" s="119"/>
      <c r="G897" s="120"/>
      <c r="H897" s="120"/>
      <c r="I897" s="121"/>
      <c r="J897" s="120"/>
      <c r="K897" s="122"/>
      <c r="L897" s="120"/>
      <c r="M897" s="120"/>
      <c r="N897" s="123"/>
      <c r="O897" s="120"/>
      <c r="P897" s="120"/>
      <c r="Q897" s="124"/>
      <c r="R897" s="125"/>
      <c r="S897" s="123"/>
      <c r="T897" s="126"/>
      <c r="U897" s="126"/>
      <c r="V897" s="127"/>
      <c r="W897" s="128"/>
      <c r="X897" s="54" t="str">
        <f>IF(NOTA[[#This Row],[HARGA/ CTN]]="",NOTA[[#This Row],[JUMLAH_H]],NOTA[[#This Row],[HARGA/ CTN]]*IF(NOTA[[#This Row],[C]]="",0,NOTA[[#This Row],[C]]))</f>
        <v/>
      </c>
      <c r="Y897" s="54" t="str">
        <f>IF(NOTA[[#This Row],[JUMLAH]]="","",NOTA[[#This Row],[JUMLAH]]*NOTA[[#This Row],[DISC 1]])</f>
        <v/>
      </c>
      <c r="Z897" s="54" t="str">
        <f>IF(NOTA[[#This Row],[JUMLAH]]="","",(NOTA[[#This Row],[JUMLAH]]-NOTA[[#This Row],[DISC 1-]])*NOTA[[#This Row],[DISC 2]])</f>
        <v/>
      </c>
      <c r="AA897" s="54" t="str">
        <f>IF(NOTA[[#This Row],[JUMLAH]]="","",NOTA[[#This Row],[DISC 1-]]+NOTA[[#This Row],[DISC 2-]])</f>
        <v/>
      </c>
      <c r="AB897" s="54" t="str">
        <f>IF(NOTA[[#This Row],[JUMLAH]]="","",NOTA[[#This Row],[JUMLAH]]-NOTA[[#This Row],[DISC]])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54" t="str">
        <f>IF(OR(NOTA[[#This Row],[QTY]]="",NOTA[[#This Row],[HARGA SATUAN]]="",),"",NOTA[[#This Row],[QTY]]*NOTA[[#This Row],[HARGA SATUAN]])</f>
        <v/>
      </c>
      <c r="AG897" s="51" t="str">
        <f ca="1">IF(NOTA[ID_H]="","",INDEX(NOTA[TANGGAL],MATCH(,INDIRECT(ADDRESS(ROW(NOTA[TANGGAL]),COLUMN(NOTA[TANGGAL]))&amp;":"&amp;ADDRESS(ROW(),COLUMN(NOTA[TANGGAL]))),-1)))</f>
        <v/>
      </c>
      <c r="AH897" s="49" t="str">
        <f ca="1">IF(NOTA[[#This Row],[NAMA BARANG]]="","",INDEX(NOTA[SUPPLIER],MATCH(,INDIRECT(ADDRESS(ROW(NOTA[ID]),COLUMN(NOTA[ID]))&amp;":"&amp;ADDRESS(ROW(),COLUMN(NOTA[ID]))),-1)))</f>
        <v/>
      </c>
      <c r="AI897" s="49" t="str">
        <f ca="1">IF(NOTA[[#This Row],[ID_H]]="","",IF(NOTA[[#This Row],[FAKTUR]]="",INDIRECT(ADDRESS(ROW()-1,COLUMN())),NOTA[[#This Row],[FAKTUR]]))</f>
        <v/>
      </c>
      <c r="AJ897" s="38" t="str">
        <f ca="1">IF(NOTA[[#This Row],[ID]]="","",COUNTIF(NOTA[ID_H],NOTA[[#This Row],[ID_H]]))</f>
        <v/>
      </c>
      <c r="AK897" s="38" t="str">
        <f ca="1">IF(NOTA[[#This Row],[TGL.NOTA]]="",IF(NOTA[[#This Row],[SUPPLIER_H]]="","",AK896),MONTH(NOTA[[#This Row],[TGL.NOTA]]))</f>
        <v/>
      </c>
      <c r="AL897" s="38" t="str">
        <f>LOWER(SUBSTITUTE(SUBSTITUTE(SUBSTITUTE(SUBSTITUTE(SUBSTITUTE(SUBSTITUTE(SUBSTITUTE(SUBSTITUTE(SUBSTITUTE(NOTA[NAMA BARANG]," ",),".",""),"-",""),"(",""),")",""),",",""),"/",""),"""",""),"+",""))</f>
        <v/>
      </c>
      <c r="AM897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7" s="184" t="str">
        <f>IF(NOTA[[#This Row],[CONCAT1]]="","",MATCH(NOTA[[#This Row],[CONCAT1]],[1]!db[NB NOTA_C],0)+1)</f>
        <v/>
      </c>
    </row>
    <row r="898" spans="1:40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Row],[CEK_EXP]]&lt;D897,"err","")</f>
        <v/>
      </c>
      <c r="D898" s="50">
        <f>IF(NOTA[[#This Row],[TANGGAL]]="",D897,NOTA[[#This Row],[TANGGAL]])</f>
        <v>44959</v>
      </c>
      <c r="E898" s="50" t="str">
        <f ca="1">IF(NOTA[[#This Row],[NAMA BARANG]]="","",INDEX(NOTA[ID],MATCH(,INDIRECT(ADDRESS(ROW(NOTA[ID]),COLUMN(NOTA[ID]))&amp;":"&amp;ADDRESS(ROW(),COLUMN(NOTA[ID]))),-1)))</f>
        <v/>
      </c>
      <c r="F898" s="23"/>
      <c r="G898" s="26"/>
      <c r="H898" s="26"/>
      <c r="I898" s="31"/>
      <c r="J898" s="26"/>
      <c r="K898" s="51"/>
      <c r="L898" s="26"/>
      <c r="M898" s="26"/>
      <c r="N898" s="39"/>
      <c r="O898" s="26"/>
      <c r="P898" s="26"/>
      <c r="Q898" s="49"/>
      <c r="R898" s="52"/>
      <c r="S898" s="39"/>
      <c r="T898" s="53"/>
      <c r="U898" s="53"/>
      <c r="V898" s="54"/>
      <c r="W898" s="37"/>
      <c r="X898" s="54" t="str">
        <f>IF(NOTA[[#This Row],[HARGA/ CTN]]="",NOTA[[#This Row],[JUMLAH_H]],NOTA[[#This Row],[HARGA/ CTN]]*IF(NOTA[[#This Row],[C]]="",0,NOTA[[#This Row],[C]]))</f>
        <v/>
      </c>
      <c r="Y898" s="54" t="str">
        <f>IF(NOTA[[#This Row],[JUMLAH]]="","",NOTA[[#This Row],[JUMLAH]]*NOTA[[#This Row],[DISC 1]])</f>
        <v/>
      </c>
      <c r="Z898" s="54" t="str">
        <f>IF(NOTA[[#This Row],[JUMLAH]]="","",(NOTA[[#This Row],[JUMLAH]]-NOTA[[#This Row],[DISC 1-]])*NOTA[[#This Row],[DISC 2]])</f>
        <v/>
      </c>
      <c r="AA898" s="54" t="str">
        <f>IF(NOTA[[#This Row],[JUMLAH]]="","",NOTA[[#This Row],[DISC 1-]]+NOTA[[#This Row],[DISC 2-]])</f>
        <v/>
      </c>
      <c r="AB898" s="54" t="str">
        <f>IF(NOTA[[#This Row],[JUMLAH]]="","",NOTA[[#This Row],[JUMLAH]]-NOTA[[#This Row],[DISC]])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54" t="str">
        <f>IF(OR(NOTA[[#This Row],[QTY]]="",NOTA[[#This Row],[HARGA SATUAN]]="",),"",NOTA[[#This Row],[QTY]]*NOTA[[#This Row],[HARGA SATUAN]])</f>
        <v/>
      </c>
      <c r="AG898" s="51" t="str">
        <f ca="1">IF(NOTA[ID_H]="","",INDEX(NOTA[TANGGAL],MATCH(,INDIRECT(ADDRESS(ROW(NOTA[TANGGAL]),COLUMN(NOTA[TANGGAL]))&amp;":"&amp;ADDRESS(ROW(),COLUMN(NOTA[TANGGAL]))),-1)))</f>
        <v/>
      </c>
      <c r="AH898" s="49" t="str">
        <f ca="1">IF(NOTA[[#This Row],[NAMA BARANG]]="","",INDEX(NOTA[SUPPLIER],MATCH(,INDIRECT(ADDRESS(ROW(NOTA[ID]),COLUMN(NOTA[ID]))&amp;":"&amp;ADDRESS(ROW(),COLUMN(NOTA[ID]))),-1)))</f>
        <v/>
      </c>
      <c r="AI898" s="49" t="str">
        <f ca="1">IF(NOTA[[#This Row],[ID_H]]="","",IF(NOTA[[#This Row],[FAKTUR]]="",INDIRECT(ADDRESS(ROW()-1,COLUMN())),NOTA[[#This Row],[FAKTUR]]))</f>
        <v/>
      </c>
      <c r="AJ898" s="38" t="str">
        <f ca="1">IF(NOTA[[#This Row],[ID]]="","",COUNTIF(NOTA[ID_H],NOTA[[#This Row],[ID_H]]))</f>
        <v/>
      </c>
      <c r="AK898" s="38" t="str">
        <f ca="1">IF(NOTA[[#This Row],[TGL.NOTA]]="",IF(NOTA[[#This Row],[SUPPLIER_H]]="","",AK897),MONTH(NOTA[[#This Row],[TGL.NOTA]]))</f>
        <v/>
      </c>
      <c r="AL898" s="38" t="str">
        <f>LOWER(SUBSTITUTE(SUBSTITUTE(SUBSTITUTE(SUBSTITUTE(SUBSTITUTE(SUBSTITUTE(SUBSTITUTE(SUBSTITUTE(SUBSTITUTE(NOTA[NAMA BARANG]," ",),".",""),"-",""),"(",""),")",""),",",""),"/",""),"""",""),"+",""))</f>
        <v/>
      </c>
      <c r="AM898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8" s="184" t="str">
        <f>IF(NOTA[[#This Row],[CONCAT1]]="","",MATCH(NOTA[[#This Row],[CONCAT1]],[1]!db[NB NOTA_C],0)+1)</f>
        <v/>
      </c>
    </row>
    <row r="899" spans="1:40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Row],[CEK_EXP]]&lt;D898,"err","")</f>
        <v/>
      </c>
      <c r="D899" s="50">
        <f>IF(NOTA[[#This Row],[TANGGAL]]="",D898,NOTA[[#This Row],[TANGGAL]])</f>
        <v>44959</v>
      </c>
      <c r="E899" s="50" t="str">
        <f ca="1">IF(NOTA[[#This Row],[NAMA BARANG]]="","",INDEX(NOTA[ID],MATCH(,INDIRECT(ADDRESS(ROW(NOTA[ID]),COLUMN(NOTA[ID]))&amp;":"&amp;ADDRESS(ROW(),COLUMN(NOTA[ID]))),-1)))</f>
        <v/>
      </c>
      <c r="F899" s="23"/>
      <c r="G899" s="26"/>
      <c r="H899" s="26"/>
      <c r="I899" s="31"/>
      <c r="J899" s="26"/>
      <c r="K899" s="51"/>
      <c r="L899" s="26"/>
      <c r="M899" s="26"/>
      <c r="N899" s="39"/>
      <c r="O899" s="26"/>
      <c r="P899" s="26"/>
      <c r="Q899" s="49"/>
      <c r="R899" s="52"/>
      <c r="S899" s="39"/>
      <c r="T899" s="53"/>
      <c r="U899" s="53"/>
      <c r="V899" s="54"/>
      <c r="W899" s="37"/>
      <c r="X899" s="54" t="str">
        <f>IF(NOTA[[#This Row],[HARGA/ CTN]]="",NOTA[[#This Row],[JUMLAH_H]],NOTA[[#This Row],[HARGA/ CTN]]*IF(NOTA[[#This Row],[C]]="",0,NOTA[[#This Row],[C]]))</f>
        <v/>
      </c>
      <c r="Y899" s="54" t="str">
        <f>IF(NOTA[[#This Row],[JUMLAH]]="","",NOTA[[#This Row],[JUMLAH]]*NOTA[[#This Row],[DISC 1]])</f>
        <v/>
      </c>
      <c r="Z899" s="54" t="str">
        <f>IF(NOTA[[#This Row],[JUMLAH]]="","",(NOTA[[#This Row],[JUMLAH]]-NOTA[[#This Row],[DISC 1-]])*NOTA[[#This Row],[DISC 2]])</f>
        <v/>
      </c>
      <c r="AA899" s="54" t="str">
        <f>IF(NOTA[[#This Row],[JUMLAH]]="","",NOTA[[#This Row],[DISC 1-]]+NOTA[[#This Row],[DISC 2-]])</f>
        <v/>
      </c>
      <c r="AB899" s="54" t="str">
        <f>IF(NOTA[[#This Row],[JUMLAH]]="","",NOTA[[#This Row],[JUMLAH]]-NOTA[[#This Row],[DISC]])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54" t="str">
        <f>IF(OR(NOTA[[#This Row],[QTY]]="",NOTA[[#This Row],[HARGA SATUAN]]="",),"",NOTA[[#This Row],[QTY]]*NOTA[[#This Row],[HARGA SATUAN]])</f>
        <v/>
      </c>
      <c r="AG899" s="51" t="str">
        <f ca="1">IF(NOTA[ID_H]="","",INDEX(NOTA[TANGGAL],MATCH(,INDIRECT(ADDRESS(ROW(NOTA[TANGGAL]),COLUMN(NOTA[TANGGAL]))&amp;":"&amp;ADDRESS(ROW(),COLUMN(NOTA[TANGGAL]))),-1)))</f>
        <v/>
      </c>
      <c r="AH899" s="49" t="str">
        <f ca="1">IF(NOTA[[#This Row],[NAMA BARANG]]="","",INDEX(NOTA[SUPPLIER],MATCH(,INDIRECT(ADDRESS(ROW(NOTA[ID]),COLUMN(NOTA[ID]))&amp;":"&amp;ADDRESS(ROW(),COLUMN(NOTA[ID]))),-1)))</f>
        <v/>
      </c>
      <c r="AI899" s="49" t="str">
        <f ca="1">IF(NOTA[[#This Row],[ID_H]]="","",IF(NOTA[[#This Row],[FAKTUR]]="",INDIRECT(ADDRESS(ROW()-1,COLUMN())),NOTA[[#This Row],[FAKTUR]]))</f>
        <v/>
      </c>
      <c r="AJ899" s="38" t="str">
        <f ca="1">IF(NOTA[[#This Row],[ID]]="","",COUNTIF(NOTA[ID_H],NOTA[[#This Row],[ID_H]]))</f>
        <v/>
      </c>
      <c r="AK899" s="38" t="str">
        <f ca="1">IF(NOTA[[#This Row],[TGL.NOTA]]="",IF(NOTA[[#This Row],[SUPPLIER_H]]="","",AK898),MONTH(NOTA[[#This Row],[TGL.NOTA]]))</f>
        <v/>
      </c>
      <c r="AL899" s="38" t="str">
        <f>LOWER(SUBSTITUTE(SUBSTITUTE(SUBSTITUTE(SUBSTITUTE(SUBSTITUTE(SUBSTITUTE(SUBSTITUTE(SUBSTITUTE(SUBSTITUTE(NOTA[NAMA BARANG]," ",),".",""),"-",""),"(",""),")",""),",",""),"/",""),"""",""),"+",""))</f>
        <v/>
      </c>
      <c r="AM899" s="38" t="str">
        <f>IF(NOTA[C]="",NOTA[[#This Row],[CONCAT1]]&amp;NOTA[[#This Row],[HARGA SATUAN]],NOTA[[#This Row],[CONCAT1]]&amp;NOTA[[#This Row],[HARGA/ CTN_H]]&amp;NOTA[[#This Row],[DISC 1]]&amp;NOTA[[#This Row],[DISC 2]])</f>
        <v/>
      </c>
      <c r="AN899" s="184" t="str">
        <f>IF(NOTA[[#This Row],[CONCAT1]]="","",MATCH(NOTA[[#This Row],[CONCAT1]],[1]!db[NB NOTA_C],0)+1)</f>
        <v/>
      </c>
    </row>
    <row r="900" spans="1:40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Row],[CEK_EXP]]&lt;D899,"err","")</f>
        <v/>
      </c>
      <c r="D900" s="50">
        <f>IF(NOTA[[#This Row],[TANGGAL]]="",D899,NOTA[[#This Row],[TANGGAL]])</f>
        <v>44959</v>
      </c>
      <c r="E900" s="50" t="str">
        <f ca="1">IF(NOTA[[#This Row],[NAMA BARANG]]="","",INDEX(NOTA[ID],MATCH(,INDIRECT(ADDRESS(ROW(NOTA[ID]),COLUMN(NOTA[ID]))&amp;":"&amp;ADDRESS(ROW(),COLUMN(NOTA[ID]))),-1)))</f>
        <v/>
      </c>
      <c r="F900" s="23"/>
      <c r="G900" s="26"/>
      <c r="H900" s="26"/>
      <c r="I900" s="31"/>
      <c r="J900" s="26"/>
      <c r="K900" s="51"/>
      <c r="L900" s="26"/>
      <c r="M900" s="26"/>
      <c r="N900" s="39"/>
      <c r="O900" s="26"/>
      <c r="P900" s="26"/>
      <c r="Q900" s="49"/>
      <c r="R900" s="52"/>
      <c r="S900" s="39"/>
      <c r="T900" s="53"/>
      <c r="U900" s="53"/>
      <c r="V900" s="54"/>
      <c r="W900" s="37"/>
      <c r="X900" s="54" t="str">
        <f>IF(NOTA[[#This Row],[HARGA/ CTN]]="",NOTA[[#This Row],[JUMLAH_H]],NOTA[[#This Row],[HARGA/ CTN]]*IF(NOTA[[#This Row],[C]]="",0,NOTA[[#This Row],[C]]))</f>
        <v/>
      </c>
      <c r="Y900" s="54" t="str">
        <f>IF(NOTA[[#This Row],[JUMLAH]]="","",NOTA[[#This Row],[JUMLAH]]*NOTA[[#This Row],[DISC 1]])</f>
        <v/>
      </c>
      <c r="Z900" s="54" t="str">
        <f>IF(NOTA[[#This Row],[JUMLAH]]="","",(NOTA[[#This Row],[JUMLAH]]-NOTA[[#This Row],[DISC 1-]])*NOTA[[#This Row],[DISC 2]])</f>
        <v/>
      </c>
      <c r="AA900" s="54" t="str">
        <f>IF(NOTA[[#This Row],[JUMLAH]]="","",NOTA[[#This Row],[DISC 1-]]+NOTA[[#This Row],[DISC 2-]])</f>
        <v/>
      </c>
      <c r="AB900" s="54" t="str">
        <f>IF(NOTA[[#This Row],[JUMLAH]]="","",NOTA[[#This Row],[JUMLAH]]-NOTA[[#This Row],[DISC]])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54" t="str">
        <f>IF(OR(NOTA[[#This Row],[QTY]]="",NOTA[[#This Row],[HARGA SATUAN]]="",),"",NOTA[[#This Row],[QTY]]*NOTA[[#This Row],[HARGA SATUAN]])</f>
        <v/>
      </c>
      <c r="AG900" s="51" t="str">
        <f ca="1">IF(NOTA[ID_H]="","",INDEX(NOTA[TANGGAL],MATCH(,INDIRECT(ADDRESS(ROW(NOTA[TANGGAL]),COLUMN(NOTA[TANGGAL]))&amp;":"&amp;ADDRESS(ROW(),COLUMN(NOTA[TANGGAL]))),-1)))</f>
        <v/>
      </c>
      <c r="AH900" s="49" t="str">
        <f ca="1">IF(NOTA[[#This Row],[NAMA BARANG]]="","",INDEX(NOTA[SUPPLIER],MATCH(,INDIRECT(ADDRESS(ROW(NOTA[ID]),COLUMN(NOTA[ID]))&amp;":"&amp;ADDRESS(ROW(),COLUMN(NOTA[ID]))),-1)))</f>
        <v/>
      </c>
      <c r="AI900" s="49" t="str">
        <f ca="1">IF(NOTA[[#This Row],[ID_H]]="","",IF(NOTA[[#This Row],[FAKTUR]]="",INDIRECT(ADDRESS(ROW()-1,COLUMN())),NOTA[[#This Row],[FAKTUR]]))</f>
        <v/>
      </c>
      <c r="AJ900" s="38" t="str">
        <f ca="1">IF(NOTA[[#This Row],[ID]]="","",COUNTIF(NOTA[ID_H],NOTA[[#This Row],[ID_H]]))</f>
        <v/>
      </c>
      <c r="AK900" s="38" t="str">
        <f ca="1">IF(NOTA[[#This Row],[TGL.NOTA]]="",IF(NOTA[[#This Row],[SUPPLIER_H]]="","",AK899),MONTH(NOTA[[#This Row],[TGL.NOTA]]))</f>
        <v/>
      </c>
      <c r="AL900" s="38" t="str">
        <f>LOWER(SUBSTITUTE(SUBSTITUTE(SUBSTITUTE(SUBSTITUTE(SUBSTITUTE(SUBSTITUTE(SUBSTITUTE(SUBSTITUTE(SUBSTITUTE(NOTA[NAMA BARANG]," ",),".",""),"-",""),"(",""),")",""),",",""),"/",""),"""",""),"+",""))</f>
        <v/>
      </c>
      <c r="AM90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0" s="184" t="str">
        <f>IF(NOTA[[#This Row],[CONCAT1]]="","",MATCH(NOTA[[#This Row],[CONCAT1]],[1]!db[NB NOTA_C],0)+1)</f>
        <v/>
      </c>
    </row>
    <row r="901" spans="1:40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Row],[CEK_EXP]]&lt;D900,"err","")</f>
        <v/>
      </c>
      <c r="D901" s="50">
        <f>IF(NOTA[[#This Row],[TANGGAL]]="",D900,NOTA[[#This Row],[TANGGAL]])</f>
        <v>44959</v>
      </c>
      <c r="E901" s="50" t="str">
        <f ca="1">IF(NOTA[[#This Row],[NAMA BARANG]]="","",INDEX(NOTA[ID],MATCH(,INDIRECT(ADDRESS(ROW(NOTA[ID]),COLUMN(NOTA[ID]))&amp;":"&amp;ADDRESS(ROW(),COLUMN(NOTA[ID]))),-1)))</f>
        <v/>
      </c>
      <c r="F901" s="23"/>
      <c r="G901" s="26"/>
      <c r="H901" s="26"/>
      <c r="I901" s="31"/>
      <c r="J901" s="26"/>
      <c r="K901" s="51"/>
      <c r="L901" s="26"/>
      <c r="M901" s="26"/>
      <c r="N901" s="39"/>
      <c r="O901" s="26"/>
      <c r="P901" s="26"/>
      <c r="Q901" s="49"/>
      <c r="R901" s="52"/>
      <c r="S901" s="39"/>
      <c r="T901" s="53"/>
      <c r="U901" s="53"/>
      <c r="V901" s="54"/>
      <c r="W901" s="37"/>
      <c r="X901" s="54" t="str">
        <f>IF(NOTA[[#This Row],[HARGA/ CTN]]="",NOTA[[#This Row],[JUMLAH_H]],NOTA[[#This Row],[HARGA/ CTN]]*IF(NOTA[[#This Row],[C]]="",0,NOTA[[#This Row],[C]]))</f>
        <v/>
      </c>
      <c r="Y901" s="54" t="str">
        <f>IF(NOTA[[#This Row],[JUMLAH]]="","",NOTA[[#This Row],[JUMLAH]]*NOTA[[#This Row],[DISC 1]])</f>
        <v/>
      </c>
      <c r="Z901" s="54" t="str">
        <f>IF(NOTA[[#This Row],[JUMLAH]]="","",(NOTA[[#This Row],[JUMLAH]]-NOTA[[#This Row],[DISC 1-]])*NOTA[[#This Row],[DISC 2]])</f>
        <v/>
      </c>
      <c r="AA901" s="54" t="str">
        <f>IF(NOTA[[#This Row],[JUMLAH]]="","",NOTA[[#This Row],[DISC 1-]]+NOTA[[#This Row],[DISC 2-]])</f>
        <v/>
      </c>
      <c r="AB901" s="54" t="str">
        <f>IF(NOTA[[#This Row],[JUMLAH]]="","",NOTA[[#This Row],[JUMLAH]]-NOTA[[#This Row],[DISC]])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54" t="str">
        <f>IF(OR(NOTA[[#This Row],[QTY]]="",NOTA[[#This Row],[HARGA SATUAN]]="",),"",NOTA[[#This Row],[QTY]]*NOTA[[#This Row],[HARGA SATUAN]])</f>
        <v/>
      </c>
      <c r="AG901" s="51" t="str">
        <f ca="1">IF(NOTA[ID_H]="","",INDEX(NOTA[TANGGAL],MATCH(,INDIRECT(ADDRESS(ROW(NOTA[TANGGAL]),COLUMN(NOTA[TANGGAL]))&amp;":"&amp;ADDRESS(ROW(),COLUMN(NOTA[TANGGAL]))),-1)))</f>
        <v/>
      </c>
      <c r="AH901" s="49" t="str">
        <f ca="1">IF(NOTA[[#This Row],[NAMA BARANG]]="","",INDEX(NOTA[SUPPLIER],MATCH(,INDIRECT(ADDRESS(ROW(NOTA[ID]),COLUMN(NOTA[ID]))&amp;":"&amp;ADDRESS(ROW(),COLUMN(NOTA[ID]))),-1)))</f>
        <v/>
      </c>
      <c r="AI901" s="49" t="str">
        <f ca="1">IF(NOTA[[#This Row],[ID_H]]="","",IF(NOTA[[#This Row],[FAKTUR]]="",INDIRECT(ADDRESS(ROW()-1,COLUMN())),NOTA[[#This Row],[FAKTUR]]))</f>
        <v/>
      </c>
      <c r="AJ901" s="38" t="str">
        <f ca="1">IF(NOTA[[#This Row],[ID]]="","",COUNTIF(NOTA[ID_H],NOTA[[#This Row],[ID_H]]))</f>
        <v/>
      </c>
      <c r="AK901" s="38" t="str">
        <f ca="1">IF(NOTA[[#This Row],[TGL.NOTA]]="",IF(NOTA[[#This Row],[SUPPLIER_H]]="","",AK900),MONTH(NOTA[[#This Row],[TGL.NOTA]]))</f>
        <v/>
      </c>
      <c r="AL901" s="38" t="str">
        <f>LOWER(SUBSTITUTE(SUBSTITUTE(SUBSTITUTE(SUBSTITUTE(SUBSTITUTE(SUBSTITUTE(SUBSTITUTE(SUBSTITUTE(SUBSTITUTE(NOTA[NAMA BARANG]," ",),".",""),"-",""),"(",""),")",""),",",""),"/",""),"""",""),"+",""))</f>
        <v/>
      </c>
      <c r="AM90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1" s="184" t="str">
        <f>IF(NOTA[[#This Row],[CONCAT1]]="","",MATCH(NOTA[[#This Row],[CONCAT1]],[1]!db[NB NOTA_C],0)+1)</f>
        <v/>
      </c>
    </row>
    <row r="902" spans="1:40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Row],[CEK_EXP]]&lt;D901,"err","")</f>
        <v/>
      </c>
      <c r="D902" s="50">
        <f>IF(NOTA[[#This Row],[TANGGAL]]="",D901,NOTA[[#This Row],[TANGGAL]])</f>
        <v>44959</v>
      </c>
      <c r="E902" s="50" t="str">
        <f ca="1">IF(NOTA[[#This Row],[NAMA BARANG]]="","",INDEX(NOTA[ID],MATCH(,INDIRECT(ADDRESS(ROW(NOTA[ID]),COLUMN(NOTA[ID]))&amp;":"&amp;ADDRESS(ROW(),COLUMN(NOTA[ID]))),-1)))</f>
        <v/>
      </c>
      <c r="F902" s="23"/>
      <c r="G902" s="26"/>
      <c r="H902" s="26"/>
      <c r="I902" s="31"/>
      <c r="J902" s="26"/>
      <c r="K902" s="51"/>
      <c r="L902" s="26"/>
      <c r="M902" s="26"/>
      <c r="N902" s="39"/>
      <c r="O902" s="26"/>
      <c r="P902" s="26"/>
      <c r="Q902" s="49"/>
      <c r="R902" s="52"/>
      <c r="S902" s="39"/>
      <c r="T902" s="53"/>
      <c r="U902" s="53"/>
      <c r="V902" s="54"/>
      <c r="W902" s="37"/>
      <c r="X902" s="54" t="str">
        <f>IF(NOTA[[#This Row],[HARGA/ CTN]]="",NOTA[[#This Row],[JUMLAH_H]],NOTA[[#This Row],[HARGA/ CTN]]*IF(NOTA[[#This Row],[C]]="",0,NOTA[[#This Row],[C]]))</f>
        <v/>
      </c>
      <c r="Y902" s="54" t="str">
        <f>IF(NOTA[[#This Row],[JUMLAH]]="","",NOTA[[#This Row],[JUMLAH]]*NOTA[[#This Row],[DISC 1]])</f>
        <v/>
      </c>
      <c r="Z902" s="54" t="str">
        <f>IF(NOTA[[#This Row],[JUMLAH]]="","",(NOTA[[#This Row],[JUMLAH]]-NOTA[[#This Row],[DISC 1-]])*NOTA[[#This Row],[DISC 2]])</f>
        <v/>
      </c>
      <c r="AA902" s="54" t="str">
        <f>IF(NOTA[[#This Row],[JUMLAH]]="","",NOTA[[#This Row],[DISC 1-]]+NOTA[[#This Row],[DISC 2-]])</f>
        <v/>
      </c>
      <c r="AB902" s="54" t="str">
        <f>IF(NOTA[[#This Row],[JUMLAH]]="","",NOTA[[#This Row],[JUMLAH]]-NOTA[[#This Row],[DISC]])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54" t="str">
        <f>IF(OR(NOTA[[#This Row],[QTY]]="",NOTA[[#This Row],[HARGA SATUAN]]="",),"",NOTA[[#This Row],[QTY]]*NOTA[[#This Row],[HARGA SATUAN]])</f>
        <v/>
      </c>
      <c r="AG902" s="51" t="str">
        <f ca="1">IF(NOTA[ID_H]="","",INDEX(NOTA[TANGGAL],MATCH(,INDIRECT(ADDRESS(ROW(NOTA[TANGGAL]),COLUMN(NOTA[TANGGAL]))&amp;":"&amp;ADDRESS(ROW(),COLUMN(NOTA[TANGGAL]))),-1)))</f>
        <v/>
      </c>
      <c r="AH902" s="49" t="str">
        <f ca="1">IF(NOTA[[#This Row],[NAMA BARANG]]="","",INDEX(NOTA[SUPPLIER],MATCH(,INDIRECT(ADDRESS(ROW(NOTA[ID]),COLUMN(NOTA[ID]))&amp;":"&amp;ADDRESS(ROW(),COLUMN(NOTA[ID]))),-1)))</f>
        <v/>
      </c>
      <c r="AI902" s="49" t="str">
        <f ca="1">IF(NOTA[[#This Row],[ID_H]]="","",IF(NOTA[[#This Row],[FAKTUR]]="",INDIRECT(ADDRESS(ROW()-1,COLUMN())),NOTA[[#This Row],[FAKTUR]]))</f>
        <v/>
      </c>
      <c r="AJ902" s="38" t="str">
        <f ca="1">IF(NOTA[[#This Row],[ID]]="","",COUNTIF(NOTA[ID_H],NOTA[[#This Row],[ID_H]]))</f>
        <v/>
      </c>
      <c r="AK902" s="38" t="str">
        <f ca="1">IF(NOTA[[#This Row],[TGL.NOTA]]="",IF(NOTA[[#This Row],[SUPPLIER_H]]="","",AK901),MONTH(NOTA[[#This Row],[TGL.NOTA]]))</f>
        <v/>
      </c>
      <c r="AL902" s="38" t="str">
        <f>LOWER(SUBSTITUTE(SUBSTITUTE(SUBSTITUTE(SUBSTITUTE(SUBSTITUTE(SUBSTITUTE(SUBSTITUTE(SUBSTITUTE(SUBSTITUTE(NOTA[NAMA BARANG]," ",),".",""),"-",""),"(",""),")",""),",",""),"/",""),"""",""),"+",""))</f>
        <v/>
      </c>
      <c r="AM90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2" s="184" t="str">
        <f>IF(NOTA[[#This Row],[CONCAT1]]="","",MATCH(NOTA[[#This Row],[CONCAT1]],[1]!db[NB NOTA_C],0)+1)</f>
        <v/>
      </c>
    </row>
    <row r="903" spans="1:40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Row],[CEK_EXP]]&lt;D902,"err","")</f>
        <v/>
      </c>
      <c r="D903" s="50">
        <f>IF(NOTA[[#This Row],[TANGGAL]]="",D902,NOTA[[#This Row],[TANGGAL]])</f>
        <v>44959</v>
      </c>
      <c r="E903" s="50" t="str">
        <f ca="1">IF(NOTA[[#This Row],[NAMA BARANG]]="","",INDEX(NOTA[ID],MATCH(,INDIRECT(ADDRESS(ROW(NOTA[ID]),COLUMN(NOTA[ID]))&amp;":"&amp;ADDRESS(ROW(),COLUMN(NOTA[ID]))),-1)))</f>
        <v/>
      </c>
      <c r="F903" s="23"/>
      <c r="G903" s="26"/>
      <c r="H903" s="26"/>
      <c r="I903" s="31"/>
      <c r="J903" s="26"/>
      <c r="K903" s="51"/>
      <c r="L903" s="26"/>
      <c r="M903" s="26"/>
      <c r="N903" s="39"/>
      <c r="O903" s="26"/>
      <c r="P903" s="26"/>
      <c r="Q903" s="49"/>
      <c r="R903" s="52"/>
      <c r="S903" s="39"/>
      <c r="T903" s="53"/>
      <c r="U903" s="53"/>
      <c r="V903" s="54"/>
      <c r="W903" s="37"/>
      <c r="X903" s="54" t="str">
        <f>IF(NOTA[[#This Row],[HARGA/ CTN]]="",NOTA[[#This Row],[JUMLAH_H]],NOTA[[#This Row],[HARGA/ CTN]]*IF(NOTA[[#This Row],[C]]="",0,NOTA[[#This Row],[C]]))</f>
        <v/>
      </c>
      <c r="Y903" s="54" t="str">
        <f>IF(NOTA[[#This Row],[JUMLAH]]="","",NOTA[[#This Row],[JUMLAH]]*NOTA[[#This Row],[DISC 1]])</f>
        <v/>
      </c>
      <c r="Z903" s="54" t="str">
        <f>IF(NOTA[[#This Row],[JUMLAH]]="","",(NOTA[[#This Row],[JUMLAH]]-NOTA[[#This Row],[DISC 1-]])*NOTA[[#This Row],[DISC 2]])</f>
        <v/>
      </c>
      <c r="AA903" s="54" t="str">
        <f>IF(NOTA[[#This Row],[JUMLAH]]="","",NOTA[[#This Row],[DISC 1-]]+NOTA[[#This Row],[DISC 2-]])</f>
        <v/>
      </c>
      <c r="AB903" s="54" t="str">
        <f>IF(NOTA[[#This Row],[JUMLAH]]="","",NOTA[[#This Row],[JUMLAH]]-NOTA[[#This Row],[DISC]])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54" t="str">
        <f>IF(OR(NOTA[[#This Row],[QTY]]="",NOTA[[#This Row],[HARGA SATUAN]]="",),"",NOTA[[#This Row],[QTY]]*NOTA[[#This Row],[HARGA SATUAN]])</f>
        <v/>
      </c>
      <c r="AG903" s="51" t="str">
        <f ca="1">IF(NOTA[ID_H]="","",INDEX(NOTA[TANGGAL],MATCH(,INDIRECT(ADDRESS(ROW(NOTA[TANGGAL]),COLUMN(NOTA[TANGGAL]))&amp;":"&amp;ADDRESS(ROW(),COLUMN(NOTA[TANGGAL]))),-1)))</f>
        <v/>
      </c>
      <c r="AH903" s="49" t="str">
        <f ca="1">IF(NOTA[[#This Row],[NAMA BARANG]]="","",INDEX(NOTA[SUPPLIER],MATCH(,INDIRECT(ADDRESS(ROW(NOTA[ID]),COLUMN(NOTA[ID]))&amp;":"&amp;ADDRESS(ROW(),COLUMN(NOTA[ID]))),-1)))</f>
        <v/>
      </c>
      <c r="AI903" s="49" t="str">
        <f ca="1">IF(NOTA[[#This Row],[ID_H]]="","",IF(NOTA[[#This Row],[FAKTUR]]="",INDIRECT(ADDRESS(ROW()-1,COLUMN())),NOTA[[#This Row],[FAKTUR]]))</f>
        <v/>
      </c>
      <c r="AJ903" s="38" t="str">
        <f ca="1">IF(NOTA[[#This Row],[ID]]="","",COUNTIF(NOTA[ID_H],NOTA[[#This Row],[ID_H]]))</f>
        <v/>
      </c>
      <c r="AK903" s="38" t="str">
        <f ca="1">IF(NOTA[[#This Row],[TGL.NOTA]]="",IF(NOTA[[#This Row],[SUPPLIER_H]]="","",AK902),MONTH(NOTA[[#This Row],[TGL.NOTA]]))</f>
        <v/>
      </c>
      <c r="AL903" s="38" t="str">
        <f>LOWER(SUBSTITUTE(SUBSTITUTE(SUBSTITUTE(SUBSTITUTE(SUBSTITUTE(SUBSTITUTE(SUBSTITUTE(SUBSTITUTE(SUBSTITUTE(NOTA[NAMA BARANG]," ",),".",""),"-",""),"(",""),")",""),",",""),"/",""),"""",""),"+",""))</f>
        <v/>
      </c>
      <c r="AM90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3" s="184" t="str">
        <f>IF(NOTA[[#This Row],[CONCAT1]]="","",MATCH(NOTA[[#This Row],[CONCAT1]],[1]!db[NB NOTA_C],0)+1)</f>
        <v/>
      </c>
    </row>
    <row r="904" spans="1:40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Row],[CEK_EXP]]&lt;D903,"err","")</f>
        <v/>
      </c>
      <c r="D904" s="50">
        <f>IF(NOTA[[#This Row],[TANGGAL]]="",D903,NOTA[[#This Row],[TANGGAL]])</f>
        <v>44959</v>
      </c>
      <c r="E904" s="50" t="str">
        <f ca="1">IF(NOTA[[#This Row],[NAMA BARANG]]="","",INDEX(NOTA[ID],MATCH(,INDIRECT(ADDRESS(ROW(NOTA[ID]),COLUMN(NOTA[ID]))&amp;":"&amp;ADDRESS(ROW(),COLUMN(NOTA[ID]))),-1)))</f>
        <v/>
      </c>
      <c r="F904" s="23"/>
      <c r="G904" s="26"/>
      <c r="H904" s="26"/>
      <c r="I904" s="31"/>
      <c r="J904" s="26"/>
      <c r="K904" s="51"/>
      <c r="L904" s="26"/>
      <c r="M904" s="26"/>
      <c r="N904" s="39"/>
      <c r="O904" s="26"/>
      <c r="P904" s="26"/>
      <c r="Q904" s="49"/>
      <c r="R904" s="52"/>
      <c r="S904" s="39"/>
      <c r="T904" s="53"/>
      <c r="U904" s="53"/>
      <c r="V904" s="54"/>
      <c r="W904" s="37"/>
      <c r="X904" s="54" t="str">
        <f>IF(NOTA[[#This Row],[HARGA/ CTN]]="",NOTA[[#This Row],[JUMLAH_H]],NOTA[[#This Row],[HARGA/ CTN]]*IF(NOTA[[#This Row],[C]]="",0,NOTA[[#This Row],[C]]))</f>
        <v/>
      </c>
      <c r="Y904" s="54" t="str">
        <f>IF(NOTA[[#This Row],[JUMLAH]]="","",NOTA[[#This Row],[JUMLAH]]*NOTA[[#This Row],[DISC 1]])</f>
        <v/>
      </c>
      <c r="Z904" s="54" t="str">
        <f>IF(NOTA[[#This Row],[JUMLAH]]="","",(NOTA[[#This Row],[JUMLAH]]-NOTA[[#This Row],[DISC 1-]])*NOTA[[#This Row],[DISC 2]])</f>
        <v/>
      </c>
      <c r="AA904" s="54" t="str">
        <f>IF(NOTA[[#This Row],[JUMLAH]]="","",NOTA[[#This Row],[DISC 1-]]+NOTA[[#This Row],[DISC 2-]])</f>
        <v/>
      </c>
      <c r="AB904" s="54" t="str">
        <f>IF(NOTA[[#This Row],[JUMLAH]]="","",NOTA[[#This Row],[JUMLAH]]-NOTA[[#This Row],[DISC]])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54" t="str">
        <f>IF(OR(NOTA[[#This Row],[QTY]]="",NOTA[[#This Row],[HARGA SATUAN]]="",),"",NOTA[[#This Row],[QTY]]*NOTA[[#This Row],[HARGA SATUAN]])</f>
        <v/>
      </c>
      <c r="AG904" s="51" t="str">
        <f ca="1">IF(NOTA[ID_H]="","",INDEX(NOTA[TANGGAL],MATCH(,INDIRECT(ADDRESS(ROW(NOTA[TANGGAL]),COLUMN(NOTA[TANGGAL]))&amp;":"&amp;ADDRESS(ROW(),COLUMN(NOTA[TANGGAL]))),-1)))</f>
        <v/>
      </c>
      <c r="AH904" s="49" t="str">
        <f ca="1">IF(NOTA[[#This Row],[NAMA BARANG]]="","",INDEX(NOTA[SUPPLIER],MATCH(,INDIRECT(ADDRESS(ROW(NOTA[ID]),COLUMN(NOTA[ID]))&amp;":"&amp;ADDRESS(ROW(),COLUMN(NOTA[ID]))),-1)))</f>
        <v/>
      </c>
      <c r="AI904" s="49" t="str">
        <f ca="1">IF(NOTA[[#This Row],[ID_H]]="","",IF(NOTA[[#This Row],[FAKTUR]]="",INDIRECT(ADDRESS(ROW()-1,COLUMN())),NOTA[[#This Row],[FAKTUR]]))</f>
        <v/>
      </c>
      <c r="AJ904" s="38" t="str">
        <f ca="1">IF(NOTA[[#This Row],[ID]]="","",COUNTIF(NOTA[ID_H],NOTA[[#This Row],[ID_H]]))</f>
        <v/>
      </c>
      <c r="AK904" s="38" t="str">
        <f ca="1">IF(NOTA[[#This Row],[TGL.NOTA]]="",IF(NOTA[[#This Row],[SUPPLIER_H]]="","",AK903),MONTH(NOTA[[#This Row],[TGL.NOTA]]))</f>
        <v/>
      </c>
      <c r="AL904" s="38" t="str">
        <f>LOWER(SUBSTITUTE(SUBSTITUTE(SUBSTITUTE(SUBSTITUTE(SUBSTITUTE(SUBSTITUTE(SUBSTITUTE(SUBSTITUTE(SUBSTITUTE(NOTA[NAMA BARANG]," ",),".",""),"-",""),"(",""),")",""),",",""),"/",""),"""",""),"+",""))</f>
        <v/>
      </c>
      <c r="AM90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4" s="184" t="str">
        <f>IF(NOTA[[#This Row],[CONCAT1]]="","",MATCH(NOTA[[#This Row],[CONCAT1]],[1]!db[NB NOTA_C],0)+1)</f>
        <v/>
      </c>
    </row>
    <row r="905" spans="1:40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Row],[CEK_EXP]]&lt;D904,"err","")</f>
        <v/>
      </c>
      <c r="D905" s="50">
        <f>IF(NOTA[[#This Row],[TANGGAL]]="",D904,NOTA[[#This Row],[TANGGAL]])</f>
        <v>44959</v>
      </c>
      <c r="E905" s="50" t="str">
        <f ca="1">IF(NOTA[[#This Row],[NAMA BARANG]]="","",INDEX(NOTA[ID],MATCH(,INDIRECT(ADDRESS(ROW(NOTA[ID]),COLUMN(NOTA[ID]))&amp;":"&amp;ADDRESS(ROW(),COLUMN(NOTA[ID]))),-1)))</f>
        <v/>
      </c>
      <c r="F905" s="23"/>
      <c r="G905" s="26"/>
      <c r="H905" s="26"/>
      <c r="I905" s="31"/>
      <c r="J905" s="26"/>
      <c r="K905" s="51"/>
      <c r="L905" s="26"/>
      <c r="M905" s="26"/>
      <c r="N905" s="39"/>
      <c r="O905" s="26"/>
      <c r="P905" s="26"/>
      <c r="Q905" s="49"/>
      <c r="R905" s="52"/>
      <c r="S905" s="39"/>
      <c r="T905" s="53"/>
      <c r="U905" s="53"/>
      <c r="V905" s="54"/>
      <c r="W905" s="37"/>
      <c r="X905" s="54" t="str">
        <f>IF(NOTA[[#This Row],[HARGA/ CTN]]="",NOTA[[#This Row],[JUMLAH_H]],NOTA[[#This Row],[HARGA/ CTN]]*IF(NOTA[[#This Row],[C]]="",0,NOTA[[#This Row],[C]]))</f>
        <v/>
      </c>
      <c r="Y905" s="54" t="str">
        <f>IF(NOTA[[#This Row],[JUMLAH]]="","",NOTA[[#This Row],[JUMLAH]]*NOTA[[#This Row],[DISC 1]])</f>
        <v/>
      </c>
      <c r="Z905" s="54" t="str">
        <f>IF(NOTA[[#This Row],[JUMLAH]]="","",(NOTA[[#This Row],[JUMLAH]]-NOTA[[#This Row],[DISC 1-]])*NOTA[[#This Row],[DISC 2]])</f>
        <v/>
      </c>
      <c r="AA905" s="54" t="str">
        <f>IF(NOTA[[#This Row],[JUMLAH]]="","",NOTA[[#This Row],[DISC 1-]]+NOTA[[#This Row],[DISC 2-]])</f>
        <v/>
      </c>
      <c r="AB905" s="54" t="str">
        <f>IF(NOTA[[#This Row],[JUMLAH]]="","",NOTA[[#This Row],[JUMLAH]]-NOTA[[#This Row],[DISC]])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54" t="str">
        <f>IF(OR(NOTA[[#This Row],[QTY]]="",NOTA[[#This Row],[HARGA SATUAN]]="",),"",NOTA[[#This Row],[QTY]]*NOTA[[#This Row],[HARGA SATUAN]])</f>
        <v/>
      </c>
      <c r="AG905" s="51" t="str">
        <f ca="1">IF(NOTA[ID_H]="","",INDEX(NOTA[TANGGAL],MATCH(,INDIRECT(ADDRESS(ROW(NOTA[TANGGAL]),COLUMN(NOTA[TANGGAL]))&amp;":"&amp;ADDRESS(ROW(),COLUMN(NOTA[TANGGAL]))),-1)))</f>
        <v/>
      </c>
      <c r="AH905" s="49" t="str">
        <f ca="1">IF(NOTA[[#This Row],[NAMA BARANG]]="","",INDEX(NOTA[SUPPLIER],MATCH(,INDIRECT(ADDRESS(ROW(NOTA[ID]),COLUMN(NOTA[ID]))&amp;":"&amp;ADDRESS(ROW(),COLUMN(NOTA[ID]))),-1)))</f>
        <v/>
      </c>
      <c r="AI905" s="49" t="str">
        <f ca="1">IF(NOTA[[#This Row],[ID_H]]="","",IF(NOTA[[#This Row],[FAKTUR]]="",INDIRECT(ADDRESS(ROW()-1,COLUMN())),NOTA[[#This Row],[FAKTUR]]))</f>
        <v/>
      </c>
      <c r="AJ905" s="38" t="str">
        <f ca="1">IF(NOTA[[#This Row],[ID]]="","",COUNTIF(NOTA[ID_H],NOTA[[#This Row],[ID_H]]))</f>
        <v/>
      </c>
      <c r="AK905" s="38" t="str">
        <f ca="1">IF(NOTA[[#This Row],[TGL.NOTA]]="",IF(NOTA[[#This Row],[SUPPLIER_H]]="","",AK904),MONTH(NOTA[[#This Row],[TGL.NOTA]]))</f>
        <v/>
      </c>
      <c r="AL905" s="38" t="str">
        <f>LOWER(SUBSTITUTE(SUBSTITUTE(SUBSTITUTE(SUBSTITUTE(SUBSTITUTE(SUBSTITUTE(SUBSTITUTE(SUBSTITUTE(SUBSTITUTE(NOTA[NAMA BARANG]," ",),".",""),"-",""),"(",""),")",""),",",""),"/",""),"""",""),"+",""))</f>
        <v/>
      </c>
      <c r="AM90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5" s="184" t="str">
        <f>IF(NOTA[[#This Row],[CONCAT1]]="","",MATCH(NOTA[[#This Row],[CONCAT1]],[1]!db[NB NOTA_C],0)+1)</f>
        <v/>
      </c>
    </row>
    <row r="906" spans="1:40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130" t="str">
        <f>IF(NOTA[[#This Row],[CEK_EXP]]&lt;D905,"err","")</f>
        <v/>
      </c>
      <c r="D906" s="130">
        <f>IF(NOTA[[#This Row],[TANGGAL]]="",D905,NOTA[[#This Row],[TANGGAL]])</f>
        <v>44959</v>
      </c>
      <c r="E906" s="130" t="str">
        <f ca="1">IF(NOTA[[#This Row],[NAMA BARANG]]="","",INDEX(NOTA[ID],MATCH(,INDIRECT(ADDRESS(ROW(NOTA[ID]),COLUMN(NOTA[ID]))&amp;":"&amp;ADDRESS(ROW(),COLUMN(NOTA[ID]))),-1)))</f>
        <v/>
      </c>
      <c r="F906" s="131"/>
      <c r="G906" s="132"/>
      <c r="H906" s="132"/>
      <c r="I906" s="133"/>
      <c r="J906" s="132"/>
      <c r="K906" s="134"/>
      <c r="L906" s="132"/>
      <c r="M906" s="132"/>
      <c r="N906" s="135"/>
      <c r="O906" s="132"/>
      <c r="P906" s="132"/>
      <c r="Q906" s="129"/>
      <c r="R906" s="136"/>
      <c r="S906" s="135"/>
      <c r="T906" s="137"/>
      <c r="U906" s="137"/>
      <c r="V906" s="138"/>
      <c r="W906" s="37"/>
      <c r="X906" s="138" t="str">
        <f>IF(NOTA[[#This Row],[HARGA/ CTN]]="",NOTA[[#This Row],[JUMLAH_H]],NOTA[[#This Row],[HARGA/ CTN]]*IF(NOTA[[#This Row],[C]]="",0,NOTA[[#This Row],[C]]))</f>
        <v/>
      </c>
      <c r="Y906" s="138" t="str">
        <f>IF(NOTA[[#This Row],[JUMLAH]]="","",NOTA[[#This Row],[JUMLAH]]*NOTA[[#This Row],[DISC 1]])</f>
        <v/>
      </c>
      <c r="Z906" s="138" t="str">
        <f>IF(NOTA[[#This Row],[JUMLAH]]="","",(NOTA[[#This Row],[JUMLAH]]-NOTA[[#This Row],[DISC 1-]])*NOTA[[#This Row],[DISC 2]])</f>
        <v/>
      </c>
      <c r="AA906" s="138" t="str">
        <f>IF(NOTA[[#This Row],[JUMLAH]]="","",NOTA[[#This Row],[DISC 1-]]+NOTA[[#This Row],[DISC 2-]])</f>
        <v/>
      </c>
      <c r="AB906" s="138" t="str">
        <f>IF(NOTA[[#This Row],[JUMLAH]]="","",NOTA[[#This Row],[JUMLAH]]-NOTA[[#This Row],[DISC]])</f>
        <v/>
      </c>
      <c r="AC90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138" t="str">
        <f>IF(OR(NOTA[[#This Row],[QTY]]="",NOTA[[#This Row],[HARGA SATUAN]]="",),"",NOTA[[#This Row],[QTY]]*NOTA[[#This Row],[HARGA SATUAN]])</f>
        <v/>
      </c>
      <c r="AG906" s="134" t="str">
        <f ca="1">IF(NOTA[ID_H]="","",INDEX(NOTA[TANGGAL],MATCH(,INDIRECT(ADDRESS(ROW(NOTA[TANGGAL]),COLUMN(NOTA[TANGGAL]))&amp;":"&amp;ADDRESS(ROW(),COLUMN(NOTA[TANGGAL]))),-1)))</f>
        <v/>
      </c>
      <c r="AH906" s="129" t="str">
        <f ca="1">IF(NOTA[[#This Row],[NAMA BARANG]]="","",INDEX(NOTA[SUPPLIER],MATCH(,INDIRECT(ADDRESS(ROW(NOTA[ID]),COLUMN(NOTA[ID]))&amp;":"&amp;ADDRESS(ROW(),COLUMN(NOTA[ID]))),-1)))</f>
        <v/>
      </c>
      <c r="AI906" s="129" t="str">
        <f ca="1">IF(NOTA[[#This Row],[ID_H]]="","",IF(NOTA[[#This Row],[FAKTUR]]="",INDIRECT(ADDRESS(ROW()-1,COLUMN())),NOTA[[#This Row],[FAKTUR]]))</f>
        <v/>
      </c>
      <c r="AJ906" s="38" t="str">
        <f ca="1">IF(NOTA[[#This Row],[ID]]="","",COUNTIF(NOTA[ID_H],NOTA[[#This Row],[ID_H]]))</f>
        <v/>
      </c>
      <c r="AK906" s="38" t="str">
        <f ca="1">IF(NOTA[[#This Row],[TGL.NOTA]]="",IF(NOTA[[#This Row],[SUPPLIER_H]]="","",AK905),MONTH(NOTA[[#This Row],[TGL.NOTA]]))</f>
        <v/>
      </c>
      <c r="AL906" s="38" t="str">
        <f>LOWER(SUBSTITUTE(SUBSTITUTE(SUBSTITUTE(SUBSTITUTE(SUBSTITUTE(SUBSTITUTE(SUBSTITUTE(SUBSTITUTE(SUBSTITUTE(NOTA[NAMA BARANG]," ",),".",""),"-",""),"(",""),")",""),",",""),"/",""),"""",""),"+",""))</f>
        <v/>
      </c>
      <c r="AM90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6" s="184" t="str">
        <f>IF(NOTA[[#This Row],[CONCAT1]]="","",MATCH(NOTA[[#This Row],[CONCAT1]],[1]!db[NB NOTA_C],0)+1)</f>
        <v/>
      </c>
    </row>
    <row r="907" spans="1:40" ht="20.100000000000001" customHeight="1" x14ac:dyDescent="0.25">
      <c r="A90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130" t="str">
        <f>IF(NOTA[[#This Row],[CEK_EXP]]&lt;D906,"err","")</f>
        <v/>
      </c>
      <c r="D907" s="130">
        <f>IF(NOTA[[#This Row],[TANGGAL]]="",D906,NOTA[[#This Row],[TANGGAL]])</f>
        <v>44959</v>
      </c>
      <c r="E907" s="130" t="str">
        <f ca="1">IF(NOTA[[#This Row],[NAMA BARANG]]="","",INDEX(NOTA[ID],MATCH(,INDIRECT(ADDRESS(ROW(NOTA[ID]),COLUMN(NOTA[ID]))&amp;":"&amp;ADDRESS(ROW(),COLUMN(NOTA[ID]))),-1)))</f>
        <v/>
      </c>
      <c r="F907" s="131"/>
      <c r="G907" s="132"/>
      <c r="H907" s="132"/>
      <c r="I907" s="133"/>
      <c r="J907" s="132"/>
      <c r="K907" s="134"/>
      <c r="L907" s="132"/>
      <c r="M907" s="132"/>
      <c r="N907" s="135"/>
      <c r="O907" s="132"/>
      <c r="P907" s="132"/>
      <c r="Q907" s="129"/>
      <c r="R907" s="136"/>
      <c r="S907" s="135"/>
      <c r="T907" s="137"/>
      <c r="U907" s="137"/>
      <c r="V907" s="138"/>
      <c r="W907" s="37"/>
      <c r="X907" s="138" t="str">
        <f>IF(NOTA[[#This Row],[HARGA/ CTN]]="",NOTA[[#This Row],[JUMLAH_H]],NOTA[[#This Row],[HARGA/ CTN]]*IF(NOTA[[#This Row],[C]]="",0,NOTA[[#This Row],[C]]))</f>
        <v/>
      </c>
      <c r="Y907" s="138" t="str">
        <f>IF(NOTA[[#This Row],[JUMLAH]]="","",NOTA[[#This Row],[JUMLAH]]*NOTA[[#This Row],[DISC 1]])</f>
        <v/>
      </c>
      <c r="Z907" s="138" t="str">
        <f>IF(NOTA[[#This Row],[JUMLAH]]="","",(NOTA[[#This Row],[JUMLAH]]-NOTA[[#This Row],[DISC 1-]])*NOTA[[#This Row],[DISC 2]])</f>
        <v/>
      </c>
      <c r="AA907" s="138" t="str">
        <f>IF(NOTA[[#This Row],[JUMLAH]]="","",NOTA[[#This Row],[DISC 1-]]+NOTA[[#This Row],[DISC 2-]])</f>
        <v/>
      </c>
      <c r="AB907" s="138" t="str">
        <f>IF(NOTA[[#This Row],[JUMLAH]]="","",NOTA[[#This Row],[JUMLAH]]-NOTA[[#This Row],[DISC]])</f>
        <v/>
      </c>
      <c r="AC90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138" t="str">
        <f>IF(OR(NOTA[[#This Row],[QTY]]="",NOTA[[#This Row],[HARGA SATUAN]]="",),"",NOTA[[#This Row],[QTY]]*NOTA[[#This Row],[HARGA SATUAN]])</f>
        <v/>
      </c>
      <c r="AG907" s="134" t="str">
        <f ca="1">IF(NOTA[ID_H]="","",INDEX(NOTA[TANGGAL],MATCH(,INDIRECT(ADDRESS(ROW(NOTA[TANGGAL]),COLUMN(NOTA[TANGGAL]))&amp;":"&amp;ADDRESS(ROW(),COLUMN(NOTA[TANGGAL]))),-1)))</f>
        <v/>
      </c>
      <c r="AH907" s="129" t="str">
        <f ca="1">IF(NOTA[[#This Row],[NAMA BARANG]]="","",INDEX(NOTA[SUPPLIER],MATCH(,INDIRECT(ADDRESS(ROW(NOTA[ID]),COLUMN(NOTA[ID]))&amp;":"&amp;ADDRESS(ROW(),COLUMN(NOTA[ID]))),-1)))</f>
        <v/>
      </c>
      <c r="AI907" s="129" t="str">
        <f ca="1">IF(NOTA[[#This Row],[ID_H]]="","",IF(NOTA[[#This Row],[FAKTUR]]="",INDIRECT(ADDRESS(ROW()-1,COLUMN())),NOTA[[#This Row],[FAKTUR]]))</f>
        <v/>
      </c>
      <c r="AJ907" s="38" t="str">
        <f ca="1">IF(NOTA[[#This Row],[ID]]="","",COUNTIF(NOTA[ID_H],NOTA[[#This Row],[ID_H]]))</f>
        <v/>
      </c>
      <c r="AK907" s="38" t="str">
        <f ca="1">IF(NOTA[[#This Row],[TGL.NOTA]]="",IF(NOTA[[#This Row],[SUPPLIER_H]]="","",AK906),MONTH(NOTA[[#This Row],[TGL.NOTA]]))</f>
        <v/>
      </c>
      <c r="AL907" s="38" t="str">
        <f>LOWER(SUBSTITUTE(SUBSTITUTE(SUBSTITUTE(SUBSTITUTE(SUBSTITUTE(SUBSTITUTE(SUBSTITUTE(SUBSTITUTE(SUBSTITUTE(NOTA[NAMA BARANG]," ",),".",""),"-",""),"(",""),")",""),",",""),"/",""),"""",""),"+",""))</f>
        <v/>
      </c>
      <c r="AM90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7" s="184" t="str">
        <f>IF(NOTA[[#This Row],[CONCAT1]]="","",MATCH(NOTA[[#This Row],[CONCAT1]],[1]!db[NB NOTA_C],0)+1)</f>
        <v/>
      </c>
    </row>
    <row r="908" spans="1:40" ht="20.100000000000001" customHeight="1" x14ac:dyDescent="0.25">
      <c r="A90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130" t="str">
        <f>IF(NOTA[[#This Row],[CEK_EXP]]&lt;D907,"err","")</f>
        <v/>
      </c>
      <c r="D908" s="130">
        <f>IF(NOTA[[#This Row],[TANGGAL]]="",D907,NOTA[[#This Row],[TANGGAL]])</f>
        <v>44959</v>
      </c>
      <c r="E908" s="130" t="str">
        <f ca="1">IF(NOTA[[#This Row],[NAMA BARANG]]="","",INDEX(NOTA[ID],MATCH(,INDIRECT(ADDRESS(ROW(NOTA[ID]),COLUMN(NOTA[ID]))&amp;":"&amp;ADDRESS(ROW(),COLUMN(NOTA[ID]))),-1)))</f>
        <v/>
      </c>
      <c r="F908" s="131"/>
      <c r="G908" s="132"/>
      <c r="H908" s="132"/>
      <c r="I908" s="133"/>
      <c r="J908" s="132"/>
      <c r="K908" s="134"/>
      <c r="L908" s="132"/>
      <c r="M908" s="132"/>
      <c r="N908" s="135"/>
      <c r="O908" s="132"/>
      <c r="P908" s="132"/>
      <c r="Q908" s="129"/>
      <c r="R908" s="136"/>
      <c r="S908" s="135"/>
      <c r="T908" s="137"/>
      <c r="U908" s="137"/>
      <c r="V908" s="138"/>
      <c r="W908" s="37"/>
      <c r="X908" s="138" t="str">
        <f>IF(NOTA[[#This Row],[HARGA/ CTN]]="",NOTA[[#This Row],[JUMLAH_H]],NOTA[[#This Row],[HARGA/ CTN]]*IF(NOTA[[#This Row],[C]]="",0,NOTA[[#This Row],[C]]))</f>
        <v/>
      </c>
      <c r="Y908" s="138" t="str">
        <f>IF(NOTA[[#This Row],[JUMLAH]]="","",NOTA[[#This Row],[JUMLAH]]*NOTA[[#This Row],[DISC 1]])</f>
        <v/>
      </c>
      <c r="Z908" s="138" t="str">
        <f>IF(NOTA[[#This Row],[JUMLAH]]="","",(NOTA[[#This Row],[JUMLAH]]-NOTA[[#This Row],[DISC 1-]])*NOTA[[#This Row],[DISC 2]])</f>
        <v/>
      </c>
      <c r="AA908" s="138" t="str">
        <f>IF(NOTA[[#This Row],[JUMLAH]]="","",NOTA[[#This Row],[DISC 1-]]+NOTA[[#This Row],[DISC 2-]])</f>
        <v/>
      </c>
      <c r="AB908" s="138" t="str">
        <f>IF(NOTA[[#This Row],[JUMLAH]]="","",NOTA[[#This Row],[JUMLAH]]-NOTA[[#This Row],[DISC]])</f>
        <v/>
      </c>
      <c r="AC90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138" t="str">
        <f>IF(OR(NOTA[[#This Row],[QTY]]="",NOTA[[#This Row],[HARGA SATUAN]]="",),"",NOTA[[#This Row],[QTY]]*NOTA[[#This Row],[HARGA SATUAN]])</f>
        <v/>
      </c>
      <c r="AG908" s="134" t="str">
        <f ca="1">IF(NOTA[ID_H]="","",INDEX(NOTA[TANGGAL],MATCH(,INDIRECT(ADDRESS(ROW(NOTA[TANGGAL]),COLUMN(NOTA[TANGGAL]))&amp;":"&amp;ADDRESS(ROW(),COLUMN(NOTA[TANGGAL]))),-1)))</f>
        <v/>
      </c>
      <c r="AH908" s="129" t="str">
        <f ca="1">IF(NOTA[[#This Row],[NAMA BARANG]]="","",INDEX(NOTA[SUPPLIER],MATCH(,INDIRECT(ADDRESS(ROW(NOTA[ID]),COLUMN(NOTA[ID]))&amp;":"&amp;ADDRESS(ROW(),COLUMN(NOTA[ID]))),-1)))</f>
        <v/>
      </c>
      <c r="AI908" s="129" t="str">
        <f ca="1">IF(NOTA[[#This Row],[ID_H]]="","",IF(NOTA[[#This Row],[FAKTUR]]="",INDIRECT(ADDRESS(ROW()-1,COLUMN())),NOTA[[#This Row],[FAKTUR]]))</f>
        <v/>
      </c>
      <c r="AJ908" s="38" t="str">
        <f ca="1">IF(NOTA[[#This Row],[ID]]="","",COUNTIF(NOTA[ID_H],NOTA[[#This Row],[ID_H]]))</f>
        <v/>
      </c>
      <c r="AK908" s="38" t="str">
        <f ca="1">IF(NOTA[[#This Row],[TGL.NOTA]]="",IF(NOTA[[#This Row],[SUPPLIER_H]]="","",AK907),MONTH(NOTA[[#This Row],[TGL.NOTA]]))</f>
        <v/>
      </c>
      <c r="AL908" s="38" t="str">
        <f>LOWER(SUBSTITUTE(SUBSTITUTE(SUBSTITUTE(SUBSTITUTE(SUBSTITUTE(SUBSTITUTE(SUBSTITUTE(SUBSTITUTE(SUBSTITUTE(NOTA[NAMA BARANG]," ",),".",""),"-",""),"(",""),")",""),",",""),"/",""),"""",""),"+",""))</f>
        <v/>
      </c>
      <c r="AM90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8" s="184" t="str">
        <f>IF(NOTA[[#This Row],[CONCAT1]]="","",MATCH(NOTA[[#This Row],[CONCAT1]],[1]!db[NB NOTA_C],0)+1)</f>
        <v/>
      </c>
    </row>
    <row r="909" spans="1:40" ht="20.100000000000001" customHeight="1" x14ac:dyDescent="0.25">
      <c r="A90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130" t="str">
        <f>IF(NOTA[[#This Row],[CEK_EXP]]&lt;D908,"err","")</f>
        <v/>
      </c>
      <c r="D909" s="130">
        <f>IF(NOTA[[#This Row],[TANGGAL]]="",D908,NOTA[[#This Row],[TANGGAL]])</f>
        <v>44959</v>
      </c>
      <c r="E909" s="130" t="str">
        <f ca="1">IF(NOTA[[#This Row],[NAMA BARANG]]="","",INDEX(NOTA[ID],MATCH(,INDIRECT(ADDRESS(ROW(NOTA[ID]),COLUMN(NOTA[ID]))&amp;":"&amp;ADDRESS(ROW(),COLUMN(NOTA[ID]))),-1)))</f>
        <v/>
      </c>
      <c r="F909" s="131"/>
      <c r="G909" s="132"/>
      <c r="H909" s="132"/>
      <c r="I909" s="133"/>
      <c r="J909" s="132"/>
      <c r="K909" s="134"/>
      <c r="L909" s="132"/>
      <c r="M909" s="132"/>
      <c r="N909" s="135"/>
      <c r="O909" s="132"/>
      <c r="P909" s="132"/>
      <c r="Q909" s="129"/>
      <c r="R909" s="136"/>
      <c r="S909" s="135"/>
      <c r="T909" s="137"/>
      <c r="U909" s="137"/>
      <c r="V909" s="138"/>
      <c r="W909" s="37"/>
      <c r="X909" s="138" t="str">
        <f>IF(NOTA[[#This Row],[HARGA/ CTN]]="",NOTA[[#This Row],[JUMLAH_H]],NOTA[[#This Row],[HARGA/ CTN]]*IF(NOTA[[#This Row],[C]]="",0,NOTA[[#This Row],[C]]))</f>
        <v/>
      </c>
      <c r="Y909" s="138" t="str">
        <f>IF(NOTA[[#This Row],[JUMLAH]]="","",NOTA[[#This Row],[JUMLAH]]*NOTA[[#This Row],[DISC 1]])</f>
        <v/>
      </c>
      <c r="Z909" s="138" t="str">
        <f>IF(NOTA[[#This Row],[JUMLAH]]="","",(NOTA[[#This Row],[JUMLAH]]-NOTA[[#This Row],[DISC 1-]])*NOTA[[#This Row],[DISC 2]])</f>
        <v/>
      </c>
      <c r="AA909" s="138" t="str">
        <f>IF(NOTA[[#This Row],[JUMLAH]]="","",NOTA[[#This Row],[DISC 1-]]+NOTA[[#This Row],[DISC 2-]])</f>
        <v/>
      </c>
      <c r="AB909" s="138" t="str">
        <f>IF(NOTA[[#This Row],[JUMLAH]]="","",NOTA[[#This Row],[JUMLAH]]-NOTA[[#This Row],[DISC]])</f>
        <v/>
      </c>
      <c r="AC90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138" t="str">
        <f>IF(OR(NOTA[[#This Row],[QTY]]="",NOTA[[#This Row],[HARGA SATUAN]]="",),"",NOTA[[#This Row],[QTY]]*NOTA[[#This Row],[HARGA SATUAN]])</f>
        <v/>
      </c>
      <c r="AG909" s="134" t="str">
        <f ca="1">IF(NOTA[ID_H]="","",INDEX(NOTA[TANGGAL],MATCH(,INDIRECT(ADDRESS(ROW(NOTA[TANGGAL]),COLUMN(NOTA[TANGGAL]))&amp;":"&amp;ADDRESS(ROW(),COLUMN(NOTA[TANGGAL]))),-1)))</f>
        <v/>
      </c>
      <c r="AH909" s="129" t="str">
        <f ca="1">IF(NOTA[[#This Row],[NAMA BARANG]]="","",INDEX(NOTA[SUPPLIER],MATCH(,INDIRECT(ADDRESS(ROW(NOTA[ID]),COLUMN(NOTA[ID]))&amp;":"&amp;ADDRESS(ROW(),COLUMN(NOTA[ID]))),-1)))</f>
        <v/>
      </c>
      <c r="AI909" s="129" t="str">
        <f ca="1">IF(NOTA[[#This Row],[ID_H]]="","",IF(NOTA[[#This Row],[FAKTUR]]="",INDIRECT(ADDRESS(ROW()-1,COLUMN())),NOTA[[#This Row],[FAKTUR]]))</f>
        <v/>
      </c>
      <c r="AJ909" s="38" t="str">
        <f ca="1">IF(NOTA[[#This Row],[ID]]="","",COUNTIF(NOTA[ID_H],NOTA[[#This Row],[ID_H]]))</f>
        <v/>
      </c>
      <c r="AK909" s="38" t="str">
        <f ca="1">IF(NOTA[[#This Row],[TGL.NOTA]]="",IF(NOTA[[#This Row],[SUPPLIER_H]]="","",AK908),MONTH(NOTA[[#This Row],[TGL.NOTA]]))</f>
        <v/>
      </c>
      <c r="AL909" s="38" t="str">
        <f>LOWER(SUBSTITUTE(SUBSTITUTE(SUBSTITUTE(SUBSTITUTE(SUBSTITUTE(SUBSTITUTE(SUBSTITUTE(SUBSTITUTE(SUBSTITUTE(NOTA[NAMA BARANG]," ",),".",""),"-",""),"(",""),")",""),",",""),"/",""),"""",""),"+",""))</f>
        <v/>
      </c>
      <c r="AM90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09" s="184" t="str">
        <f>IF(NOTA[[#This Row],[CONCAT1]]="","",MATCH(NOTA[[#This Row],[CONCAT1]],[1]!db[NB NOTA_C],0)+1)</f>
        <v/>
      </c>
    </row>
    <row r="910" spans="1:40" ht="20.100000000000001" customHeight="1" x14ac:dyDescent="0.25">
      <c r="A91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130" t="str">
        <f>IF(NOTA[[#This Row],[CEK_EXP]]&lt;D909,"err","")</f>
        <v/>
      </c>
      <c r="D910" s="130">
        <f>IF(NOTA[[#This Row],[TANGGAL]]="",D909,NOTA[[#This Row],[TANGGAL]])</f>
        <v>44959</v>
      </c>
      <c r="E910" s="130" t="str">
        <f ca="1">IF(NOTA[[#This Row],[NAMA BARANG]]="","",INDEX(NOTA[ID],MATCH(,INDIRECT(ADDRESS(ROW(NOTA[ID]),COLUMN(NOTA[ID]))&amp;":"&amp;ADDRESS(ROW(),COLUMN(NOTA[ID]))),-1)))</f>
        <v/>
      </c>
      <c r="F910" s="131"/>
      <c r="G910" s="132"/>
      <c r="H910" s="132"/>
      <c r="I910" s="133"/>
      <c r="J910" s="132"/>
      <c r="K910" s="134"/>
      <c r="L910" s="132"/>
      <c r="M910" s="132"/>
      <c r="N910" s="135"/>
      <c r="O910" s="132"/>
      <c r="P910" s="132"/>
      <c r="Q910" s="129"/>
      <c r="R910" s="136"/>
      <c r="S910" s="135"/>
      <c r="T910" s="137"/>
      <c r="U910" s="137"/>
      <c r="V910" s="138"/>
      <c r="W910" s="37"/>
      <c r="X910" s="138" t="str">
        <f>IF(NOTA[[#This Row],[HARGA/ CTN]]="",NOTA[[#This Row],[JUMLAH_H]],NOTA[[#This Row],[HARGA/ CTN]]*IF(NOTA[[#This Row],[C]]="",0,NOTA[[#This Row],[C]]))</f>
        <v/>
      </c>
      <c r="Y910" s="138" t="str">
        <f>IF(NOTA[[#This Row],[JUMLAH]]="","",NOTA[[#This Row],[JUMLAH]]*NOTA[[#This Row],[DISC 1]])</f>
        <v/>
      </c>
      <c r="Z910" s="138" t="str">
        <f>IF(NOTA[[#This Row],[JUMLAH]]="","",(NOTA[[#This Row],[JUMLAH]]-NOTA[[#This Row],[DISC 1-]])*NOTA[[#This Row],[DISC 2]])</f>
        <v/>
      </c>
      <c r="AA910" s="138" t="str">
        <f>IF(NOTA[[#This Row],[JUMLAH]]="","",NOTA[[#This Row],[DISC 1-]]+NOTA[[#This Row],[DISC 2-]])</f>
        <v/>
      </c>
      <c r="AB910" s="138" t="str">
        <f>IF(NOTA[[#This Row],[JUMLAH]]="","",NOTA[[#This Row],[JUMLAH]]-NOTA[[#This Row],[DISC]])</f>
        <v/>
      </c>
      <c r="AC91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138" t="str">
        <f>IF(OR(NOTA[[#This Row],[QTY]]="",NOTA[[#This Row],[HARGA SATUAN]]="",),"",NOTA[[#This Row],[QTY]]*NOTA[[#This Row],[HARGA SATUAN]])</f>
        <v/>
      </c>
      <c r="AG910" s="134" t="str">
        <f ca="1">IF(NOTA[ID_H]="","",INDEX(NOTA[TANGGAL],MATCH(,INDIRECT(ADDRESS(ROW(NOTA[TANGGAL]),COLUMN(NOTA[TANGGAL]))&amp;":"&amp;ADDRESS(ROW(),COLUMN(NOTA[TANGGAL]))),-1)))</f>
        <v/>
      </c>
      <c r="AH910" s="129" t="str">
        <f ca="1">IF(NOTA[[#This Row],[NAMA BARANG]]="","",INDEX(NOTA[SUPPLIER],MATCH(,INDIRECT(ADDRESS(ROW(NOTA[ID]),COLUMN(NOTA[ID]))&amp;":"&amp;ADDRESS(ROW(),COLUMN(NOTA[ID]))),-1)))</f>
        <v/>
      </c>
      <c r="AI910" s="129" t="str">
        <f ca="1">IF(NOTA[[#This Row],[ID_H]]="","",IF(NOTA[[#This Row],[FAKTUR]]="",INDIRECT(ADDRESS(ROW()-1,COLUMN())),NOTA[[#This Row],[FAKTUR]]))</f>
        <v/>
      </c>
      <c r="AJ910" s="38" t="str">
        <f ca="1">IF(NOTA[[#This Row],[ID]]="","",COUNTIF(NOTA[ID_H],NOTA[[#This Row],[ID_H]]))</f>
        <v/>
      </c>
      <c r="AK910" s="38" t="str">
        <f ca="1">IF(NOTA[[#This Row],[TGL.NOTA]]="",IF(NOTA[[#This Row],[SUPPLIER_H]]="","",AK909),MONTH(NOTA[[#This Row],[TGL.NOTA]]))</f>
        <v/>
      </c>
      <c r="AL910" s="38" t="str">
        <f>LOWER(SUBSTITUTE(SUBSTITUTE(SUBSTITUTE(SUBSTITUTE(SUBSTITUTE(SUBSTITUTE(SUBSTITUTE(SUBSTITUTE(SUBSTITUTE(NOTA[NAMA BARANG]," ",),".",""),"-",""),"(",""),")",""),",",""),"/",""),"""",""),"+",""))</f>
        <v/>
      </c>
      <c r="AM91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0" s="184" t="str">
        <f>IF(NOTA[[#This Row],[CONCAT1]]="","",MATCH(NOTA[[#This Row],[CONCAT1]],[1]!db[NB NOTA_C],0)+1)</f>
        <v/>
      </c>
    </row>
    <row r="911" spans="1:40" ht="20.100000000000001" customHeight="1" x14ac:dyDescent="0.25">
      <c r="A91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130" t="str">
        <f>IF(NOTA[[#This Row],[CEK_EXP]]&lt;D910,"err","")</f>
        <v/>
      </c>
      <c r="D911" s="130">
        <f>IF(NOTA[[#This Row],[TANGGAL]]="",D910,NOTA[[#This Row],[TANGGAL]])</f>
        <v>44959</v>
      </c>
      <c r="E911" s="130" t="str">
        <f ca="1">IF(NOTA[[#This Row],[NAMA BARANG]]="","",INDEX(NOTA[ID],MATCH(,INDIRECT(ADDRESS(ROW(NOTA[ID]),COLUMN(NOTA[ID]))&amp;":"&amp;ADDRESS(ROW(),COLUMN(NOTA[ID]))),-1)))</f>
        <v/>
      </c>
      <c r="F911" s="131"/>
      <c r="G911" s="132"/>
      <c r="H911" s="132"/>
      <c r="I911" s="133"/>
      <c r="J911" s="132"/>
      <c r="K911" s="134"/>
      <c r="L911" s="132"/>
      <c r="M911" s="132"/>
      <c r="N911" s="135"/>
      <c r="O911" s="132"/>
      <c r="P911" s="132"/>
      <c r="Q911" s="129"/>
      <c r="R911" s="136"/>
      <c r="S911" s="135"/>
      <c r="T911" s="137"/>
      <c r="U911" s="137"/>
      <c r="V911" s="138"/>
      <c r="W911" s="37"/>
      <c r="X911" s="138" t="str">
        <f>IF(NOTA[[#This Row],[HARGA/ CTN]]="",NOTA[[#This Row],[JUMLAH_H]],NOTA[[#This Row],[HARGA/ CTN]]*IF(NOTA[[#This Row],[C]]="",0,NOTA[[#This Row],[C]]))</f>
        <v/>
      </c>
      <c r="Y911" s="138" t="str">
        <f>IF(NOTA[[#This Row],[JUMLAH]]="","",NOTA[[#This Row],[JUMLAH]]*NOTA[[#This Row],[DISC 1]])</f>
        <v/>
      </c>
      <c r="Z911" s="138" t="str">
        <f>IF(NOTA[[#This Row],[JUMLAH]]="","",(NOTA[[#This Row],[JUMLAH]]-NOTA[[#This Row],[DISC 1-]])*NOTA[[#This Row],[DISC 2]])</f>
        <v/>
      </c>
      <c r="AA911" s="138" t="str">
        <f>IF(NOTA[[#This Row],[JUMLAH]]="","",NOTA[[#This Row],[DISC 1-]]+NOTA[[#This Row],[DISC 2-]])</f>
        <v/>
      </c>
      <c r="AB911" s="138" t="str">
        <f>IF(NOTA[[#This Row],[JUMLAH]]="","",NOTA[[#This Row],[JUMLAH]]-NOTA[[#This Row],[DISC]])</f>
        <v/>
      </c>
      <c r="AC91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138" t="str">
        <f>IF(OR(NOTA[[#This Row],[QTY]]="",NOTA[[#This Row],[HARGA SATUAN]]="",),"",NOTA[[#This Row],[QTY]]*NOTA[[#This Row],[HARGA SATUAN]])</f>
        <v/>
      </c>
      <c r="AG911" s="134" t="str">
        <f ca="1">IF(NOTA[ID_H]="","",INDEX(NOTA[TANGGAL],MATCH(,INDIRECT(ADDRESS(ROW(NOTA[TANGGAL]),COLUMN(NOTA[TANGGAL]))&amp;":"&amp;ADDRESS(ROW(),COLUMN(NOTA[TANGGAL]))),-1)))</f>
        <v/>
      </c>
      <c r="AH911" s="129" t="str">
        <f ca="1">IF(NOTA[[#This Row],[NAMA BARANG]]="","",INDEX(NOTA[SUPPLIER],MATCH(,INDIRECT(ADDRESS(ROW(NOTA[ID]),COLUMN(NOTA[ID]))&amp;":"&amp;ADDRESS(ROW(),COLUMN(NOTA[ID]))),-1)))</f>
        <v/>
      </c>
      <c r="AI911" s="129" t="str">
        <f ca="1">IF(NOTA[[#This Row],[ID_H]]="","",IF(NOTA[[#This Row],[FAKTUR]]="",INDIRECT(ADDRESS(ROW()-1,COLUMN())),NOTA[[#This Row],[FAKTUR]]))</f>
        <v/>
      </c>
      <c r="AJ911" s="38" t="str">
        <f ca="1">IF(NOTA[[#This Row],[ID]]="","",COUNTIF(NOTA[ID_H],NOTA[[#This Row],[ID_H]]))</f>
        <v/>
      </c>
      <c r="AK911" s="38" t="str">
        <f ca="1">IF(NOTA[[#This Row],[TGL.NOTA]]="",IF(NOTA[[#This Row],[SUPPLIER_H]]="","",AK910),MONTH(NOTA[[#This Row],[TGL.NOTA]]))</f>
        <v/>
      </c>
      <c r="AL911" s="38" t="str">
        <f>LOWER(SUBSTITUTE(SUBSTITUTE(SUBSTITUTE(SUBSTITUTE(SUBSTITUTE(SUBSTITUTE(SUBSTITUTE(SUBSTITUTE(SUBSTITUTE(NOTA[NAMA BARANG]," ",),".",""),"-",""),"(",""),")",""),",",""),"/",""),"""",""),"+",""))</f>
        <v/>
      </c>
      <c r="AM91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1" s="184" t="str">
        <f>IF(NOTA[[#This Row],[CONCAT1]]="","",MATCH(NOTA[[#This Row],[CONCAT1]],[1]!db[NB NOTA_C],0)+1)</f>
        <v/>
      </c>
    </row>
    <row r="912" spans="1:40" ht="20.100000000000001" customHeight="1" x14ac:dyDescent="0.25">
      <c r="A91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130" t="str">
        <f>IF(NOTA[[#This Row],[CEK_EXP]]&lt;D911,"err","")</f>
        <v/>
      </c>
      <c r="D912" s="130">
        <f>IF(NOTA[[#This Row],[TANGGAL]]="",D911,NOTA[[#This Row],[TANGGAL]])</f>
        <v>44959</v>
      </c>
      <c r="E912" s="130" t="str">
        <f ca="1">IF(NOTA[[#This Row],[NAMA BARANG]]="","",INDEX(NOTA[ID],MATCH(,INDIRECT(ADDRESS(ROW(NOTA[ID]),COLUMN(NOTA[ID]))&amp;":"&amp;ADDRESS(ROW(),COLUMN(NOTA[ID]))),-1)))</f>
        <v/>
      </c>
      <c r="F912" s="131"/>
      <c r="G912" s="132"/>
      <c r="H912" s="132"/>
      <c r="I912" s="133"/>
      <c r="J912" s="132"/>
      <c r="K912" s="134"/>
      <c r="L912" s="132"/>
      <c r="M912" s="132"/>
      <c r="N912" s="135"/>
      <c r="O912" s="132"/>
      <c r="P912" s="132"/>
      <c r="Q912" s="129"/>
      <c r="R912" s="136"/>
      <c r="S912" s="135"/>
      <c r="T912" s="137"/>
      <c r="U912" s="137"/>
      <c r="V912" s="138"/>
      <c r="W912" s="37"/>
      <c r="X912" s="138" t="str">
        <f>IF(NOTA[[#This Row],[HARGA/ CTN]]="",NOTA[[#This Row],[JUMLAH_H]],NOTA[[#This Row],[HARGA/ CTN]]*IF(NOTA[[#This Row],[C]]="",0,NOTA[[#This Row],[C]]))</f>
        <v/>
      </c>
      <c r="Y912" s="138" t="str">
        <f>IF(NOTA[[#This Row],[JUMLAH]]="","",NOTA[[#This Row],[JUMLAH]]*NOTA[[#This Row],[DISC 1]])</f>
        <v/>
      </c>
      <c r="Z912" s="138" t="str">
        <f>IF(NOTA[[#This Row],[JUMLAH]]="","",(NOTA[[#This Row],[JUMLAH]]-NOTA[[#This Row],[DISC 1-]])*NOTA[[#This Row],[DISC 2]])</f>
        <v/>
      </c>
      <c r="AA912" s="138" t="str">
        <f>IF(NOTA[[#This Row],[JUMLAH]]="","",NOTA[[#This Row],[DISC 1-]]+NOTA[[#This Row],[DISC 2-]])</f>
        <v/>
      </c>
      <c r="AB912" s="138" t="str">
        <f>IF(NOTA[[#This Row],[JUMLAH]]="","",NOTA[[#This Row],[JUMLAH]]-NOTA[[#This Row],[DISC]])</f>
        <v/>
      </c>
      <c r="AC91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138" t="str">
        <f>IF(OR(NOTA[[#This Row],[QTY]]="",NOTA[[#This Row],[HARGA SATUAN]]="",),"",NOTA[[#This Row],[QTY]]*NOTA[[#This Row],[HARGA SATUAN]])</f>
        <v/>
      </c>
      <c r="AG912" s="134" t="str">
        <f ca="1">IF(NOTA[ID_H]="","",INDEX(NOTA[TANGGAL],MATCH(,INDIRECT(ADDRESS(ROW(NOTA[TANGGAL]),COLUMN(NOTA[TANGGAL]))&amp;":"&amp;ADDRESS(ROW(),COLUMN(NOTA[TANGGAL]))),-1)))</f>
        <v/>
      </c>
      <c r="AH912" s="129" t="str">
        <f ca="1">IF(NOTA[[#This Row],[NAMA BARANG]]="","",INDEX(NOTA[SUPPLIER],MATCH(,INDIRECT(ADDRESS(ROW(NOTA[ID]),COLUMN(NOTA[ID]))&amp;":"&amp;ADDRESS(ROW(),COLUMN(NOTA[ID]))),-1)))</f>
        <v/>
      </c>
      <c r="AI912" s="129" t="str">
        <f ca="1">IF(NOTA[[#This Row],[ID_H]]="","",IF(NOTA[[#This Row],[FAKTUR]]="",INDIRECT(ADDRESS(ROW()-1,COLUMN())),NOTA[[#This Row],[FAKTUR]]))</f>
        <v/>
      </c>
      <c r="AJ912" s="38" t="str">
        <f ca="1">IF(NOTA[[#This Row],[ID]]="","",COUNTIF(NOTA[ID_H],NOTA[[#This Row],[ID_H]]))</f>
        <v/>
      </c>
      <c r="AK912" s="38" t="str">
        <f ca="1">IF(NOTA[[#This Row],[TGL.NOTA]]="",IF(NOTA[[#This Row],[SUPPLIER_H]]="","",AK911),MONTH(NOTA[[#This Row],[TGL.NOTA]]))</f>
        <v/>
      </c>
      <c r="AL912" s="38" t="str">
        <f>LOWER(SUBSTITUTE(SUBSTITUTE(SUBSTITUTE(SUBSTITUTE(SUBSTITUTE(SUBSTITUTE(SUBSTITUTE(SUBSTITUTE(SUBSTITUTE(NOTA[NAMA BARANG]," ",),".",""),"-",""),"(",""),")",""),",",""),"/",""),"""",""),"+",""))</f>
        <v/>
      </c>
      <c r="AM91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2" s="184" t="str">
        <f>IF(NOTA[[#This Row],[CONCAT1]]="","",MATCH(NOTA[[#This Row],[CONCAT1]],[1]!db[NB NOTA_C],0)+1)</f>
        <v/>
      </c>
    </row>
    <row r="913" spans="1:40" ht="20.100000000000001" customHeight="1" x14ac:dyDescent="0.25">
      <c r="A91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130" t="str">
        <f>IF(NOTA[[#This Row],[CEK_EXP]]&lt;D912,"err","")</f>
        <v/>
      </c>
      <c r="D913" s="130">
        <f>IF(NOTA[[#This Row],[TANGGAL]]="",D912,NOTA[[#This Row],[TANGGAL]])</f>
        <v>44959</v>
      </c>
      <c r="E913" s="130" t="str">
        <f ca="1">IF(NOTA[[#This Row],[NAMA BARANG]]="","",INDEX(NOTA[ID],MATCH(,INDIRECT(ADDRESS(ROW(NOTA[ID]),COLUMN(NOTA[ID]))&amp;":"&amp;ADDRESS(ROW(),COLUMN(NOTA[ID]))),-1)))</f>
        <v/>
      </c>
      <c r="F913" s="131"/>
      <c r="G913" s="132"/>
      <c r="H913" s="132"/>
      <c r="I913" s="133"/>
      <c r="J913" s="132"/>
      <c r="K913" s="134"/>
      <c r="L913" s="132"/>
      <c r="M913" s="132"/>
      <c r="N913" s="135"/>
      <c r="O913" s="132"/>
      <c r="P913" s="132"/>
      <c r="Q913" s="129"/>
      <c r="R913" s="136"/>
      <c r="S913" s="135"/>
      <c r="T913" s="137"/>
      <c r="U913" s="137"/>
      <c r="V913" s="138"/>
      <c r="W913" s="37"/>
      <c r="X913" s="138" t="str">
        <f>IF(NOTA[[#This Row],[HARGA/ CTN]]="",NOTA[[#This Row],[JUMLAH_H]],NOTA[[#This Row],[HARGA/ CTN]]*IF(NOTA[[#This Row],[C]]="",0,NOTA[[#This Row],[C]]))</f>
        <v/>
      </c>
      <c r="Y913" s="138" t="str">
        <f>IF(NOTA[[#This Row],[JUMLAH]]="","",NOTA[[#This Row],[JUMLAH]]*NOTA[[#This Row],[DISC 1]])</f>
        <v/>
      </c>
      <c r="Z913" s="138" t="str">
        <f>IF(NOTA[[#This Row],[JUMLAH]]="","",(NOTA[[#This Row],[JUMLAH]]-NOTA[[#This Row],[DISC 1-]])*NOTA[[#This Row],[DISC 2]])</f>
        <v/>
      </c>
      <c r="AA913" s="138" t="str">
        <f>IF(NOTA[[#This Row],[JUMLAH]]="","",NOTA[[#This Row],[DISC 1-]]+NOTA[[#This Row],[DISC 2-]])</f>
        <v/>
      </c>
      <c r="AB913" s="138" t="str">
        <f>IF(NOTA[[#This Row],[JUMLAH]]="","",NOTA[[#This Row],[JUMLAH]]-NOTA[[#This Row],[DISC]])</f>
        <v/>
      </c>
      <c r="AC91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138" t="str">
        <f>IF(OR(NOTA[[#This Row],[QTY]]="",NOTA[[#This Row],[HARGA SATUAN]]="",),"",NOTA[[#This Row],[QTY]]*NOTA[[#This Row],[HARGA SATUAN]])</f>
        <v/>
      </c>
      <c r="AG913" s="134" t="str">
        <f ca="1">IF(NOTA[ID_H]="","",INDEX(NOTA[TANGGAL],MATCH(,INDIRECT(ADDRESS(ROW(NOTA[TANGGAL]),COLUMN(NOTA[TANGGAL]))&amp;":"&amp;ADDRESS(ROW(),COLUMN(NOTA[TANGGAL]))),-1)))</f>
        <v/>
      </c>
      <c r="AH913" s="129" t="str">
        <f ca="1">IF(NOTA[[#This Row],[NAMA BARANG]]="","",INDEX(NOTA[SUPPLIER],MATCH(,INDIRECT(ADDRESS(ROW(NOTA[ID]),COLUMN(NOTA[ID]))&amp;":"&amp;ADDRESS(ROW(),COLUMN(NOTA[ID]))),-1)))</f>
        <v/>
      </c>
      <c r="AI913" s="129" t="str">
        <f ca="1">IF(NOTA[[#This Row],[ID_H]]="","",IF(NOTA[[#This Row],[FAKTUR]]="",INDIRECT(ADDRESS(ROW()-1,COLUMN())),NOTA[[#This Row],[FAKTUR]]))</f>
        <v/>
      </c>
      <c r="AJ913" s="38" t="str">
        <f ca="1">IF(NOTA[[#This Row],[ID]]="","",COUNTIF(NOTA[ID_H],NOTA[[#This Row],[ID_H]]))</f>
        <v/>
      </c>
      <c r="AK913" s="38" t="str">
        <f ca="1">IF(NOTA[[#This Row],[TGL.NOTA]]="",IF(NOTA[[#This Row],[SUPPLIER_H]]="","",AK912),MONTH(NOTA[[#This Row],[TGL.NOTA]]))</f>
        <v/>
      </c>
      <c r="AL913" s="38" t="str">
        <f>LOWER(SUBSTITUTE(SUBSTITUTE(SUBSTITUTE(SUBSTITUTE(SUBSTITUTE(SUBSTITUTE(SUBSTITUTE(SUBSTITUTE(SUBSTITUTE(NOTA[NAMA BARANG]," ",),".",""),"-",""),"(",""),")",""),",",""),"/",""),"""",""),"+",""))</f>
        <v/>
      </c>
      <c r="AM91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3" s="184" t="str">
        <f>IF(NOTA[[#This Row],[CONCAT1]]="","",MATCH(NOTA[[#This Row],[CONCAT1]],[1]!db[NB NOTA_C],0)+1)</f>
        <v/>
      </c>
    </row>
    <row r="914" spans="1:40" ht="20.100000000000001" customHeight="1" x14ac:dyDescent="0.25">
      <c r="A91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130" t="str">
        <f>IF(NOTA[[#This Row],[CEK_EXP]]&lt;D913,"err","")</f>
        <v/>
      </c>
      <c r="D914" s="130">
        <f>IF(NOTA[[#This Row],[TANGGAL]]="",D913,NOTA[[#This Row],[TANGGAL]])</f>
        <v>44959</v>
      </c>
      <c r="E914" s="130" t="str">
        <f ca="1">IF(NOTA[[#This Row],[NAMA BARANG]]="","",INDEX(NOTA[ID],MATCH(,INDIRECT(ADDRESS(ROW(NOTA[ID]),COLUMN(NOTA[ID]))&amp;":"&amp;ADDRESS(ROW(),COLUMN(NOTA[ID]))),-1)))</f>
        <v/>
      </c>
      <c r="F914" s="131"/>
      <c r="G914" s="132"/>
      <c r="H914" s="132"/>
      <c r="I914" s="133"/>
      <c r="J914" s="132"/>
      <c r="K914" s="134"/>
      <c r="L914" s="132"/>
      <c r="M914" s="132"/>
      <c r="N914" s="135"/>
      <c r="O914" s="132"/>
      <c r="P914" s="132"/>
      <c r="Q914" s="129"/>
      <c r="R914" s="136"/>
      <c r="S914" s="135"/>
      <c r="T914" s="137"/>
      <c r="U914" s="137"/>
      <c r="V914" s="138"/>
      <c r="W914" s="37"/>
      <c r="X914" s="138" t="str">
        <f>IF(NOTA[[#This Row],[HARGA/ CTN]]="",NOTA[[#This Row],[JUMLAH_H]],NOTA[[#This Row],[HARGA/ CTN]]*IF(NOTA[[#This Row],[C]]="",0,NOTA[[#This Row],[C]]))</f>
        <v/>
      </c>
      <c r="Y914" s="138" t="str">
        <f>IF(NOTA[[#This Row],[JUMLAH]]="","",NOTA[[#This Row],[JUMLAH]]*NOTA[[#This Row],[DISC 1]])</f>
        <v/>
      </c>
      <c r="Z914" s="138" t="str">
        <f>IF(NOTA[[#This Row],[JUMLAH]]="","",(NOTA[[#This Row],[JUMLAH]]-NOTA[[#This Row],[DISC 1-]])*NOTA[[#This Row],[DISC 2]])</f>
        <v/>
      </c>
      <c r="AA914" s="138" t="str">
        <f>IF(NOTA[[#This Row],[JUMLAH]]="","",NOTA[[#This Row],[DISC 1-]]+NOTA[[#This Row],[DISC 2-]])</f>
        <v/>
      </c>
      <c r="AB914" s="138" t="str">
        <f>IF(NOTA[[#This Row],[JUMLAH]]="","",NOTA[[#This Row],[JUMLAH]]-NOTA[[#This Row],[DISC]])</f>
        <v/>
      </c>
      <c r="AC91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138" t="str">
        <f>IF(OR(NOTA[[#This Row],[QTY]]="",NOTA[[#This Row],[HARGA SATUAN]]="",),"",NOTA[[#This Row],[QTY]]*NOTA[[#This Row],[HARGA SATUAN]])</f>
        <v/>
      </c>
      <c r="AG914" s="134" t="str">
        <f ca="1">IF(NOTA[ID_H]="","",INDEX(NOTA[TANGGAL],MATCH(,INDIRECT(ADDRESS(ROW(NOTA[TANGGAL]),COLUMN(NOTA[TANGGAL]))&amp;":"&amp;ADDRESS(ROW(),COLUMN(NOTA[TANGGAL]))),-1)))</f>
        <v/>
      </c>
      <c r="AH914" s="129" t="str">
        <f ca="1">IF(NOTA[[#This Row],[NAMA BARANG]]="","",INDEX(NOTA[SUPPLIER],MATCH(,INDIRECT(ADDRESS(ROW(NOTA[ID]),COLUMN(NOTA[ID]))&amp;":"&amp;ADDRESS(ROW(),COLUMN(NOTA[ID]))),-1)))</f>
        <v/>
      </c>
      <c r="AI914" s="129" t="str">
        <f ca="1">IF(NOTA[[#This Row],[ID_H]]="","",IF(NOTA[[#This Row],[FAKTUR]]="",INDIRECT(ADDRESS(ROW()-1,COLUMN())),NOTA[[#This Row],[FAKTUR]]))</f>
        <v/>
      </c>
      <c r="AJ914" s="38" t="str">
        <f ca="1">IF(NOTA[[#This Row],[ID]]="","",COUNTIF(NOTA[ID_H],NOTA[[#This Row],[ID_H]]))</f>
        <v/>
      </c>
      <c r="AK914" s="38" t="str">
        <f ca="1">IF(NOTA[[#This Row],[TGL.NOTA]]="",IF(NOTA[[#This Row],[SUPPLIER_H]]="","",AK913),MONTH(NOTA[[#This Row],[TGL.NOTA]]))</f>
        <v/>
      </c>
      <c r="AL914" s="38" t="str">
        <f>LOWER(SUBSTITUTE(SUBSTITUTE(SUBSTITUTE(SUBSTITUTE(SUBSTITUTE(SUBSTITUTE(SUBSTITUTE(SUBSTITUTE(SUBSTITUTE(NOTA[NAMA BARANG]," ",),".",""),"-",""),"(",""),")",""),",",""),"/",""),"""",""),"+",""))</f>
        <v/>
      </c>
      <c r="AM91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4" s="184" t="str">
        <f>IF(NOTA[[#This Row],[CONCAT1]]="","",MATCH(NOTA[[#This Row],[CONCAT1]],[1]!db[NB NOTA_C],0)+1)</f>
        <v/>
      </c>
    </row>
    <row r="915" spans="1:40" ht="20.100000000000001" customHeight="1" x14ac:dyDescent="0.25">
      <c r="A91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130" t="str">
        <f>IF(NOTA[[#This Row],[CEK_EXP]]&lt;D914,"err","")</f>
        <v/>
      </c>
      <c r="D915" s="130">
        <f>IF(NOTA[[#This Row],[TANGGAL]]="",D914,NOTA[[#This Row],[TANGGAL]])</f>
        <v>44959</v>
      </c>
      <c r="E915" s="130" t="str">
        <f ca="1">IF(NOTA[[#This Row],[NAMA BARANG]]="","",INDEX(NOTA[ID],MATCH(,INDIRECT(ADDRESS(ROW(NOTA[ID]),COLUMN(NOTA[ID]))&amp;":"&amp;ADDRESS(ROW(),COLUMN(NOTA[ID]))),-1)))</f>
        <v/>
      </c>
      <c r="F915" s="131"/>
      <c r="G915" s="132"/>
      <c r="H915" s="132"/>
      <c r="I915" s="133"/>
      <c r="J915" s="132"/>
      <c r="K915" s="134"/>
      <c r="L915" s="132"/>
      <c r="M915" s="132"/>
      <c r="N915" s="135"/>
      <c r="O915" s="132"/>
      <c r="P915" s="132"/>
      <c r="Q915" s="129"/>
      <c r="R915" s="136"/>
      <c r="S915" s="135"/>
      <c r="T915" s="137"/>
      <c r="U915" s="137"/>
      <c r="V915" s="138"/>
      <c r="W915" s="37"/>
      <c r="X915" s="138" t="str">
        <f>IF(NOTA[[#This Row],[HARGA/ CTN]]="",NOTA[[#This Row],[JUMLAH_H]],NOTA[[#This Row],[HARGA/ CTN]]*IF(NOTA[[#This Row],[C]]="",0,NOTA[[#This Row],[C]]))</f>
        <v/>
      </c>
      <c r="Y915" s="138" t="str">
        <f>IF(NOTA[[#This Row],[JUMLAH]]="","",NOTA[[#This Row],[JUMLAH]]*NOTA[[#This Row],[DISC 1]])</f>
        <v/>
      </c>
      <c r="Z915" s="138" t="str">
        <f>IF(NOTA[[#This Row],[JUMLAH]]="","",(NOTA[[#This Row],[JUMLAH]]-NOTA[[#This Row],[DISC 1-]])*NOTA[[#This Row],[DISC 2]])</f>
        <v/>
      </c>
      <c r="AA915" s="138" t="str">
        <f>IF(NOTA[[#This Row],[JUMLAH]]="","",NOTA[[#This Row],[DISC 1-]]+NOTA[[#This Row],[DISC 2-]])</f>
        <v/>
      </c>
      <c r="AB915" s="138" t="str">
        <f>IF(NOTA[[#This Row],[JUMLAH]]="","",NOTA[[#This Row],[JUMLAH]]-NOTA[[#This Row],[DISC]])</f>
        <v/>
      </c>
      <c r="AC91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138" t="str">
        <f>IF(OR(NOTA[[#This Row],[QTY]]="",NOTA[[#This Row],[HARGA SATUAN]]="",),"",NOTA[[#This Row],[QTY]]*NOTA[[#This Row],[HARGA SATUAN]])</f>
        <v/>
      </c>
      <c r="AG915" s="134" t="str">
        <f ca="1">IF(NOTA[ID_H]="","",INDEX(NOTA[TANGGAL],MATCH(,INDIRECT(ADDRESS(ROW(NOTA[TANGGAL]),COLUMN(NOTA[TANGGAL]))&amp;":"&amp;ADDRESS(ROW(),COLUMN(NOTA[TANGGAL]))),-1)))</f>
        <v/>
      </c>
      <c r="AH915" s="129" t="str">
        <f ca="1">IF(NOTA[[#This Row],[NAMA BARANG]]="","",INDEX(NOTA[SUPPLIER],MATCH(,INDIRECT(ADDRESS(ROW(NOTA[ID]),COLUMN(NOTA[ID]))&amp;":"&amp;ADDRESS(ROW(),COLUMN(NOTA[ID]))),-1)))</f>
        <v/>
      </c>
      <c r="AI915" s="129" t="str">
        <f ca="1">IF(NOTA[[#This Row],[ID_H]]="","",IF(NOTA[[#This Row],[FAKTUR]]="",INDIRECT(ADDRESS(ROW()-1,COLUMN())),NOTA[[#This Row],[FAKTUR]]))</f>
        <v/>
      </c>
      <c r="AJ915" s="38" t="str">
        <f ca="1">IF(NOTA[[#This Row],[ID]]="","",COUNTIF(NOTA[ID_H],NOTA[[#This Row],[ID_H]]))</f>
        <v/>
      </c>
      <c r="AK915" s="38" t="str">
        <f ca="1">IF(NOTA[[#This Row],[TGL.NOTA]]="",IF(NOTA[[#This Row],[SUPPLIER_H]]="","",AK914),MONTH(NOTA[[#This Row],[TGL.NOTA]]))</f>
        <v/>
      </c>
      <c r="AL915" s="38" t="str">
        <f>LOWER(SUBSTITUTE(SUBSTITUTE(SUBSTITUTE(SUBSTITUTE(SUBSTITUTE(SUBSTITUTE(SUBSTITUTE(SUBSTITUTE(SUBSTITUTE(NOTA[NAMA BARANG]," ",),".",""),"-",""),"(",""),")",""),",",""),"/",""),"""",""),"+",""))</f>
        <v/>
      </c>
      <c r="AM91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5" s="184" t="str">
        <f>IF(NOTA[[#This Row],[CONCAT1]]="","",MATCH(NOTA[[#This Row],[CONCAT1]],[1]!db[NB NOTA_C],0)+1)</f>
        <v/>
      </c>
    </row>
    <row r="916" spans="1:40" ht="20.100000000000001" customHeight="1" x14ac:dyDescent="0.25">
      <c r="A91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130" t="str">
        <f>IF(NOTA[[#This Row],[CEK_EXP]]&lt;D915,"err","")</f>
        <v/>
      </c>
      <c r="D916" s="130">
        <f>IF(NOTA[[#This Row],[TANGGAL]]="",D915,NOTA[[#This Row],[TANGGAL]])</f>
        <v>44959</v>
      </c>
      <c r="E916" s="130" t="str">
        <f ca="1">IF(NOTA[[#This Row],[NAMA BARANG]]="","",INDEX(NOTA[ID],MATCH(,INDIRECT(ADDRESS(ROW(NOTA[ID]),COLUMN(NOTA[ID]))&amp;":"&amp;ADDRESS(ROW(),COLUMN(NOTA[ID]))),-1)))</f>
        <v/>
      </c>
      <c r="F916" s="131"/>
      <c r="G916" s="132"/>
      <c r="H916" s="132"/>
      <c r="I916" s="133"/>
      <c r="J916" s="132"/>
      <c r="K916" s="134"/>
      <c r="L916" s="132"/>
      <c r="M916" s="132"/>
      <c r="N916" s="135"/>
      <c r="O916" s="132"/>
      <c r="P916" s="132"/>
      <c r="Q916" s="129"/>
      <c r="R916" s="136"/>
      <c r="S916" s="135"/>
      <c r="T916" s="137"/>
      <c r="U916" s="137"/>
      <c r="V916" s="138"/>
      <c r="W916" s="37"/>
      <c r="X916" s="138" t="str">
        <f>IF(NOTA[[#This Row],[HARGA/ CTN]]="",NOTA[[#This Row],[JUMLAH_H]],NOTA[[#This Row],[HARGA/ CTN]]*IF(NOTA[[#This Row],[C]]="",0,NOTA[[#This Row],[C]]))</f>
        <v/>
      </c>
      <c r="Y916" s="138" t="str">
        <f>IF(NOTA[[#This Row],[JUMLAH]]="","",NOTA[[#This Row],[JUMLAH]]*NOTA[[#This Row],[DISC 1]])</f>
        <v/>
      </c>
      <c r="Z916" s="138" t="str">
        <f>IF(NOTA[[#This Row],[JUMLAH]]="","",(NOTA[[#This Row],[JUMLAH]]-NOTA[[#This Row],[DISC 1-]])*NOTA[[#This Row],[DISC 2]])</f>
        <v/>
      </c>
      <c r="AA916" s="138" t="str">
        <f>IF(NOTA[[#This Row],[JUMLAH]]="","",NOTA[[#This Row],[DISC 1-]]+NOTA[[#This Row],[DISC 2-]])</f>
        <v/>
      </c>
      <c r="AB916" s="138" t="str">
        <f>IF(NOTA[[#This Row],[JUMLAH]]="","",NOTA[[#This Row],[JUMLAH]]-NOTA[[#This Row],[DISC]])</f>
        <v/>
      </c>
      <c r="AC91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138" t="str">
        <f>IF(OR(NOTA[[#This Row],[QTY]]="",NOTA[[#This Row],[HARGA SATUAN]]="",),"",NOTA[[#This Row],[QTY]]*NOTA[[#This Row],[HARGA SATUAN]])</f>
        <v/>
      </c>
      <c r="AG916" s="134" t="str">
        <f ca="1">IF(NOTA[ID_H]="","",INDEX(NOTA[TANGGAL],MATCH(,INDIRECT(ADDRESS(ROW(NOTA[TANGGAL]),COLUMN(NOTA[TANGGAL]))&amp;":"&amp;ADDRESS(ROW(),COLUMN(NOTA[TANGGAL]))),-1)))</f>
        <v/>
      </c>
      <c r="AH916" s="129" t="str">
        <f ca="1">IF(NOTA[[#This Row],[NAMA BARANG]]="","",INDEX(NOTA[SUPPLIER],MATCH(,INDIRECT(ADDRESS(ROW(NOTA[ID]),COLUMN(NOTA[ID]))&amp;":"&amp;ADDRESS(ROW(),COLUMN(NOTA[ID]))),-1)))</f>
        <v/>
      </c>
      <c r="AI916" s="129" t="str">
        <f ca="1">IF(NOTA[[#This Row],[ID_H]]="","",IF(NOTA[[#This Row],[FAKTUR]]="",INDIRECT(ADDRESS(ROW()-1,COLUMN())),NOTA[[#This Row],[FAKTUR]]))</f>
        <v/>
      </c>
      <c r="AJ916" s="38" t="str">
        <f ca="1">IF(NOTA[[#This Row],[ID]]="","",COUNTIF(NOTA[ID_H],NOTA[[#This Row],[ID_H]]))</f>
        <v/>
      </c>
      <c r="AK916" s="38" t="str">
        <f ca="1">IF(NOTA[[#This Row],[TGL.NOTA]]="",IF(NOTA[[#This Row],[SUPPLIER_H]]="","",AK915),MONTH(NOTA[[#This Row],[TGL.NOTA]]))</f>
        <v/>
      </c>
      <c r="AL916" s="38" t="str">
        <f>LOWER(SUBSTITUTE(SUBSTITUTE(SUBSTITUTE(SUBSTITUTE(SUBSTITUTE(SUBSTITUTE(SUBSTITUTE(SUBSTITUTE(SUBSTITUTE(NOTA[NAMA BARANG]," ",),".",""),"-",""),"(",""),")",""),",",""),"/",""),"""",""),"+",""))</f>
        <v/>
      </c>
      <c r="AM91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6" s="184" t="str">
        <f>IF(NOTA[[#This Row],[CONCAT1]]="","",MATCH(NOTA[[#This Row],[CONCAT1]],[1]!db[NB NOTA_C],0)+1)</f>
        <v/>
      </c>
    </row>
    <row r="917" spans="1:40" ht="20.100000000000001" customHeight="1" x14ac:dyDescent="0.25">
      <c r="A91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130" t="str">
        <f>IF(NOTA[[#This Row],[CEK_EXP]]&lt;D916,"err","")</f>
        <v/>
      </c>
      <c r="D917" s="130">
        <f>IF(NOTA[[#This Row],[TANGGAL]]="",D916,NOTA[[#This Row],[TANGGAL]])</f>
        <v>44959</v>
      </c>
      <c r="E917" s="130" t="str">
        <f ca="1">IF(NOTA[[#This Row],[NAMA BARANG]]="","",INDEX(NOTA[ID],MATCH(,INDIRECT(ADDRESS(ROW(NOTA[ID]),COLUMN(NOTA[ID]))&amp;":"&amp;ADDRESS(ROW(),COLUMN(NOTA[ID]))),-1)))</f>
        <v/>
      </c>
      <c r="F917" s="131"/>
      <c r="G917" s="132"/>
      <c r="H917" s="132"/>
      <c r="I917" s="133"/>
      <c r="J917" s="132"/>
      <c r="K917" s="134"/>
      <c r="L917" s="132"/>
      <c r="M917" s="132"/>
      <c r="N917" s="135"/>
      <c r="O917" s="132"/>
      <c r="P917" s="132"/>
      <c r="Q917" s="129"/>
      <c r="R917" s="136"/>
      <c r="S917" s="135"/>
      <c r="T917" s="137"/>
      <c r="U917" s="137"/>
      <c r="V917" s="138"/>
      <c r="W917" s="37"/>
      <c r="X917" s="138" t="str">
        <f>IF(NOTA[[#This Row],[HARGA/ CTN]]="",NOTA[[#This Row],[JUMLAH_H]],NOTA[[#This Row],[HARGA/ CTN]]*IF(NOTA[[#This Row],[C]]="",0,NOTA[[#This Row],[C]]))</f>
        <v/>
      </c>
      <c r="Y917" s="138" t="str">
        <f>IF(NOTA[[#This Row],[JUMLAH]]="","",NOTA[[#This Row],[JUMLAH]]*NOTA[[#This Row],[DISC 1]])</f>
        <v/>
      </c>
      <c r="Z917" s="138" t="str">
        <f>IF(NOTA[[#This Row],[JUMLAH]]="","",(NOTA[[#This Row],[JUMLAH]]-NOTA[[#This Row],[DISC 1-]])*NOTA[[#This Row],[DISC 2]])</f>
        <v/>
      </c>
      <c r="AA917" s="138" t="str">
        <f>IF(NOTA[[#This Row],[JUMLAH]]="","",NOTA[[#This Row],[DISC 1-]]+NOTA[[#This Row],[DISC 2-]])</f>
        <v/>
      </c>
      <c r="AB917" s="138" t="str">
        <f>IF(NOTA[[#This Row],[JUMLAH]]="","",NOTA[[#This Row],[JUMLAH]]-NOTA[[#This Row],[DISC]])</f>
        <v/>
      </c>
      <c r="AC91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138" t="str">
        <f>IF(OR(NOTA[[#This Row],[QTY]]="",NOTA[[#This Row],[HARGA SATUAN]]="",),"",NOTA[[#This Row],[QTY]]*NOTA[[#This Row],[HARGA SATUAN]])</f>
        <v/>
      </c>
      <c r="AG917" s="134" t="str">
        <f ca="1">IF(NOTA[ID_H]="","",INDEX(NOTA[TANGGAL],MATCH(,INDIRECT(ADDRESS(ROW(NOTA[TANGGAL]),COLUMN(NOTA[TANGGAL]))&amp;":"&amp;ADDRESS(ROW(),COLUMN(NOTA[TANGGAL]))),-1)))</f>
        <v/>
      </c>
      <c r="AH917" s="129" t="str">
        <f ca="1">IF(NOTA[[#This Row],[NAMA BARANG]]="","",INDEX(NOTA[SUPPLIER],MATCH(,INDIRECT(ADDRESS(ROW(NOTA[ID]),COLUMN(NOTA[ID]))&amp;":"&amp;ADDRESS(ROW(),COLUMN(NOTA[ID]))),-1)))</f>
        <v/>
      </c>
      <c r="AI917" s="129" t="str">
        <f ca="1">IF(NOTA[[#This Row],[ID_H]]="","",IF(NOTA[[#This Row],[FAKTUR]]="",INDIRECT(ADDRESS(ROW()-1,COLUMN())),NOTA[[#This Row],[FAKTUR]]))</f>
        <v/>
      </c>
      <c r="AJ917" s="38" t="str">
        <f ca="1">IF(NOTA[[#This Row],[ID]]="","",COUNTIF(NOTA[ID_H],NOTA[[#This Row],[ID_H]]))</f>
        <v/>
      </c>
      <c r="AK917" s="38" t="str">
        <f ca="1">IF(NOTA[[#This Row],[TGL.NOTA]]="",IF(NOTA[[#This Row],[SUPPLIER_H]]="","",AK916),MONTH(NOTA[[#This Row],[TGL.NOTA]]))</f>
        <v/>
      </c>
      <c r="AL917" s="38" t="str">
        <f>LOWER(SUBSTITUTE(SUBSTITUTE(SUBSTITUTE(SUBSTITUTE(SUBSTITUTE(SUBSTITUTE(SUBSTITUTE(SUBSTITUTE(SUBSTITUTE(NOTA[NAMA BARANG]," ",),".",""),"-",""),"(",""),")",""),",",""),"/",""),"""",""),"+",""))</f>
        <v/>
      </c>
      <c r="AM91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7" s="184" t="str">
        <f>IF(NOTA[[#This Row],[CONCAT1]]="","",MATCH(NOTA[[#This Row],[CONCAT1]],[1]!db[NB NOTA_C],0)+1)</f>
        <v/>
      </c>
    </row>
    <row r="918" spans="1:40" ht="20.100000000000001" customHeight="1" x14ac:dyDescent="0.25">
      <c r="A91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130" t="str">
        <f>IF(NOTA[[#This Row],[CEK_EXP]]&lt;D917,"err","")</f>
        <v/>
      </c>
      <c r="D918" s="130">
        <f>IF(NOTA[[#This Row],[TANGGAL]]="",D917,NOTA[[#This Row],[TANGGAL]])</f>
        <v>44959</v>
      </c>
      <c r="E918" s="130" t="str">
        <f ca="1">IF(NOTA[[#This Row],[NAMA BARANG]]="","",INDEX(NOTA[ID],MATCH(,INDIRECT(ADDRESS(ROW(NOTA[ID]),COLUMN(NOTA[ID]))&amp;":"&amp;ADDRESS(ROW(),COLUMN(NOTA[ID]))),-1)))</f>
        <v/>
      </c>
      <c r="F918" s="131"/>
      <c r="G918" s="132"/>
      <c r="H918" s="132"/>
      <c r="I918" s="133"/>
      <c r="J918" s="132"/>
      <c r="K918" s="134"/>
      <c r="L918" s="132"/>
      <c r="M918" s="132"/>
      <c r="N918" s="135"/>
      <c r="O918" s="132"/>
      <c r="P918" s="132"/>
      <c r="Q918" s="129"/>
      <c r="R918" s="136"/>
      <c r="S918" s="135"/>
      <c r="T918" s="137"/>
      <c r="U918" s="137"/>
      <c r="V918" s="138"/>
      <c r="W918" s="37"/>
      <c r="X918" s="138" t="str">
        <f>IF(NOTA[[#This Row],[HARGA/ CTN]]="",NOTA[[#This Row],[JUMLAH_H]],NOTA[[#This Row],[HARGA/ CTN]]*IF(NOTA[[#This Row],[C]]="",0,NOTA[[#This Row],[C]]))</f>
        <v/>
      </c>
      <c r="Y918" s="138" t="str">
        <f>IF(NOTA[[#This Row],[JUMLAH]]="","",NOTA[[#This Row],[JUMLAH]]*NOTA[[#This Row],[DISC 1]])</f>
        <v/>
      </c>
      <c r="Z918" s="138" t="str">
        <f>IF(NOTA[[#This Row],[JUMLAH]]="","",(NOTA[[#This Row],[JUMLAH]]-NOTA[[#This Row],[DISC 1-]])*NOTA[[#This Row],[DISC 2]])</f>
        <v/>
      </c>
      <c r="AA918" s="138" t="str">
        <f>IF(NOTA[[#This Row],[JUMLAH]]="","",NOTA[[#This Row],[DISC 1-]]+NOTA[[#This Row],[DISC 2-]])</f>
        <v/>
      </c>
      <c r="AB918" s="138" t="str">
        <f>IF(NOTA[[#This Row],[JUMLAH]]="","",NOTA[[#This Row],[JUMLAH]]-NOTA[[#This Row],[DISC]])</f>
        <v/>
      </c>
      <c r="AC91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138" t="str">
        <f>IF(OR(NOTA[[#This Row],[QTY]]="",NOTA[[#This Row],[HARGA SATUAN]]="",),"",NOTA[[#This Row],[QTY]]*NOTA[[#This Row],[HARGA SATUAN]])</f>
        <v/>
      </c>
      <c r="AG918" s="134" t="str">
        <f ca="1">IF(NOTA[ID_H]="","",INDEX(NOTA[TANGGAL],MATCH(,INDIRECT(ADDRESS(ROW(NOTA[TANGGAL]),COLUMN(NOTA[TANGGAL]))&amp;":"&amp;ADDRESS(ROW(),COLUMN(NOTA[TANGGAL]))),-1)))</f>
        <v/>
      </c>
      <c r="AH918" s="129" t="str">
        <f ca="1">IF(NOTA[[#This Row],[NAMA BARANG]]="","",INDEX(NOTA[SUPPLIER],MATCH(,INDIRECT(ADDRESS(ROW(NOTA[ID]),COLUMN(NOTA[ID]))&amp;":"&amp;ADDRESS(ROW(),COLUMN(NOTA[ID]))),-1)))</f>
        <v/>
      </c>
      <c r="AI918" s="129" t="str">
        <f ca="1">IF(NOTA[[#This Row],[ID_H]]="","",IF(NOTA[[#This Row],[FAKTUR]]="",INDIRECT(ADDRESS(ROW()-1,COLUMN())),NOTA[[#This Row],[FAKTUR]]))</f>
        <v/>
      </c>
      <c r="AJ918" s="38" t="str">
        <f ca="1">IF(NOTA[[#This Row],[ID]]="","",COUNTIF(NOTA[ID_H],NOTA[[#This Row],[ID_H]]))</f>
        <v/>
      </c>
      <c r="AK918" s="38" t="str">
        <f ca="1">IF(NOTA[[#This Row],[TGL.NOTA]]="",IF(NOTA[[#This Row],[SUPPLIER_H]]="","",AK917),MONTH(NOTA[[#This Row],[TGL.NOTA]]))</f>
        <v/>
      </c>
      <c r="AL918" s="38" t="str">
        <f>LOWER(SUBSTITUTE(SUBSTITUTE(SUBSTITUTE(SUBSTITUTE(SUBSTITUTE(SUBSTITUTE(SUBSTITUTE(SUBSTITUTE(SUBSTITUTE(NOTA[NAMA BARANG]," ",),".",""),"-",""),"(",""),")",""),",",""),"/",""),"""",""),"+",""))</f>
        <v/>
      </c>
      <c r="AM91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8" s="184" t="str">
        <f>IF(NOTA[[#This Row],[CONCAT1]]="","",MATCH(NOTA[[#This Row],[CONCAT1]],[1]!db[NB NOTA_C],0)+1)</f>
        <v/>
      </c>
    </row>
    <row r="919" spans="1:40" ht="20.100000000000001" customHeight="1" x14ac:dyDescent="0.25">
      <c r="A91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130" t="str">
        <f>IF(NOTA[[#This Row],[CEK_EXP]]&lt;D918,"err","")</f>
        <v/>
      </c>
      <c r="D919" s="130">
        <f>IF(NOTA[[#This Row],[TANGGAL]]="",D918,NOTA[[#This Row],[TANGGAL]])</f>
        <v>44959</v>
      </c>
      <c r="E919" s="130" t="str">
        <f ca="1">IF(NOTA[[#This Row],[NAMA BARANG]]="","",INDEX(NOTA[ID],MATCH(,INDIRECT(ADDRESS(ROW(NOTA[ID]),COLUMN(NOTA[ID]))&amp;":"&amp;ADDRESS(ROW(),COLUMN(NOTA[ID]))),-1)))</f>
        <v/>
      </c>
      <c r="F919" s="131"/>
      <c r="G919" s="132"/>
      <c r="H919" s="132"/>
      <c r="I919" s="133"/>
      <c r="J919" s="132"/>
      <c r="K919" s="134"/>
      <c r="L919" s="132"/>
      <c r="M919" s="132"/>
      <c r="N919" s="135"/>
      <c r="O919" s="132"/>
      <c r="P919" s="132"/>
      <c r="Q919" s="129"/>
      <c r="R919" s="136"/>
      <c r="S919" s="135"/>
      <c r="T919" s="137"/>
      <c r="U919" s="137"/>
      <c r="V919" s="138"/>
      <c r="W919" s="37"/>
      <c r="X919" s="138" t="str">
        <f>IF(NOTA[[#This Row],[HARGA/ CTN]]="",NOTA[[#This Row],[JUMLAH_H]],NOTA[[#This Row],[HARGA/ CTN]]*IF(NOTA[[#This Row],[C]]="",0,NOTA[[#This Row],[C]]))</f>
        <v/>
      </c>
      <c r="Y919" s="138" t="str">
        <f>IF(NOTA[[#This Row],[JUMLAH]]="","",NOTA[[#This Row],[JUMLAH]]*NOTA[[#This Row],[DISC 1]])</f>
        <v/>
      </c>
      <c r="Z919" s="138" t="str">
        <f>IF(NOTA[[#This Row],[JUMLAH]]="","",(NOTA[[#This Row],[JUMLAH]]-NOTA[[#This Row],[DISC 1-]])*NOTA[[#This Row],[DISC 2]])</f>
        <v/>
      </c>
      <c r="AA919" s="138" t="str">
        <f>IF(NOTA[[#This Row],[JUMLAH]]="","",NOTA[[#This Row],[DISC 1-]]+NOTA[[#This Row],[DISC 2-]])</f>
        <v/>
      </c>
      <c r="AB919" s="138" t="str">
        <f>IF(NOTA[[#This Row],[JUMLAH]]="","",NOTA[[#This Row],[JUMLAH]]-NOTA[[#This Row],[DISC]])</f>
        <v/>
      </c>
      <c r="AC91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138" t="str">
        <f>IF(OR(NOTA[[#This Row],[QTY]]="",NOTA[[#This Row],[HARGA SATUAN]]="",),"",NOTA[[#This Row],[QTY]]*NOTA[[#This Row],[HARGA SATUAN]])</f>
        <v/>
      </c>
      <c r="AG919" s="134" t="str">
        <f ca="1">IF(NOTA[ID_H]="","",INDEX(NOTA[TANGGAL],MATCH(,INDIRECT(ADDRESS(ROW(NOTA[TANGGAL]),COLUMN(NOTA[TANGGAL]))&amp;":"&amp;ADDRESS(ROW(),COLUMN(NOTA[TANGGAL]))),-1)))</f>
        <v/>
      </c>
      <c r="AH919" s="129" t="str">
        <f ca="1">IF(NOTA[[#This Row],[NAMA BARANG]]="","",INDEX(NOTA[SUPPLIER],MATCH(,INDIRECT(ADDRESS(ROW(NOTA[ID]),COLUMN(NOTA[ID]))&amp;":"&amp;ADDRESS(ROW(),COLUMN(NOTA[ID]))),-1)))</f>
        <v/>
      </c>
      <c r="AI919" s="129" t="str">
        <f ca="1">IF(NOTA[[#This Row],[ID_H]]="","",IF(NOTA[[#This Row],[FAKTUR]]="",INDIRECT(ADDRESS(ROW()-1,COLUMN())),NOTA[[#This Row],[FAKTUR]]))</f>
        <v/>
      </c>
      <c r="AJ919" s="38" t="str">
        <f ca="1">IF(NOTA[[#This Row],[ID]]="","",COUNTIF(NOTA[ID_H],NOTA[[#This Row],[ID_H]]))</f>
        <v/>
      </c>
      <c r="AK919" s="38" t="str">
        <f ca="1">IF(NOTA[[#This Row],[TGL.NOTA]]="",IF(NOTA[[#This Row],[SUPPLIER_H]]="","",AK918),MONTH(NOTA[[#This Row],[TGL.NOTA]]))</f>
        <v/>
      </c>
      <c r="AL919" s="38" t="str">
        <f>LOWER(SUBSTITUTE(SUBSTITUTE(SUBSTITUTE(SUBSTITUTE(SUBSTITUTE(SUBSTITUTE(SUBSTITUTE(SUBSTITUTE(SUBSTITUTE(NOTA[NAMA BARANG]," ",),".",""),"-",""),"(",""),")",""),",",""),"/",""),"""",""),"+",""))</f>
        <v/>
      </c>
      <c r="AM91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19" s="184" t="str">
        <f>IF(NOTA[[#This Row],[CONCAT1]]="","",MATCH(NOTA[[#This Row],[CONCAT1]],[1]!db[NB NOTA_C],0)+1)</f>
        <v/>
      </c>
    </row>
    <row r="920" spans="1:40" ht="20.100000000000001" customHeight="1" x14ac:dyDescent="0.25">
      <c r="A92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130" t="str">
        <f>IF(NOTA[[#This Row],[CEK_EXP]]&lt;D919,"err","")</f>
        <v/>
      </c>
      <c r="D920" s="130">
        <f>IF(NOTA[[#This Row],[TANGGAL]]="",D919,NOTA[[#This Row],[TANGGAL]])</f>
        <v>44959</v>
      </c>
      <c r="E920" s="130" t="str">
        <f ca="1">IF(NOTA[[#This Row],[NAMA BARANG]]="","",INDEX(NOTA[ID],MATCH(,INDIRECT(ADDRESS(ROW(NOTA[ID]),COLUMN(NOTA[ID]))&amp;":"&amp;ADDRESS(ROW(),COLUMN(NOTA[ID]))),-1)))</f>
        <v/>
      </c>
      <c r="F920" s="131"/>
      <c r="G920" s="132"/>
      <c r="H920" s="132"/>
      <c r="I920" s="133"/>
      <c r="J920" s="132"/>
      <c r="K920" s="134"/>
      <c r="L920" s="132"/>
      <c r="M920" s="132"/>
      <c r="N920" s="135"/>
      <c r="O920" s="132"/>
      <c r="P920" s="132"/>
      <c r="Q920" s="129"/>
      <c r="R920" s="136"/>
      <c r="S920" s="135"/>
      <c r="T920" s="137"/>
      <c r="U920" s="137"/>
      <c r="V920" s="138"/>
      <c r="W920" s="37"/>
      <c r="X920" s="138" t="str">
        <f>IF(NOTA[[#This Row],[HARGA/ CTN]]="",NOTA[[#This Row],[JUMLAH_H]],NOTA[[#This Row],[HARGA/ CTN]]*IF(NOTA[[#This Row],[C]]="",0,NOTA[[#This Row],[C]]))</f>
        <v/>
      </c>
      <c r="Y920" s="138" t="str">
        <f>IF(NOTA[[#This Row],[JUMLAH]]="","",NOTA[[#This Row],[JUMLAH]]*NOTA[[#This Row],[DISC 1]])</f>
        <v/>
      </c>
      <c r="Z920" s="138" t="str">
        <f>IF(NOTA[[#This Row],[JUMLAH]]="","",(NOTA[[#This Row],[JUMLAH]]-NOTA[[#This Row],[DISC 1-]])*NOTA[[#This Row],[DISC 2]])</f>
        <v/>
      </c>
      <c r="AA920" s="138" t="str">
        <f>IF(NOTA[[#This Row],[JUMLAH]]="","",NOTA[[#This Row],[DISC 1-]]+NOTA[[#This Row],[DISC 2-]])</f>
        <v/>
      </c>
      <c r="AB920" s="138" t="str">
        <f>IF(NOTA[[#This Row],[JUMLAH]]="","",NOTA[[#This Row],[JUMLAH]]-NOTA[[#This Row],[DISC]])</f>
        <v/>
      </c>
      <c r="AC92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138" t="str">
        <f>IF(OR(NOTA[[#This Row],[QTY]]="",NOTA[[#This Row],[HARGA SATUAN]]="",),"",NOTA[[#This Row],[QTY]]*NOTA[[#This Row],[HARGA SATUAN]])</f>
        <v/>
      </c>
      <c r="AG920" s="134" t="str">
        <f ca="1">IF(NOTA[ID_H]="","",INDEX(NOTA[TANGGAL],MATCH(,INDIRECT(ADDRESS(ROW(NOTA[TANGGAL]),COLUMN(NOTA[TANGGAL]))&amp;":"&amp;ADDRESS(ROW(),COLUMN(NOTA[TANGGAL]))),-1)))</f>
        <v/>
      </c>
      <c r="AH920" s="129" t="str">
        <f ca="1">IF(NOTA[[#This Row],[NAMA BARANG]]="","",INDEX(NOTA[SUPPLIER],MATCH(,INDIRECT(ADDRESS(ROW(NOTA[ID]),COLUMN(NOTA[ID]))&amp;":"&amp;ADDRESS(ROW(),COLUMN(NOTA[ID]))),-1)))</f>
        <v/>
      </c>
      <c r="AI920" s="129" t="str">
        <f ca="1">IF(NOTA[[#This Row],[ID_H]]="","",IF(NOTA[[#This Row],[FAKTUR]]="",INDIRECT(ADDRESS(ROW()-1,COLUMN())),NOTA[[#This Row],[FAKTUR]]))</f>
        <v/>
      </c>
      <c r="AJ920" s="38" t="str">
        <f ca="1">IF(NOTA[[#This Row],[ID]]="","",COUNTIF(NOTA[ID_H],NOTA[[#This Row],[ID_H]]))</f>
        <v/>
      </c>
      <c r="AK920" s="38" t="str">
        <f ca="1">IF(NOTA[[#This Row],[TGL.NOTA]]="",IF(NOTA[[#This Row],[SUPPLIER_H]]="","",AK919),MONTH(NOTA[[#This Row],[TGL.NOTA]]))</f>
        <v/>
      </c>
      <c r="AL920" s="38" t="str">
        <f>LOWER(SUBSTITUTE(SUBSTITUTE(SUBSTITUTE(SUBSTITUTE(SUBSTITUTE(SUBSTITUTE(SUBSTITUTE(SUBSTITUTE(SUBSTITUTE(NOTA[NAMA BARANG]," ",),".",""),"-",""),"(",""),")",""),",",""),"/",""),"""",""),"+",""))</f>
        <v/>
      </c>
      <c r="AM92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0" s="184" t="str">
        <f>IF(NOTA[[#This Row],[CONCAT1]]="","",MATCH(NOTA[[#This Row],[CONCAT1]],[1]!db[NB NOTA_C],0)+1)</f>
        <v/>
      </c>
    </row>
    <row r="921" spans="1:40" ht="20.100000000000001" customHeight="1" x14ac:dyDescent="0.25">
      <c r="A92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130" t="str">
        <f>IF(NOTA[[#This Row],[CEK_EXP]]&lt;D920,"err","")</f>
        <v/>
      </c>
      <c r="D921" s="130">
        <f>IF(NOTA[[#This Row],[TANGGAL]]="",D920,NOTA[[#This Row],[TANGGAL]])</f>
        <v>44959</v>
      </c>
      <c r="E921" s="130" t="str">
        <f ca="1">IF(NOTA[[#This Row],[NAMA BARANG]]="","",INDEX(NOTA[ID],MATCH(,INDIRECT(ADDRESS(ROW(NOTA[ID]),COLUMN(NOTA[ID]))&amp;":"&amp;ADDRESS(ROW(),COLUMN(NOTA[ID]))),-1)))</f>
        <v/>
      </c>
      <c r="F921" s="131"/>
      <c r="G921" s="132"/>
      <c r="H921" s="132"/>
      <c r="I921" s="133"/>
      <c r="J921" s="132"/>
      <c r="K921" s="134"/>
      <c r="L921" s="132"/>
      <c r="M921" s="132"/>
      <c r="N921" s="135"/>
      <c r="O921" s="132"/>
      <c r="P921" s="132"/>
      <c r="Q921" s="129"/>
      <c r="R921" s="136"/>
      <c r="S921" s="135"/>
      <c r="T921" s="137"/>
      <c r="U921" s="137"/>
      <c r="V921" s="138"/>
      <c r="W921" s="37"/>
      <c r="X921" s="138" t="str">
        <f>IF(NOTA[[#This Row],[HARGA/ CTN]]="",NOTA[[#This Row],[JUMLAH_H]],NOTA[[#This Row],[HARGA/ CTN]]*IF(NOTA[[#This Row],[C]]="",0,NOTA[[#This Row],[C]]))</f>
        <v/>
      </c>
      <c r="Y921" s="138" t="str">
        <f>IF(NOTA[[#This Row],[JUMLAH]]="","",NOTA[[#This Row],[JUMLAH]]*NOTA[[#This Row],[DISC 1]])</f>
        <v/>
      </c>
      <c r="Z921" s="138" t="str">
        <f>IF(NOTA[[#This Row],[JUMLAH]]="","",(NOTA[[#This Row],[JUMLAH]]-NOTA[[#This Row],[DISC 1-]])*NOTA[[#This Row],[DISC 2]])</f>
        <v/>
      </c>
      <c r="AA921" s="138" t="str">
        <f>IF(NOTA[[#This Row],[JUMLAH]]="","",NOTA[[#This Row],[DISC 1-]]+NOTA[[#This Row],[DISC 2-]])</f>
        <v/>
      </c>
      <c r="AB921" s="138" t="str">
        <f>IF(NOTA[[#This Row],[JUMLAH]]="","",NOTA[[#This Row],[JUMLAH]]-NOTA[[#This Row],[DISC]])</f>
        <v/>
      </c>
      <c r="AC92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138" t="str">
        <f>IF(OR(NOTA[[#This Row],[QTY]]="",NOTA[[#This Row],[HARGA SATUAN]]="",),"",NOTA[[#This Row],[QTY]]*NOTA[[#This Row],[HARGA SATUAN]])</f>
        <v/>
      </c>
      <c r="AG921" s="134" t="str">
        <f ca="1">IF(NOTA[ID_H]="","",INDEX(NOTA[TANGGAL],MATCH(,INDIRECT(ADDRESS(ROW(NOTA[TANGGAL]),COLUMN(NOTA[TANGGAL]))&amp;":"&amp;ADDRESS(ROW(),COLUMN(NOTA[TANGGAL]))),-1)))</f>
        <v/>
      </c>
      <c r="AH921" s="129" t="str">
        <f ca="1">IF(NOTA[[#This Row],[NAMA BARANG]]="","",INDEX(NOTA[SUPPLIER],MATCH(,INDIRECT(ADDRESS(ROW(NOTA[ID]),COLUMN(NOTA[ID]))&amp;":"&amp;ADDRESS(ROW(),COLUMN(NOTA[ID]))),-1)))</f>
        <v/>
      </c>
      <c r="AI921" s="129" t="str">
        <f ca="1">IF(NOTA[[#This Row],[ID_H]]="","",IF(NOTA[[#This Row],[FAKTUR]]="",INDIRECT(ADDRESS(ROW()-1,COLUMN())),NOTA[[#This Row],[FAKTUR]]))</f>
        <v/>
      </c>
      <c r="AJ921" s="38" t="str">
        <f ca="1">IF(NOTA[[#This Row],[ID]]="","",COUNTIF(NOTA[ID_H],NOTA[[#This Row],[ID_H]]))</f>
        <v/>
      </c>
      <c r="AK921" s="38" t="str">
        <f ca="1">IF(NOTA[[#This Row],[TGL.NOTA]]="",IF(NOTA[[#This Row],[SUPPLIER_H]]="","",AK920),MONTH(NOTA[[#This Row],[TGL.NOTA]]))</f>
        <v/>
      </c>
      <c r="AL921" s="38" t="str">
        <f>LOWER(SUBSTITUTE(SUBSTITUTE(SUBSTITUTE(SUBSTITUTE(SUBSTITUTE(SUBSTITUTE(SUBSTITUTE(SUBSTITUTE(SUBSTITUTE(NOTA[NAMA BARANG]," ",),".",""),"-",""),"(",""),")",""),",",""),"/",""),"""",""),"+",""))</f>
        <v/>
      </c>
      <c r="AM92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1" s="184" t="str">
        <f>IF(NOTA[[#This Row],[CONCAT1]]="","",MATCH(NOTA[[#This Row],[CONCAT1]],[1]!db[NB NOTA_C],0)+1)</f>
        <v/>
      </c>
    </row>
    <row r="922" spans="1:40" ht="20.100000000000001" customHeight="1" x14ac:dyDescent="0.25">
      <c r="A92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130" t="str">
        <f>IF(NOTA[[#This Row],[CEK_EXP]]&lt;D921,"err","")</f>
        <v/>
      </c>
      <c r="D922" s="130">
        <f>IF(NOTA[[#This Row],[TANGGAL]]="",D921,NOTA[[#This Row],[TANGGAL]])</f>
        <v>44959</v>
      </c>
      <c r="E922" s="130" t="str">
        <f ca="1">IF(NOTA[[#This Row],[NAMA BARANG]]="","",INDEX(NOTA[ID],MATCH(,INDIRECT(ADDRESS(ROW(NOTA[ID]),COLUMN(NOTA[ID]))&amp;":"&amp;ADDRESS(ROW(),COLUMN(NOTA[ID]))),-1)))</f>
        <v/>
      </c>
      <c r="F922" s="131"/>
      <c r="G922" s="132"/>
      <c r="H922" s="132"/>
      <c r="I922" s="133"/>
      <c r="J922" s="132"/>
      <c r="K922" s="134"/>
      <c r="L922" s="132"/>
      <c r="M922" s="132"/>
      <c r="N922" s="135"/>
      <c r="O922" s="132"/>
      <c r="P922" s="132"/>
      <c r="Q922" s="129"/>
      <c r="R922" s="136"/>
      <c r="S922" s="135"/>
      <c r="T922" s="137"/>
      <c r="U922" s="137"/>
      <c r="V922" s="138"/>
      <c r="W922" s="37"/>
      <c r="X922" s="138" t="str">
        <f>IF(NOTA[[#This Row],[HARGA/ CTN]]="",NOTA[[#This Row],[JUMLAH_H]],NOTA[[#This Row],[HARGA/ CTN]]*IF(NOTA[[#This Row],[C]]="",0,NOTA[[#This Row],[C]]))</f>
        <v/>
      </c>
      <c r="Y922" s="138" t="str">
        <f>IF(NOTA[[#This Row],[JUMLAH]]="","",NOTA[[#This Row],[JUMLAH]]*NOTA[[#This Row],[DISC 1]])</f>
        <v/>
      </c>
      <c r="Z922" s="138" t="str">
        <f>IF(NOTA[[#This Row],[JUMLAH]]="","",(NOTA[[#This Row],[JUMLAH]]-NOTA[[#This Row],[DISC 1-]])*NOTA[[#This Row],[DISC 2]])</f>
        <v/>
      </c>
      <c r="AA922" s="138" t="str">
        <f>IF(NOTA[[#This Row],[JUMLAH]]="","",NOTA[[#This Row],[DISC 1-]]+NOTA[[#This Row],[DISC 2-]])</f>
        <v/>
      </c>
      <c r="AB922" s="138" t="str">
        <f>IF(NOTA[[#This Row],[JUMLAH]]="","",NOTA[[#This Row],[JUMLAH]]-NOTA[[#This Row],[DISC]])</f>
        <v/>
      </c>
      <c r="AC92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138" t="str">
        <f>IF(OR(NOTA[[#This Row],[QTY]]="",NOTA[[#This Row],[HARGA SATUAN]]="",),"",NOTA[[#This Row],[QTY]]*NOTA[[#This Row],[HARGA SATUAN]])</f>
        <v/>
      </c>
      <c r="AG922" s="134" t="str">
        <f ca="1">IF(NOTA[ID_H]="","",INDEX(NOTA[TANGGAL],MATCH(,INDIRECT(ADDRESS(ROW(NOTA[TANGGAL]),COLUMN(NOTA[TANGGAL]))&amp;":"&amp;ADDRESS(ROW(),COLUMN(NOTA[TANGGAL]))),-1)))</f>
        <v/>
      </c>
      <c r="AH922" s="129" t="str">
        <f ca="1">IF(NOTA[[#This Row],[NAMA BARANG]]="","",INDEX(NOTA[SUPPLIER],MATCH(,INDIRECT(ADDRESS(ROW(NOTA[ID]),COLUMN(NOTA[ID]))&amp;":"&amp;ADDRESS(ROW(),COLUMN(NOTA[ID]))),-1)))</f>
        <v/>
      </c>
      <c r="AI922" s="129" t="str">
        <f ca="1">IF(NOTA[[#This Row],[ID_H]]="","",IF(NOTA[[#This Row],[FAKTUR]]="",INDIRECT(ADDRESS(ROW()-1,COLUMN())),NOTA[[#This Row],[FAKTUR]]))</f>
        <v/>
      </c>
      <c r="AJ922" s="38" t="str">
        <f ca="1">IF(NOTA[[#This Row],[ID]]="","",COUNTIF(NOTA[ID_H],NOTA[[#This Row],[ID_H]]))</f>
        <v/>
      </c>
      <c r="AK922" s="38" t="str">
        <f ca="1">IF(NOTA[[#This Row],[TGL.NOTA]]="",IF(NOTA[[#This Row],[SUPPLIER_H]]="","",AK921),MONTH(NOTA[[#This Row],[TGL.NOTA]]))</f>
        <v/>
      </c>
      <c r="AL922" s="38" t="str">
        <f>LOWER(SUBSTITUTE(SUBSTITUTE(SUBSTITUTE(SUBSTITUTE(SUBSTITUTE(SUBSTITUTE(SUBSTITUTE(SUBSTITUTE(SUBSTITUTE(NOTA[NAMA BARANG]," ",),".",""),"-",""),"(",""),")",""),",",""),"/",""),"""",""),"+",""))</f>
        <v/>
      </c>
      <c r="AM92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2" s="184" t="str">
        <f>IF(NOTA[[#This Row],[CONCAT1]]="","",MATCH(NOTA[[#This Row],[CONCAT1]],[1]!db[NB NOTA_C],0)+1)</f>
        <v/>
      </c>
    </row>
    <row r="923" spans="1:40" ht="20.100000000000001" customHeight="1" x14ac:dyDescent="0.25">
      <c r="A92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130" t="str">
        <f>IF(NOTA[[#This Row],[CEK_EXP]]&lt;D922,"err","")</f>
        <v/>
      </c>
      <c r="D923" s="130">
        <f>IF(NOTA[[#This Row],[TANGGAL]]="",D922,NOTA[[#This Row],[TANGGAL]])</f>
        <v>44959</v>
      </c>
      <c r="E923" s="130" t="str">
        <f ca="1">IF(NOTA[[#This Row],[NAMA BARANG]]="","",INDEX(NOTA[ID],MATCH(,INDIRECT(ADDRESS(ROW(NOTA[ID]),COLUMN(NOTA[ID]))&amp;":"&amp;ADDRESS(ROW(),COLUMN(NOTA[ID]))),-1)))</f>
        <v/>
      </c>
      <c r="F923" s="131"/>
      <c r="G923" s="132"/>
      <c r="H923" s="132"/>
      <c r="I923" s="133"/>
      <c r="J923" s="132"/>
      <c r="K923" s="134"/>
      <c r="L923" s="132"/>
      <c r="M923" s="132"/>
      <c r="N923" s="135"/>
      <c r="O923" s="132"/>
      <c r="P923" s="132"/>
      <c r="Q923" s="129"/>
      <c r="R923" s="136"/>
      <c r="S923" s="135"/>
      <c r="T923" s="137"/>
      <c r="U923" s="137"/>
      <c r="V923" s="138"/>
      <c r="W923" s="37"/>
      <c r="X923" s="138" t="str">
        <f>IF(NOTA[[#This Row],[HARGA/ CTN]]="",NOTA[[#This Row],[JUMLAH_H]],NOTA[[#This Row],[HARGA/ CTN]]*IF(NOTA[[#This Row],[C]]="",0,NOTA[[#This Row],[C]]))</f>
        <v/>
      </c>
      <c r="Y923" s="138" t="str">
        <f>IF(NOTA[[#This Row],[JUMLAH]]="","",NOTA[[#This Row],[JUMLAH]]*NOTA[[#This Row],[DISC 1]])</f>
        <v/>
      </c>
      <c r="Z923" s="138" t="str">
        <f>IF(NOTA[[#This Row],[JUMLAH]]="","",(NOTA[[#This Row],[JUMLAH]]-NOTA[[#This Row],[DISC 1-]])*NOTA[[#This Row],[DISC 2]])</f>
        <v/>
      </c>
      <c r="AA923" s="138" t="str">
        <f>IF(NOTA[[#This Row],[JUMLAH]]="","",NOTA[[#This Row],[DISC 1-]]+NOTA[[#This Row],[DISC 2-]])</f>
        <v/>
      </c>
      <c r="AB923" s="138" t="str">
        <f>IF(NOTA[[#This Row],[JUMLAH]]="","",NOTA[[#This Row],[JUMLAH]]-NOTA[[#This Row],[DISC]])</f>
        <v/>
      </c>
      <c r="AC92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138" t="str">
        <f>IF(OR(NOTA[[#This Row],[QTY]]="",NOTA[[#This Row],[HARGA SATUAN]]="",),"",NOTA[[#This Row],[QTY]]*NOTA[[#This Row],[HARGA SATUAN]])</f>
        <v/>
      </c>
      <c r="AG923" s="134" t="str">
        <f ca="1">IF(NOTA[ID_H]="","",INDEX(NOTA[TANGGAL],MATCH(,INDIRECT(ADDRESS(ROW(NOTA[TANGGAL]),COLUMN(NOTA[TANGGAL]))&amp;":"&amp;ADDRESS(ROW(),COLUMN(NOTA[TANGGAL]))),-1)))</f>
        <v/>
      </c>
      <c r="AH923" s="129" t="str">
        <f ca="1">IF(NOTA[[#This Row],[NAMA BARANG]]="","",INDEX(NOTA[SUPPLIER],MATCH(,INDIRECT(ADDRESS(ROW(NOTA[ID]),COLUMN(NOTA[ID]))&amp;":"&amp;ADDRESS(ROW(),COLUMN(NOTA[ID]))),-1)))</f>
        <v/>
      </c>
      <c r="AI923" s="129" t="str">
        <f ca="1">IF(NOTA[[#This Row],[ID_H]]="","",IF(NOTA[[#This Row],[FAKTUR]]="",INDIRECT(ADDRESS(ROW()-1,COLUMN())),NOTA[[#This Row],[FAKTUR]]))</f>
        <v/>
      </c>
      <c r="AJ923" s="38" t="str">
        <f ca="1">IF(NOTA[[#This Row],[ID]]="","",COUNTIF(NOTA[ID_H],NOTA[[#This Row],[ID_H]]))</f>
        <v/>
      </c>
      <c r="AK923" s="38" t="str">
        <f ca="1">IF(NOTA[[#This Row],[TGL.NOTA]]="",IF(NOTA[[#This Row],[SUPPLIER_H]]="","",AK922),MONTH(NOTA[[#This Row],[TGL.NOTA]]))</f>
        <v/>
      </c>
      <c r="AL923" s="38" t="str">
        <f>LOWER(SUBSTITUTE(SUBSTITUTE(SUBSTITUTE(SUBSTITUTE(SUBSTITUTE(SUBSTITUTE(SUBSTITUTE(SUBSTITUTE(SUBSTITUTE(NOTA[NAMA BARANG]," ",),".",""),"-",""),"(",""),")",""),",",""),"/",""),"""",""),"+",""))</f>
        <v/>
      </c>
      <c r="AM92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3" s="184" t="str">
        <f>IF(NOTA[[#This Row],[CONCAT1]]="","",MATCH(NOTA[[#This Row],[CONCAT1]],[1]!db[NB NOTA_C],0)+1)</f>
        <v/>
      </c>
    </row>
    <row r="924" spans="1:40" ht="20.100000000000001" customHeight="1" x14ac:dyDescent="0.25">
      <c r="A92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130" t="str">
        <f>IF(NOTA[[#This Row],[CEK_EXP]]&lt;D923,"err","")</f>
        <v/>
      </c>
      <c r="D924" s="130">
        <f>IF(NOTA[[#This Row],[TANGGAL]]="",D923,NOTA[[#This Row],[TANGGAL]])</f>
        <v>44959</v>
      </c>
      <c r="E924" s="130" t="str">
        <f ca="1">IF(NOTA[[#This Row],[NAMA BARANG]]="","",INDEX(NOTA[ID],MATCH(,INDIRECT(ADDRESS(ROW(NOTA[ID]),COLUMN(NOTA[ID]))&amp;":"&amp;ADDRESS(ROW(),COLUMN(NOTA[ID]))),-1)))</f>
        <v/>
      </c>
      <c r="F924" s="131"/>
      <c r="G924" s="132"/>
      <c r="H924" s="132"/>
      <c r="I924" s="133"/>
      <c r="J924" s="132"/>
      <c r="K924" s="134"/>
      <c r="L924" s="132"/>
      <c r="M924" s="132"/>
      <c r="N924" s="135"/>
      <c r="O924" s="132"/>
      <c r="P924" s="132"/>
      <c r="Q924" s="129"/>
      <c r="R924" s="136"/>
      <c r="S924" s="135"/>
      <c r="T924" s="137"/>
      <c r="U924" s="137"/>
      <c r="V924" s="138"/>
      <c r="W924" s="37"/>
      <c r="X924" s="138" t="str">
        <f>IF(NOTA[[#This Row],[HARGA/ CTN]]="",NOTA[[#This Row],[JUMLAH_H]],NOTA[[#This Row],[HARGA/ CTN]]*IF(NOTA[[#This Row],[C]]="",0,NOTA[[#This Row],[C]]))</f>
        <v/>
      </c>
      <c r="Y924" s="138" t="str">
        <f>IF(NOTA[[#This Row],[JUMLAH]]="","",NOTA[[#This Row],[JUMLAH]]*NOTA[[#This Row],[DISC 1]])</f>
        <v/>
      </c>
      <c r="Z924" s="138" t="str">
        <f>IF(NOTA[[#This Row],[JUMLAH]]="","",(NOTA[[#This Row],[JUMLAH]]-NOTA[[#This Row],[DISC 1-]])*NOTA[[#This Row],[DISC 2]])</f>
        <v/>
      </c>
      <c r="AA924" s="138" t="str">
        <f>IF(NOTA[[#This Row],[JUMLAH]]="","",NOTA[[#This Row],[DISC 1-]]+NOTA[[#This Row],[DISC 2-]])</f>
        <v/>
      </c>
      <c r="AB924" s="138" t="str">
        <f>IF(NOTA[[#This Row],[JUMLAH]]="","",NOTA[[#This Row],[JUMLAH]]-NOTA[[#This Row],[DISC]])</f>
        <v/>
      </c>
      <c r="AC92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138" t="str">
        <f>IF(OR(NOTA[[#This Row],[QTY]]="",NOTA[[#This Row],[HARGA SATUAN]]="",),"",NOTA[[#This Row],[QTY]]*NOTA[[#This Row],[HARGA SATUAN]])</f>
        <v/>
      </c>
      <c r="AG924" s="134" t="str">
        <f ca="1">IF(NOTA[ID_H]="","",INDEX(NOTA[TANGGAL],MATCH(,INDIRECT(ADDRESS(ROW(NOTA[TANGGAL]),COLUMN(NOTA[TANGGAL]))&amp;":"&amp;ADDRESS(ROW(),COLUMN(NOTA[TANGGAL]))),-1)))</f>
        <v/>
      </c>
      <c r="AH924" s="129" t="str">
        <f ca="1">IF(NOTA[[#This Row],[NAMA BARANG]]="","",INDEX(NOTA[SUPPLIER],MATCH(,INDIRECT(ADDRESS(ROW(NOTA[ID]),COLUMN(NOTA[ID]))&amp;":"&amp;ADDRESS(ROW(),COLUMN(NOTA[ID]))),-1)))</f>
        <v/>
      </c>
      <c r="AI924" s="129" t="str">
        <f ca="1">IF(NOTA[[#This Row],[ID_H]]="","",IF(NOTA[[#This Row],[FAKTUR]]="",INDIRECT(ADDRESS(ROW()-1,COLUMN())),NOTA[[#This Row],[FAKTUR]]))</f>
        <v/>
      </c>
      <c r="AJ924" s="38" t="str">
        <f ca="1">IF(NOTA[[#This Row],[ID]]="","",COUNTIF(NOTA[ID_H],NOTA[[#This Row],[ID_H]]))</f>
        <v/>
      </c>
      <c r="AK924" s="38" t="str">
        <f ca="1">IF(NOTA[[#This Row],[TGL.NOTA]]="",IF(NOTA[[#This Row],[SUPPLIER_H]]="","",AK923),MONTH(NOTA[[#This Row],[TGL.NOTA]]))</f>
        <v/>
      </c>
      <c r="AL924" s="38" t="str">
        <f>LOWER(SUBSTITUTE(SUBSTITUTE(SUBSTITUTE(SUBSTITUTE(SUBSTITUTE(SUBSTITUTE(SUBSTITUTE(SUBSTITUTE(SUBSTITUTE(NOTA[NAMA BARANG]," ",),".",""),"-",""),"(",""),")",""),",",""),"/",""),"""",""),"+",""))</f>
        <v/>
      </c>
      <c r="AM92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4" s="184" t="str">
        <f>IF(NOTA[[#This Row],[CONCAT1]]="","",MATCH(NOTA[[#This Row],[CONCAT1]],[1]!db[NB NOTA_C],0)+1)</f>
        <v/>
      </c>
    </row>
    <row r="925" spans="1:40" ht="20.100000000000001" customHeight="1" x14ac:dyDescent="0.25">
      <c r="A92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130" t="str">
        <f>IF(NOTA[[#This Row],[CEK_EXP]]&lt;D924,"err","")</f>
        <v/>
      </c>
      <c r="D925" s="130">
        <f>IF(NOTA[[#This Row],[TANGGAL]]="",D924,NOTA[[#This Row],[TANGGAL]])</f>
        <v>44959</v>
      </c>
      <c r="E925" s="130" t="str">
        <f ca="1">IF(NOTA[[#This Row],[NAMA BARANG]]="","",INDEX(NOTA[ID],MATCH(,INDIRECT(ADDRESS(ROW(NOTA[ID]),COLUMN(NOTA[ID]))&amp;":"&amp;ADDRESS(ROW(),COLUMN(NOTA[ID]))),-1)))</f>
        <v/>
      </c>
      <c r="F925" s="131"/>
      <c r="G925" s="26"/>
      <c r="H925" s="132"/>
      <c r="I925" s="133"/>
      <c r="J925" s="132"/>
      <c r="K925" s="134"/>
      <c r="L925" s="132"/>
      <c r="M925" s="132"/>
      <c r="N925" s="135"/>
      <c r="O925" s="132"/>
      <c r="P925" s="132"/>
      <c r="Q925" s="129"/>
      <c r="R925" s="136"/>
      <c r="S925" s="135"/>
      <c r="T925" s="137"/>
      <c r="U925" s="137"/>
      <c r="V925" s="138"/>
      <c r="W925" s="37"/>
      <c r="X925" s="138" t="str">
        <f>IF(NOTA[[#This Row],[HARGA/ CTN]]="",NOTA[[#This Row],[JUMLAH_H]],NOTA[[#This Row],[HARGA/ CTN]]*IF(NOTA[[#This Row],[C]]="",0,NOTA[[#This Row],[C]]))</f>
        <v/>
      </c>
      <c r="Y925" s="138" t="str">
        <f>IF(NOTA[[#This Row],[JUMLAH]]="","",NOTA[[#This Row],[JUMLAH]]*NOTA[[#This Row],[DISC 1]])</f>
        <v/>
      </c>
      <c r="Z925" s="138" t="str">
        <f>IF(NOTA[[#This Row],[JUMLAH]]="","",(NOTA[[#This Row],[JUMLAH]]-NOTA[[#This Row],[DISC 1-]])*NOTA[[#This Row],[DISC 2]])</f>
        <v/>
      </c>
      <c r="AA925" s="138" t="str">
        <f>IF(NOTA[[#This Row],[JUMLAH]]="","",NOTA[[#This Row],[DISC 1-]]+NOTA[[#This Row],[DISC 2-]])</f>
        <v/>
      </c>
      <c r="AB925" s="138" t="str">
        <f>IF(NOTA[[#This Row],[JUMLAH]]="","",NOTA[[#This Row],[JUMLAH]]-NOTA[[#This Row],[DISC]])</f>
        <v/>
      </c>
      <c r="AC92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138" t="str">
        <f>IF(OR(NOTA[[#This Row],[QTY]]="",NOTA[[#This Row],[HARGA SATUAN]]="",),"",NOTA[[#This Row],[QTY]]*NOTA[[#This Row],[HARGA SATUAN]])</f>
        <v/>
      </c>
      <c r="AG925" s="134" t="str">
        <f ca="1">IF(NOTA[ID_H]="","",INDEX(NOTA[TANGGAL],MATCH(,INDIRECT(ADDRESS(ROW(NOTA[TANGGAL]),COLUMN(NOTA[TANGGAL]))&amp;":"&amp;ADDRESS(ROW(),COLUMN(NOTA[TANGGAL]))),-1)))</f>
        <v/>
      </c>
      <c r="AH925" s="129" t="str">
        <f ca="1">IF(NOTA[[#This Row],[NAMA BARANG]]="","",INDEX(NOTA[SUPPLIER],MATCH(,INDIRECT(ADDRESS(ROW(NOTA[ID]),COLUMN(NOTA[ID]))&amp;":"&amp;ADDRESS(ROW(),COLUMN(NOTA[ID]))),-1)))</f>
        <v/>
      </c>
      <c r="AI925" s="129" t="str">
        <f ca="1">IF(NOTA[[#This Row],[ID_H]]="","",IF(NOTA[[#This Row],[FAKTUR]]="",INDIRECT(ADDRESS(ROW()-1,COLUMN())),NOTA[[#This Row],[FAKTUR]]))</f>
        <v/>
      </c>
      <c r="AJ925" s="38" t="str">
        <f ca="1">IF(NOTA[[#This Row],[ID]]="","",COUNTIF(NOTA[ID_H],NOTA[[#This Row],[ID_H]]))</f>
        <v/>
      </c>
      <c r="AK925" s="38" t="str">
        <f ca="1">IF(NOTA[[#This Row],[TGL.NOTA]]="",IF(NOTA[[#This Row],[SUPPLIER_H]]="","",AK924),MONTH(NOTA[[#This Row],[TGL.NOTA]]))</f>
        <v/>
      </c>
      <c r="AL925" s="38" t="str">
        <f>LOWER(SUBSTITUTE(SUBSTITUTE(SUBSTITUTE(SUBSTITUTE(SUBSTITUTE(SUBSTITUTE(SUBSTITUTE(SUBSTITUTE(SUBSTITUTE(NOTA[NAMA BARANG]," ",),".",""),"-",""),"(",""),")",""),",",""),"/",""),"""",""),"+",""))</f>
        <v/>
      </c>
      <c r="AM92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5" s="184" t="str">
        <f>IF(NOTA[[#This Row],[CONCAT1]]="","",MATCH(NOTA[[#This Row],[CONCAT1]],[1]!db[NB NOTA_C],0)+1)</f>
        <v/>
      </c>
    </row>
    <row r="926" spans="1:40" ht="20.100000000000001" customHeight="1" x14ac:dyDescent="0.25">
      <c r="A92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130" t="str">
        <f>IF(NOTA[[#This Row],[CEK_EXP]]&lt;D925,"err","")</f>
        <v/>
      </c>
      <c r="D926" s="130">
        <f>IF(NOTA[[#This Row],[TANGGAL]]="",D925,NOTA[[#This Row],[TANGGAL]])</f>
        <v>44959</v>
      </c>
      <c r="E926" s="130" t="str">
        <f ca="1">IF(NOTA[[#This Row],[NAMA BARANG]]="","",INDEX(NOTA[ID],MATCH(,INDIRECT(ADDRESS(ROW(NOTA[ID]),COLUMN(NOTA[ID]))&amp;":"&amp;ADDRESS(ROW(),COLUMN(NOTA[ID]))),-1)))</f>
        <v/>
      </c>
      <c r="F926" s="131"/>
      <c r="G926" s="132"/>
      <c r="H926" s="132"/>
      <c r="I926" s="133"/>
      <c r="J926" s="132"/>
      <c r="K926" s="134"/>
      <c r="L926" s="132"/>
      <c r="M926" s="132"/>
      <c r="N926" s="135"/>
      <c r="O926" s="132"/>
      <c r="P926" s="132"/>
      <c r="Q926" s="129"/>
      <c r="R926" s="136"/>
      <c r="S926" s="135"/>
      <c r="T926" s="137"/>
      <c r="U926" s="137"/>
      <c r="V926" s="138"/>
      <c r="W926" s="37"/>
      <c r="X926" s="138" t="str">
        <f>IF(NOTA[[#This Row],[HARGA/ CTN]]="",NOTA[[#This Row],[JUMLAH_H]],NOTA[[#This Row],[HARGA/ CTN]]*IF(NOTA[[#This Row],[C]]="",0,NOTA[[#This Row],[C]]))</f>
        <v/>
      </c>
      <c r="Y926" s="138" t="str">
        <f>IF(NOTA[[#This Row],[JUMLAH]]="","",NOTA[[#This Row],[JUMLAH]]*NOTA[[#This Row],[DISC 1]])</f>
        <v/>
      </c>
      <c r="Z926" s="138" t="str">
        <f>IF(NOTA[[#This Row],[JUMLAH]]="","",(NOTA[[#This Row],[JUMLAH]]-NOTA[[#This Row],[DISC 1-]])*NOTA[[#This Row],[DISC 2]])</f>
        <v/>
      </c>
      <c r="AA926" s="138" t="str">
        <f>IF(NOTA[[#This Row],[JUMLAH]]="","",NOTA[[#This Row],[DISC 1-]]+NOTA[[#This Row],[DISC 2-]])</f>
        <v/>
      </c>
      <c r="AB926" s="138" t="str">
        <f>IF(NOTA[[#This Row],[JUMLAH]]="","",NOTA[[#This Row],[JUMLAH]]-NOTA[[#This Row],[DISC]])</f>
        <v/>
      </c>
      <c r="AC92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138" t="str">
        <f>IF(OR(NOTA[[#This Row],[QTY]]="",NOTA[[#This Row],[HARGA SATUAN]]="",),"",NOTA[[#This Row],[QTY]]*NOTA[[#This Row],[HARGA SATUAN]])</f>
        <v/>
      </c>
      <c r="AG926" s="134" t="str">
        <f ca="1">IF(NOTA[ID_H]="","",INDEX(NOTA[TANGGAL],MATCH(,INDIRECT(ADDRESS(ROW(NOTA[TANGGAL]),COLUMN(NOTA[TANGGAL]))&amp;":"&amp;ADDRESS(ROW(),COLUMN(NOTA[TANGGAL]))),-1)))</f>
        <v/>
      </c>
      <c r="AH926" s="129" t="str">
        <f ca="1">IF(NOTA[[#This Row],[NAMA BARANG]]="","",INDEX(NOTA[SUPPLIER],MATCH(,INDIRECT(ADDRESS(ROW(NOTA[ID]),COLUMN(NOTA[ID]))&amp;":"&amp;ADDRESS(ROW(),COLUMN(NOTA[ID]))),-1)))</f>
        <v/>
      </c>
      <c r="AI926" s="129" t="str">
        <f ca="1">IF(NOTA[[#This Row],[ID_H]]="","",IF(NOTA[[#This Row],[FAKTUR]]="",INDIRECT(ADDRESS(ROW()-1,COLUMN())),NOTA[[#This Row],[FAKTUR]]))</f>
        <v/>
      </c>
      <c r="AJ926" s="38" t="str">
        <f ca="1">IF(NOTA[[#This Row],[ID]]="","",COUNTIF(NOTA[ID_H],NOTA[[#This Row],[ID_H]]))</f>
        <v/>
      </c>
      <c r="AK926" s="38" t="str">
        <f ca="1">IF(NOTA[[#This Row],[TGL.NOTA]]="",IF(NOTA[[#This Row],[SUPPLIER_H]]="","",AK925),MONTH(NOTA[[#This Row],[TGL.NOTA]]))</f>
        <v/>
      </c>
      <c r="AL926" s="38" t="str">
        <f>LOWER(SUBSTITUTE(SUBSTITUTE(SUBSTITUTE(SUBSTITUTE(SUBSTITUTE(SUBSTITUTE(SUBSTITUTE(SUBSTITUTE(SUBSTITUTE(NOTA[NAMA BARANG]," ",),".",""),"-",""),"(",""),")",""),",",""),"/",""),"""",""),"+",""))</f>
        <v/>
      </c>
      <c r="AM92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6" s="184" t="str">
        <f>IF(NOTA[[#This Row],[CONCAT1]]="","",MATCH(NOTA[[#This Row],[CONCAT1]],[1]!db[NB NOTA_C],0)+1)</f>
        <v/>
      </c>
    </row>
    <row r="927" spans="1:40" ht="20.100000000000001" customHeight="1" x14ac:dyDescent="0.25">
      <c r="A92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92" t="str">
        <f>IF(NOTA[[#This Row],[CEK_EXP]]&lt;D926,"err","")</f>
        <v/>
      </c>
      <c r="D927" s="92">
        <f>IF(NOTA[[#This Row],[TANGGAL]]="",D926,NOTA[[#This Row],[TANGGAL]])</f>
        <v>44959</v>
      </c>
      <c r="E927" s="92" t="str">
        <f ca="1">IF(NOTA[[#This Row],[NAMA BARANG]]="","",INDEX(NOTA[ID],MATCH(,INDIRECT(ADDRESS(ROW(NOTA[ID]),COLUMN(NOTA[ID]))&amp;":"&amp;ADDRESS(ROW(),COLUMN(NOTA[ID]))),-1)))</f>
        <v/>
      </c>
      <c r="F927" s="139"/>
      <c r="G927" s="38"/>
      <c r="H927" s="38"/>
      <c r="I927" s="79"/>
      <c r="J927" s="38"/>
      <c r="K927" s="78"/>
      <c r="L927" s="38"/>
      <c r="M927" s="38"/>
      <c r="N927" s="140"/>
      <c r="O927" s="38"/>
      <c r="P927" s="38"/>
      <c r="Q927" s="90"/>
      <c r="R927" s="105"/>
      <c r="S927" s="140"/>
      <c r="T927" s="141"/>
      <c r="U927" s="141"/>
      <c r="V927" s="66"/>
      <c r="W927" s="103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Row],[JUMLAH]]="","",NOTA[[#This Row],[DISC 1-]]+NOTA[[#This Row],[DISC 2-]])</f>
        <v/>
      </c>
      <c r="AB927" s="66" t="str">
        <f>IF(NOTA[[#This Row],[JUMLAH]]="","",NOTA[[#This Row],[JUMLAH]]-NOTA[[#This Row],[DISC]])</f>
        <v/>
      </c>
      <c r="AC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66" t="str">
        <f>IF(OR(NOTA[[#This Row],[QTY]]="",NOTA[[#This Row],[HARGA SATUAN]]="",),"",NOTA[[#This Row],[QTY]]*NOTA[[#This Row],[HARGA SATUAN]])</f>
        <v/>
      </c>
      <c r="AG927" s="78" t="str">
        <f ca="1">IF(NOTA[ID_H]="","",INDEX(NOTA[TANGGAL],MATCH(,INDIRECT(ADDRESS(ROW(NOTA[TANGGAL]),COLUMN(NOTA[TANGGAL]))&amp;":"&amp;ADDRESS(ROW(),COLUMN(NOTA[TANGGAL]))),-1)))</f>
        <v/>
      </c>
      <c r="AH927" s="90" t="str">
        <f ca="1">IF(NOTA[[#This Row],[NAMA BARANG]]="","",INDEX(NOTA[SUPPLIER],MATCH(,INDIRECT(ADDRESS(ROW(NOTA[ID]),COLUMN(NOTA[ID]))&amp;":"&amp;ADDRESS(ROW(),COLUMN(NOTA[ID]))),-1)))</f>
        <v/>
      </c>
      <c r="AI927" s="90" t="str">
        <f ca="1">IF(NOTA[[#This Row],[ID_H]]="","",IF(NOTA[[#This Row],[FAKTUR]]="",INDIRECT(ADDRESS(ROW()-1,COLUMN())),NOTA[[#This Row],[FAKTUR]]))</f>
        <v/>
      </c>
      <c r="AJ927" s="38" t="str">
        <f ca="1">IF(NOTA[[#This Row],[ID]]="","",COUNTIF(NOTA[ID_H],NOTA[[#This Row],[ID_H]]))</f>
        <v/>
      </c>
      <c r="AK927" s="38" t="str">
        <f ca="1">IF(NOTA[[#This Row],[TGL.NOTA]]="",IF(NOTA[[#This Row],[SUPPLIER_H]]="","",AK926),MONTH(NOTA[[#This Row],[TGL.NOTA]]))</f>
        <v/>
      </c>
      <c r="AL927" s="38" t="str">
        <f>LOWER(SUBSTITUTE(SUBSTITUTE(SUBSTITUTE(SUBSTITUTE(SUBSTITUTE(SUBSTITUTE(SUBSTITUTE(SUBSTITUTE(SUBSTITUTE(NOTA[NAMA BARANG]," ",),".",""),"-",""),"(",""),")",""),",",""),"/",""),"""",""),"+",""))</f>
        <v/>
      </c>
      <c r="AM92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7" s="184" t="str">
        <f>IF(NOTA[[#This Row],[CONCAT1]]="","",MATCH(NOTA[[#This Row],[CONCAT1]],[1]!db[NB NOTA_C],0)+1)</f>
        <v/>
      </c>
    </row>
    <row r="928" spans="1:40" ht="20.100000000000001" customHeight="1" x14ac:dyDescent="0.25">
      <c r="A92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92" t="str">
        <f>IF(NOTA[[#This Row],[CEK_EXP]]&lt;D927,"err","")</f>
        <v/>
      </c>
      <c r="D928" s="92">
        <f>IF(NOTA[[#This Row],[TANGGAL]]="",D927,NOTA[[#This Row],[TANGGAL]])</f>
        <v>44959</v>
      </c>
      <c r="E928" s="92" t="str">
        <f ca="1">IF(NOTA[[#This Row],[NAMA BARANG]]="","",INDEX(NOTA[ID],MATCH(,INDIRECT(ADDRESS(ROW(NOTA[ID]),COLUMN(NOTA[ID]))&amp;":"&amp;ADDRESS(ROW(),COLUMN(NOTA[ID]))),-1)))</f>
        <v/>
      </c>
      <c r="F928" s="139"/>
      <c r="G928" s="38"/>
      <c r="H928" s="38"/>
      <c r="I928" s="79"/>
      <c r="J928" s="38"/>
      <c r="K928" s="78"/>
      <c r="L928" s="38"/>
      <c r="M928" s="38"/>
      <c r="N928" s="140"/>
      <c r="O928" s="38"/>
      <c r="P928" s="38"/>
      <c r="Q928" s="90"/>
      <c r="R928" s="105"/>
      <c r="S928" s="140"/>
      <c r="T928" s="141"/>
      <c r="U928" s="141"/>
      <c r="V928" s="66"/>
      <c r="W928" s="103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Row],[JUMLAH]]="","",NOTA[[#This Row],[DISC 1-]]+NOTA[[#This Row],[DISC 2-]])</f>
        <v/>
      </c>
      <c r="AB928" s="66" t="str">
        <f>IF(NOTA[[#This Row],[JUMLAH]]="","",NOTA[[#This Row],[JUMLAH]]-NOTA[[#This Row],[DISC]])</f>
        <v/>
      </c>
      <c r="AC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66" t="str">
        <f>IF(OR(NOTA[[#This Row],[QTY]]="",NOTA[[#This Row],[HARGA SATUAN]]="",),"",NOTA[[#This Row],[QTY]]*NOTA[[#This Row],[HARGA SATUAN]])</f>
        <v/>
      </c>
      <c r="AG928" s="78" t="str">
        <f ca="1">IF(NOTA[ID_H]="","",INDEX(NOTA[TANGGAL],MATCH(,INDIRECT(ADDRESS(ROW(NOTA[TANGGAL]),COLUMN(NOTA[TANGGAL]))&amp;":"&amp;ADDRESS(ROW(),COLUMN(NOTA[TANGGAL]))),-1)))</f>
        <v/>
      </c>
      <c r="AH928" s="90" t="str">
        <f ca="1">IF(NOTA[[#This Row],[NAMA BARANG]]="","",INDEX(NOTA[SUPPLIER],MATCH(,INDIRECT(ADDRESS(ROW(NOTA[ID]),COLUMN(NOTA[ID]))&amp;":"&amp;ADDRESS(ROW(),COLUMN(NOTA[ID]))),-1)))</f>
        <v/>
      </c>
      <c r="AI928" s="90" t="str">
        <f ca="1">IF(NOTA[[#This Row],[ID_H]]="","",IF(NOTA[[#This Row],[FAKTUR]]="",INDIRECT(ADDRESS(ROW()-1,COLUMN())),NOTA[[#This Row],[FAKTUR]]))</f>
        <v/>
      </c>
      <c r="AJ928" s="38" t="str">
        <f ca="1">IF(NOTA[[#This Row],[ID]]="","",COUNTIF(NOTA[ID_H],NOTA[[#This Row],[ID_H]]))</f>
        <v/>
      </c>
      <c r="AK928" s="38" t="str">
        <f ca="1">IF(NOTA[[#This Row],[TGL.NOTA]]="",IF(NOTA[[#This Row],[SUPPLIER_H]]="","",AK927),MONTH(NOTA[[#This Row],[TGL.NOTA]]))</f>
        <v/>
      </c>
      <c r="AL928" s="38" t="str">
        <f>LOWER(SUBSTITUTE(SUBSTITUTE(SUBSTITUTE(SUBSTITUTE(SUBSTITUTE(SUBSTITUTE(SUBSTITUTE(SUBSTITUTE(SUBSTITUTE(NOTA[NAMA BARANG]," ",),".",""),"-",""),"(",""),")",""),",",""),"/",""),"""",""),"+",""))</f>
        <v/>
      </c>
      <c r="AM92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8" s="184" t="str">
        <f>IF(NOTA[[#This Row],[CONCAT1]]="","",MATCH(NOTA[[#This Row],[CONCAT1]],[1]!db[NB NOTA_C],0)+1)</f>
        <v/>
      </c>
    </row>
    <row r="929" spans="1:40" ht="20.100000000000001" customHeight="1" x14ac:dyDescent="0.25">
      <c r="A92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92" t="str">
        <f>IF(NOTA[[#This Row],[CEK_EXP]]&lt;D928,"err","")</f>
        <v/>
      </c>
      <c r="D929" s="92">
        <f>IF(NOTA[[#This Row],[TANGGAL]]="",D928,NOTA[[#This Row],[TANGGAL]])</f>
        <v>44959</v>
      </c>
      <c r="E929" s="92" t="str">
        <f ca="1">IF(NOTA[[#This Row],[NAMA BARANG]]="","",INDEX(NOTA[ID],MATCH(,INDIRECT(ADDRESS(ROW(NOTA[ID]),COLUMN(NOTA[ID]))&amp;":"&amp;ADDRESS(ROW(),COLUMN(NOTA[ID]))),-1)))</f>
        <v/>
      </c>
      <c r="F929" s="139"/>
      <c r="G929" s="38"/>
      <c r="H929" s="38"/>
      <c r="I929" s="79"/>
      <c r="J929" s="38"/>
      <c r="K929" s="78"/>
      <c r="L929" s="38"/>
      <c r="M929" s="38"/>
      <c r="N929" s="140"/>
      <c r="O929" s="38"/>
      <c r="P929" s="38"/>
      <c r="Q929" s="90"/>
      <c r="R929" s="105"/>
      <c r="S929" s="140"/>
      <c r="T929" s="141"/>
      <c r="U929" s="141"/>
      <c r="V929" s="66"/>
      <c r="W929" s="103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Row],[JUMLAH]]="","",NOTA[[#This Row],[DISC 1-]]+NOTA[[#This Row],[DISC 2-]])</f>
        <v/>
      </c>
      <c r="AB929" s="66" t="str">
        <f>IF(NOTA[[#This Row],[JUMLAH]]="","",NOTA[[#This Row],[JUMLAH]]-NOTA[[#This Row],[DISC]])</f>
        <v/>
      </c>
      <c r="AC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66" t="str">
        <f>IF(OR(NOTA[[#This Row],[QTY]]="",NOTA[[#This Row],[HARGA SATUAN]]="",),"",NOTA[[#This Row],[QTY]]*NOTA[[#This Row],[HARGA SATUAN]])</f>
        <v/>
      </c>
      <c r="AG929" s="78" t="str">
        <f ca="1">IF(NOTA[ID_H]="","",INDEX(NOTA[TANGGAL],MATCH(,INDIRECT(ADDRESS(ROW(NOTA[TANGGAL]),COLUMN(NOTA[TANGGAL]))&amp;":"&amp;ADDRESS(ROW(),COLUMN(NOTA[TANGGAL]))),-1)))</f>
        <v/>
      </c>
      <c r="AH929" s="90" t="str">
        <f ca="1">IF(NOTA[[#This Row],[NAMA BARANG]]="","",INDEX(NOTA[SUPPLIER],MATCH(,INDIRECT(ADDRESS(ROW(NOTA[ID]),COLUMN(NOTA[ID]))&amp;":"&amp;ADDRESS(ROW(),COLUMN(NOTA[ID]))),-1)))</f>
        <v/>
      </c>
      <c r="AI929" s="90" t="str">
        <f ca="1">IF(NOTA[[#This Row],[ID_H]]="","",IF(NOTA[[#This Row],[FAKTUR]]="",INDIRECT(ADDRESS(ROW()-1,COLUMN())),NOTA[[#This Row],[FAKTUR]]))</f>
        <v/>
      </c>
      <c r="AJ929" s="38" t="str">
        <f ca="1">IF(NOTA[[#This Row],[ID]]="","",COUNTIF(NOTA[ID_H],NOTA[[#This Row],[ID_H]]))</f>
        <v/>
      </c>
      <c r="AK929" s="38" t="str">
        <f ca="1">IF(NOTA[[#This Row],[TGL.NOTA]]="",IF(NOTA[[#This Row],[SUPPLIER_H]]="","",AK928),MONTH(NOTA[[#This Row],[TGL.NOTA]]))</f>
        <v/>
      </c>
      <c r="AL929" s="38" t="str">
        <f>LOWER(SUBSTITUTE(SUBSTITUTE(SUBSTITUTE(SUBSTITUTE(SUBSTITUTE(SUBSTITUTE(SUBSTITUTE(SUBSTITUTE(SUBSTITUTE(NOTA[NAMA BARANG]," ",),".",""),"-",""),"(",""),")",""),",",""),"/",""),"""",""),"+",""))</f>
        <v/>
      </c>
      <c r="AM92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29" s="184" t="str">
        <f>IF(NOTA[[#This Row],[CONCAT1]]="","",MATCH(NOTA[[#This Row],[CONCAT1]],[1]!db[NB NOTA_C],0)+1)</f>
        <v/>
      </c>
    </row>
    <row r="930" spans="1:40" ht="20.100000000000001" customHeight="1" x14ac:dyDescent="0.25">
      <c r="A93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92" t="str">
        <f>IF(NOTA[[#This Row],[CEK_EXP]]&lt;D929,"err","")</f>
        <v/>
      </c>
      <c r="D930" s="92">
        <f>IF(NOTA[[#This Row],[TANGGAL]]="",D929,NOTA[[#This Row],[TANGGAL]])</f>
        <v>44959</v>
      </c>
      <c r="E930" s="92" t="str">
        <f ca="1">IF(NOTA[[#This Row],[NAMA BARANG]]="","",INDEX(NOTA[ID],MATCH(,INDIRECT(ADDRESS(ROW(NOTA[ID]),COLUMN(NOTA[ID]))&amp;":"&amp;ADDRESS(ROW(),COLUMN(NOTA[ID]))),-1)))</f>
        <v/>
      </c>
      <c r="F930" s="139"/>
      <c r="G930" s="38"/>
      <c r="H930" s="38"/>
      <c r="I930" s="79"/>
      <c r="J930" s="38"/>
      <c r="K930" s="78"/>
      <c r="L930" s="38"/>
      <c r="M930" s="38"/>
      <c r="N930" s="140"/>
      <c r="O930" s="38"/>
      <c r="P930" s="38"/>
      <c r="Q930" s="90"/>
      <c r="R930" s="105"/>
      <c r="S930" s="140"/>
      <c r="T930" s="141"/>
      <c r="U930" s="141"/>
      <c r="V930" s="66"/>
      <c r="W930" s="103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Row],[JUMLAH]]="","",NOTA[[#This Row],[DISC 1-]]+NOTA[[#This Row],[DISC 2-]])</f>
        <v/>
      </c>
      <c r="AB930" s="66" t="str">
        <f>IF(NOTA[[#This Row],[JUMLAH]]="","",NOTA[[#This Row],[JUMLAH]]-NOTA[[#This Row],[DISC]])</f>
        <v/>
      </c>
      <c r="AC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66" t="str">
        <f>IF(OR(NOTA[[#This Row],[QTY]]="",NOTA[[#This Row],[HARGA SATUAN]]="",),"",NOTA[[#This Row],[QTY]]*NOTA[[#This Row],[HARGA SATUAN]])</f>
        <v/>
      </c>
      <c r="AG930" s="78" t="str">
        <f ca="1">IF(NOTA[ID_H]="","",INDEX(NOTA[TANGGAL],MATCH(,INDIRECT(ADDRESS(ROW(NOTA[TANGGAL]),COLUMN(NOTA[TANGGAL]))&amp;":"&amp;ADDRESS(ROW(),COLUMN(NOTA[TANGGAL]))),-1)))</f>
        <v/>
      </c>
      <c r="AH930" s="90" t="str">
        <f ca="1">IF(NOTA[[#This Row],[NAMA BARANG]]="","",INDEX(NOTA[SUPPLIER],MATCH(,INDIRECT(ADDRESS(ROW(NOTA[ID]),COLUMN(NOTA[ID]))&amp;":"&amp;ADDRESS(ROW(),COLUMN(NOTA[ID]))),-1)))</f>
        <v/>
      </c>
      <c r="AI930" s="90" t="str">
        <f ca="1">IF(NOTA[[#This Row],[ID_H]]="","",IF(NOTA[[#This Row],[FAKTUR]]="",INDIRECT(ADDRESS(ROW()-1,COLUMN())),NOTA[[#This Row],[FAKTUR]]))</f>
        <v/>
      </c>
      <c r="AJ930" s="38" t="str">
        <f ca="1">IF(NOTA[[#This Row],[ID]]="","",COUNTIF(NOTA[ID_H],NOTA[[#This Row],[ID_H]]))</f>
        <v/>
      </c>
      <c r="AK930" s="38" t="str">
        <f ca="1">IF(NOTA[[#This Row],[TGL.NOTA]]="",IF(NOTA[[#This Row],[SUPPLIER_H]]="","",AK929),MONTH(NOTA[[#This Row],[TGL.NOTA]]))</f>
        <v/>
      </c>
      <c r="AL930" s="38" t="str">
        <f>LOWER(SUBSTITUTE(SUBSTITUTE(SUBSTITUTE(SUBSTITUTE(SUBSTITUTE(SUBSTITUTE(SUBSTITUTE(SUBSTITUTE(SUBSTITUTE(NOTA[NAMA BARANG]," ",),".",""),"-",""),"(",""),")",""),",",""),"/",""),"""",""),"+",""))</f>
        <v/>
      </c>
      <c r="AM93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0" s="184" t="str">
        <f>IF(NOTA[[#This Row],[CONCAT1]]="","",MATCH(NOTA[[#This Row],[CONCAT1]],[1]!db[NB NOTA_C],0)+1)</f>
        <v/>
      </c>
    </row>
    <row r="931" spans="1:40" ht="20.100000000000001" customHeight="1" x14ac:dyDescent="0.25">
      <c r="A93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92" t="str">
        <f>IF(NOTA[[#This Row],[CEK_EXP]]&lt;D930,"err","")</f>
        <v/>
      </c>
      <c r="D931" s="92">
        <f>IF(NOTA[[#This Row],[TANGGAL]]="",D930,NOTA[[#This Row],[TANGGAL]])</f>
        <v>44959</v>
      </c>
      <c r="E931" s="92" t="str">
        <f ca="1">IF(NOTA[[#This Row],[NAMA BARANG]]="","",INDEX(NOTA[ID],MATCH(,INDIRECT(ADDRESS(ROW(NOTA[ID]),COLUMN(NOTA[ID]))&amp;":"&amp;ADDRESS(ROW(),COLUMN(NOTA[ID]))),-1)))</f>
        <v/>
      </c>
      <c r="F931" s="139"/>
      <c r="G931" s="38"/>
      <c r="H931" s="38"/>
      <c r="I931" s="79"/>
      <c r="J931" s="38"/>
      <c r="K931" s="78"/>
      <c r="L931" s="38"/>
      <c r="M931" s="38"/>
      <c r="N931" s="140"/>
      <c r="O931" s="38"/>
      <c r="P931" s="38"/>
      <c r="Q931" s="90"/>
      <c r="R931" s="105"/>
      <c r="S931" s="140"/>
      <c r="T931" s="141"/>
      <c r="U931" s="141"/>
      <c r="V931" s="66"/>
      <c r="W931" s="103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Row],[JUMLAH]]="","",NOTA[[#This Row],[DISC 1-]]+NOTA[[#This Row],[DISC 2-]])</f>
        <v/>
      </c>
      <c r="AB931" s="66" t="str">
        <f>IF(NOTA[[#This Row],[JUMLAH]]="","",NOTA[[#This Row],[JUMLAH]]-NOTA[[#This Row],[DISC]])</f>
        <v/>
      </c>
      <c r="AC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66" t="str">
        <f>IF(OR(NOTA[[#This Row],[QTY]]="",NOTA[[#This Row],[HARGA SATUAN]]="",),"",NOTA[[#This Row],[QTY]]*NOTA[[#This Row],[HARGA SATUAN]])</f>
        <v/>
      </c>
      <c r="AG931" s="78" t="str">
        <f ca="1">IF(NOTA[ID_H]="","",INDEX(NOTA[TANGGAL],MATCH(,INDIRECT(ADDRESS(ROW(NOTA[TANGGAL]),COLUMN(NOTA[TANGGAL]))&amp;":"&amp;ADDRESS(ROW(),COLUMN(NOTA[TANGGAL]))),-1)))</f>
        <v/>
      </c>
      <c r="AH931" s="90" t="str">
        <f ca="1">IF(NOTA[[#This Row],[NAMA BARANG]]="","",INDEX(NOTA[SUPPLIER],MATCH(,INDIRECT(ADDRESS(ROW(NOTA[ID]),COLUMN(NOTA[ID]))&amp;":"&amp;ADDRESS(ROW(),COLUMN(NOTA[ID]))),-1)))</f>
        <v/>
      </c>
      <c r="AI931" s="90" t="str">
        <f ca="1">IF(NOTA[[#This Row],[ID_H]]="","",IF(NOTA[[#This Row],[FAKTUR]]="",INDIRECT(ADDRESS(ROW()-1,COLUMN())),NOTA[[#This Row],[FAKTUR]]))</f>
        <v/>
      </c>
      <c r="AJ931" s="38" t="str">
        <f ca="1">IF(NOTA[[#This Row],[ID]]="","",COUNTIF(NOTA[ID_H],NOTA[[#This Row],[ID_H]]))</f>
        <v/>
      </c>
      <c r="AK931" s="38" t="str">
        <f ca="1">IF(NOTA[[#This Row],[TGL.NOTA]]="",IF(NOTA[[#This Row],[SUPPLIER_H]]="","",AK930),MONTH(NOTA[[#This Row],[TGL.NOTA]]))</f>
        <v/>
      </c>
      <c r="AL931" s="38" t="str">
        <f>LOWER(SUBSTITUTE(SUBSTITUTE(SUBSTITUTE(SUBSTITUTE(SUBSTITUTE(SUBSTITUTE(SUBSTITUTE(SUBSTITUTE(SUBSTITUTE(NOTA[NAMA BARANG]," ",),".",""),"-",""),"(",""),")",""),",",""),"/",""),"""",""),"+",""))</f>
        <v/>
      </c>
      <c r="AM93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1" s="184" t="str">
        <f>IF(NOTA[[#This Row],[CONCAT1]]="","",MATCH(NOTA[[#This Row],[CONCAT1]],[1]!db[NB NOTA_C],0)+1)</f>
        <v/>
      </c>
    </row>
    <row r="932" spans="1:40" ht="20.100000000000001" customHeight="1" x14ac:dyDescent="0.25">
      <c r="A93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92" t="str">
        <f>IF(NOTA[[#This Row],[CEK_EXP]]&lt;D931,"err","")</f>
        <v/>
      </c>
      <c r="D932" s="92">
        <f>IF(NOTA[[#This Row],[TANGGAL]]="",D931,NOTA[[#This Row],[TANGGAL]])</f>
        <v>44959</v>
      </c>
      <c r="E932" s="92" t="str">
        <f ca="1">IF(NOTA[[#This Row],[NAMA BARANG]]="","",INDEX(NOTA[ID],MATCH(,INDIRECT(ADDRESS(ROW(NOTA[ID]),COLUMN(NOTA[ID]))&amp;":"&amp;ADDRESS(ROW(),COLUMN(NOTA[ID]))),-1)))</f>
        <v/>
      </c>
      <c r="F932" s="139"/>
      <c r="G932" s="38"/>
      <c r="H932" s="38"/>
      <c r="I932" s="79"/>
      <c r="J932" s="38"/>
      <c r="K932" s="78"/>
      <c r="L932" s="38"/>
      <c r="M932" s="38"/>
      <c r="N932" s="140"/>
      <c r="O932" s="38"/>
      <c r="P932" s="38"/>
      <c r="Q932" s="90"/>
      <c r="R932" s="105"/>
      <c r="S932" s="140"/>
      <c r="T932" s="141"/>
      <c r="U932" s="141"/>
      <c r="V932" s="66"/>
      <c r="W932" s="103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Row],[JUMLAH]]="","",NOTA[[#This Row],[DISC 1-]]+NOTA[[#This Row],[DISC 2-]])</f>
        <v/>
      </c>
      <c r="AB932" s="66" t="str">
        <f>IF(NOTA[[#This Row],[JUMLAH]]="","",NOTA[[#This Row],[JUMLAH]]-NOTA[[#This Row],[DISC]])</f>
        <v/>
      </c>
      <c r="AC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66" t="str">
        <f>IF(OR(NOTA[[#This Row],[QTY]]="",NOTA[[#This Row],[HARGA SATUAN]]="",),"",NOTA[[#This Row],[QTY]]*NOTA[[#This Row],[HARGA SATUAN]])</f>
        <v/>
      </c>
      <c r="AG932" s="78" t="str">
        <f ca="1">IF(NOTA[ID_H]="","",INDEX(NOTA[TANGGAL],MATCH(,INDIRECT(ADDRESS(ROW(NOTA[TANGGAL]),COLUMN(NOTA[TANGGAL]))&amp;":"&amp;ADDRESS(ROW(),COLUMN(NOTA[TANGGAL]))),-1)))</f>
        <v/>
      </c>
      <c r="AH932" s="90" t="str">
        <f ca="1">IF(NOTA[[#This Row],[NAMA BARANG]]="","",INDEX(NOTA[SUPPLIER],MATCH(,INDIRECT(ADDRESS(ROW(NOTA[ID]),COLUMN(NOTA[ID]))&amp;":"&amp;ADDRESS(ROW(),COLUMN(NOTA[ID]))),-1)))</f>
        <v/>
      </c>
      <c r="AI932" s="90" t="str">
        <f ca="1">IF(NOTA[[#This Row],[ID_H]]="","",IF(NOTA[[#This Row],[FAKTUR]]="",INDIRECT(ADDRESS(ROW()-1,COLUMN())),NOTA[[#This Row],[FAKTUR]]))</f>
        <v/>
      </c>
      <c r="AJ932" s="38" t="str">
        <f ca="1">IF(NOTA[[#This Row],[ID]]="","",COUNTIF(NOTA[ID_H],NOTA[[#This Row],[ID_H]]))</f>
        <v/>
      </c>
      <c r="AK932" s="38" t="str">
        <f ca="1">IF(NOTA[[#This Row],[TGL.NOTA]]="",IF(NOTA[[#This Row],[SUPPLIER_H]]="","",AK931),MONTH(NOTA[[#This Row],[TGL.NOTA]]))</f>
        <v/>
      </c>
      <c r="AL932" s="38" t="str">
        <f>LOWER(SUBSTITUTE(SUBSTITUTE(SUBSTITUTE(SUBSTITUTE(SUBSTITUTE(SUBSTITUTE(SUBSTITUTE(SUBSTITUTE(SUBSTITUTE(NOTA[NAMA BARANG]," ",),".",""),"-",""),"(",""),")",""),",",""),"/",""),"""",""),"+",""))</f>
        <v/>
      </c>
      <c r="AM93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2" s="184" t="str">
        <f>IF(NOTA[[#This Row],[CONCAT1]]="","",MATCH(NOTA[[#This Row],[CONCAT1]],[1]!db[NB NOTA_C],0)+1)</f>
        <v/>
      </c>
    </row>
    <row r="933" spans="1:40" ht="20.100000000000001" customHeight="1" x14ac:dyDescent="0.25">
      <c r="A93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92" t="str">
        <f>IF(NOTA[[#This Row],[CEK_EXP]]&lt;D932,"err","")</f>
        <v/>
      </c>
      <c r="D933" s="92">
        <f>IF(NOTA[[#This Row],[TANGGAL]]="",D932,NOTA[[#This Row],[TANGGAL]])</f>
        <v>44959</v>
      </c>
      <c r="E933" s="92" t="str">
        <f ca="1">IF(NOTA[[#This Row],[NAMA BARANG]]="","",INDEX(NOTA[ID],MATCH(,INDIRECT(ADDRESS(ROW(NOTA[ID]),COLUMN(NOTA[ID]))&amp;":"&amp;ADDRESS(ROW(),COLUMN(NOTA[ID]))),-1)))</f>
        <v/>
      </c>
      <c r="F933" s="139"/>
      <c r="G933" s="38"/>
      <c r="H933" s="38"/>
      <c r="I933" s="79"/>
      <c r="J933" s="38"/>
      <c r="K933" s="78"/>
      <c r="L933" s="38"/>
      <c r="M933" s="38"/>
      <c r="N933" s="140"/>
      <c r="O933" s="38"/>
      <c r="P933" s="38"/>
      <c r="Q933" s="90"/>
      <c r="R933" s="105"/>
      <c r="S933" s="140"/>
      <c r="T933" s="141"/>
      <c r="U933" s="141"/>
      <c r="V933" s="66"/>
      <c r="W933" s="103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Row],[JUMLAH]]="","",NOTA[[#This Row],[DISC 1-]]+NOTA[[#This Row],[DISC 2-]])</f>
        <v/>
      </c>
      <c r="AB933" s="66" t="str">
        <f>IF(NOTA[[#This Row],[JUMLAH]]="","",NOTA[[#This Row],[JUMLAH]]-NOTA[[#This Row],[DISC]])</f>
        <v/>
      </c>
      <c r="AC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66" t="str">
        <f>IF(OR(NOTA[[#This Row],[QTY]]="",NOTA[[#This Row],[HARGA SATUAN]]="",),"",NOTA[[#This Row],[QTY]]*NOTA[[#This Row],[HARGA SATUAN]])</f>
        <v/>
      </c>
      <c r="AG933" s="78" t="str">
        <f ca="1">IF(NOTA[ID_H]="","",INDEX(NOTA[TANGGAL],MATCH(,INDIRECT(ADDRESS(ROW(NOTA[TANGGAL]),COLUMN(NOTA[TANGGAL]))&amp;":"&amp;ADDRESS(ROW(),COLUMN(NOTA[TANGGAL]))),-1)))</f>
        <v/>
      </c>
      <c r="AH933" s="90" t="str">
        <f ca="1">IF(NOTA[[#This Row],[NAMA BARANG]]="","",INDEX(NOTA[SUPPLIER],MATCH(,INDIRECT(ADDRESS(ROW(NOTA[ID]),COLUMN(NOTA[ID]))&amp;":"&amp;ADDRESS(ROW(),COLUMN(NOTA[ID]))),-1)))</f>
        <v/>
      </c>
      <c r="AI933" s="90" t="str">
        <f ca="1">IF(NOTA[[#This Row],[ID_H]]="","",IF(NOTA[[#This Row],[FAKTUR]]="",INDIRECT(ADDRESS(ROW()-1,COLUMN())),NOTA[[#This Row],[FAKTUR]]))</f>
        <v/>
      </c>
      <c r="AJ933" s="38" t="str">
        <f ca="1">IF(NOTA[[#This Row],[ID]]="","",COUNTIF(NOTA[ID_H],NOTA[[#This Row],[ID_H]]))</f>
        <v/>
      </c>
      <c r="AK933" s="38" t="str">
        <f ca="1">IF(NOTA[[#This Row],[TGL.NOTA]]="",IF(NOTA[[#This Row],[SUPPLIER_H]]="","",AK932),MONTH(NOTA[[#This Row],[TGL.NOTA]]))</f>
        <v/>
      </c>
      <c r="AL933" s="38" t="str">
        <f>LOWER(SUBSTITUTE(SUBSTITUTE(SUBSTITUTE(SUBSTITUTE(SUBSTITUTE(SUBSTITUTE(SUBSTITUTE(SUBSTITUTE(SUBSTITUTE(NOTA[NAMA BARANG]," ",),".",""),"-",""),"(",""),")",""),",",""),"/",""),"""",""),"+",""))</f>
        <v/>
      </c>
      <c r="AM93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3" s="184" t="str">
        <f>IF(NOTA[[#This Row],[CONCAT1]]="","",MATCH(NOTA[[#This Row],[CONCAT1]],[1]!db[NB NOTA_C],0)+1)</f>
        <v/>
      </c>
    </row>
    <row r="934" spans="1:40" ht="20.100000000000001" customHeight="1" x14ac:dyDescent="0.25">
      <c r="A93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92" t="str">
        <f>IF(NOTA[[#This Row],[CEK_EXP]]&lt;D933,"err","")</f>
        <v/>
      </c>
      <c r="D934" s="92">
        <f>IF(NOTA[[#This Row],[TANGGAL]]="",D933,NOTA[[#This Row],[TANGGAL]])</f>
        <v>44959</v>
      </c>
      <c r="E934" s="92" t="str">
        <f ca="1">IF(NOTA[[#This Row],[NAMA BARANG]]="","",INDEX(NOTA[ID],MATCH(,INDIRECT(ADDRESS(ROW(NOTA[ID]),COLUMN(NOTA[ID]))&amp;":"&amp;ADDRESS(ROW(),COLUMN(NOTA[ID]))),-1)))</f>
        <v/>
      </c>
      <c r="F934" s="139"/>
      <c r="G934" s="38"/>
      <c r="H934" s="38"/>
      <c r="I934" s="79"/>
      <c r="J934" s="38"/>
      <c r="K934" s="78"/>
      <c r="L934" s="38"/>
      <c r="M934" s="38"/>
      <c r="N934" s="140"/>
      <c r="O934" s="38"/>
      <c r="P934" s="38"/>
      <c r="Q934" s="90"/>
      <c r="R934" s="105"/>
      <c r="S934" s="140"/>
      <c r="T934" s="141"/>
      <c r="U934" s="141"/>
      <c r="V934" s="66"/>
      <c r="W934" s="103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Row],[JUMLAH]]="","",NOTA[[#This Row],[DISC 1-]]+NOTA[[#This Row],[DISC 2-]])</f>
        <v/>
      </c>
      <c r="AB934" s="66" t="str">
        <f>IF(NOTA[[#This Row],[JUMLAH]]="","",NOTA[[#This Row],[JUMLAH]]-NOTA[[#This Row],[DISC]])</f>
        <v/>
      </c>
      <c r="AC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66" t="str">
        <f>IF(OR(NOTA[[#This Row],[QTY]]="",NOTA[[#This Row],[HARGA SATUAN]]="",),"",NOTA[[#This Row],[QTY]]*NOTA[[#This Row],[HARGA SATUAN]])</f>
        <v/>
      </c>
      <c r="AG934" s="78" t="str">
        <f ca="1">IF(NOTA[ID_H]="","",INDEX(NOTA[TANGGAL],MATCH(,INDIRECT(ADDRESS(ROW(NOTA[TANGGAL]),COLUMN(NOTA[TANGGAL]))&amp;":"&amp;ADDRESS(ROW(),COLUMN(NOTA[TANGGAL]))),-1)))</f>
        <v/>
      </c>
      <c r="AH934" s="90" t="str">
        <f ca="1">IF(NOTA[[#This Row],[NAMA BARANG]]="","",INDEX(NOTA[SUPPLIER],MATCH(,INDIRECT(ADDRESS(ROW(NOTA[ID]),COLUMN(NOTA[ID]))&amp;":"&amp;ADDRESS(ROW(),COLUMN(NOTA[ID]))),-1)))</f>
        <v/>
      </c>
      <c r="AI934" s="90" t="str">
        <f ca="1">IF(NOTA[[#This Row],[ID_H]]="","",IF(NOTA[[#This Row],[FAKTUR]]="",INDIRECT(ADDRESS(ROW()-1,COLUMN())),NOTA[[#This Row],[FAKTUR]]))</f>
        <v/>
      </c>
      <c r="AJ934" s="38" t="str">
        <f ca="1">IF(NOTA[[#This Row],[ID]]="","",COUNTIF(NOTA[ID_H],NOTA[[#This Row],[ID_H]]))</f>
        <v/>
      </c>
      <c r="AK934" s="38" t="str">
        <f ca="1">IF(NOTA[[#This Row],[TGL.NOTA]]="",IF(NOTA[[#This Row],[SUPPLIER_H]]="","",AK933),MONTH(NOTA[[#This Row],[TGL.NOTA]]))</f>
        <v/>
      </c>
      <c r="AL934" s="38" t="str">
        <f>LOWER(SUBSTITUTE(SUBSTITUTE(SUBSTITUTE(SUBSTITUTE(SUBSTITUTE(SUBSTITUTE(SUBSTITUTE(SUBSTITUTE(SUBSTITUTE(NOTA[NAMA BARANG]," ",),".",""),"-",""),"(",""),")",""),",",""),"/",""),"""",""),"+",""))</f>
        <v/>
      </c>
      <c r="AM93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4" s="184" t="str">
        <f>IF(NOTA[[#This Row],[CONCAT1]]="","",MATCH(NOTA[[#This Row],[CONCAT1]],[1]!db[NB NOTA_C],0)+1)</f>
        <v/>
      </c>
    </row>
    <row r="935" spans="1:40" ht="20.100000000000001" customHeight="1" x14ac:dyDescent="0.25">
      <c r="A93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92" t="str">
        <f>IF(NOTA[[#This Row],[CEK_EXP]]&lt;D934,"err","")</f>
        <v/>
      </c>
      <c r="D935" s="92">
        <f>IF(NOTA[[#This Row],[TANGGAL]]="",D934,NOTA[[#This Row],[TANGGAL]])</f>
        <v>44959</v>
      </c>
      <c r="E935" s="92" t="str">
        <f ca="1">IF(NOTA[[#This Row],[NAMA BARANG]]="","",INDEX(NOTA[ID],MATCH(,INDIRECT(ADDRESS(ROW(NOTA[ID]),COLUMN(NOTA[ID]))&amp;":"&amp;ADDRESS(ROW(),COLUMN(NOTA[ID]))),-1)))</f>
        <v/>
      </c>
      <c r="F935" s="139"/>
      <c r="G935" s="38"/>
      <c r="H935" s="38"/>
      <c r="I935" s="79"/>
      <c r="J935" s="38"/>
      <c r="K935" s="78"/>
      <c r="L935" s="38"/>
      <c r="M935" s="38"/>
      <c r="N935" s="140"/>
      <c r="O935" s="38"/>
      <c r="P935" s="38"/>
      <c r="Q935" s="90"/>
      <c r="R935" s="105"/>
      <c r="S935" s="140"/>
      <c r="T935" s="141"/>
      <c r="U935" s="141"/>
      <c r="V935" s="66"/>
      <c r="W935" s="103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Row],[JUMLAH]]="","",NOTA[[#This Row],[DISC 1-]]+NOTA[[#This Row],[DISC 2-]])</f>
        <v/>
      </c>
      <c r="AB935" s="66" t="str">
        <f>IF(NOTA[[#This Row],[JUMLAH]]="","",NOTA[[#This Row],[JUMLAH]]-NOTA[[#This Row],[DISC]])</f>
        <v/>
      </c>
      <c r="AC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66" t="str">
        <f>IF(OR(NOTA[[#This Row],[QTY]]="",NOTA[[#This Row],[HARGA SATUAN]]="",),"",NOTA[[#This Row],[QTY]]*NOTA[[#This Row],[HARGA SATUAN]])</f>
        <v/>
      </c>
      <c r="AG935" s="78" t="str">
        <f ca="1">IF(NOTA[ID_H]="","",INDEX(NOTA[TANGGAL],MATCH(,INDIRECT(ADDRESS(ROW(NOTA[TANGGAL]),COLUMN(NOTA[TANGGAL]))&amp;":"&amp;ADDRESS(ROW(),COLUMN(NOTA[TANGGAL]))),-1)))</f>
        <v/>
      </c>
      <c r="AH935" s="90" t="str">
        <f ca="1">IF(NOTA[[#This Row],[NAMA BARANG]]="","",INDEX(NOTA[SUPPLIER],MATCH(,INDIRECT(ADDRESS(ROW(NOTA[ID]),COLUMN(NOTA[ID]))&amp;":"&amp;ADDRESS(ROW(),COLUMN(NOTA[ID]))),-1)))</f>
        <v/>
      </c>
      <c r="AI935" s="90" t="str">
        <f ca="1">IF(NOTA[[#This Row],[ID_H]]="","",IF(NOTA[[#This Row],[FAKTUR]]="",INDIRECT(ADDRESS(ROW()-1,COLUMN())),NOTA[[#This Row],[FAKTUR]]))</f>
        <v/>
      </c>
      <c r="AJ935" s="38" t="str">
        <f ca="1">IF(NOTA[[#This Row],[ID]]="","",COUNTIF(NOTA[ID_H],NOTA[[#This Row],[ID_H]]))</f>
        <v/>
      </c>
      <c r="AK935" s="38" t="str">
        <f ca="1">IF(NOTA[[#This Row],[TGL.NOTA]]="",IF(NOTA[[#This Row],[SUPPLIER_H]]="","",AK934),MONTH(NOTA[[#This Row],[TGL.NOTA]]))</f>
        <v/>
      </c>
      <c r="AL935" s="38" t="str">
        <f>LOWER(SUBSTITUTE(SUBSTITUTE(SUBSTITUTE(SUBSTITUTE(SUBSTITUTE(SUBSTITUTE(SUBSTITUTE(SUBSTITUTE(SUBSTITUTE(NOTA[NAMA BARANG]," ",),".",""),"-",""),"(",""),")",""),",",""),"/",""),"""",""),"+",""))</f>
        <v/>
      </c>
      <c r="AM93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5" s="184" t="str">
        <f>IF(NOTA[[#This Row],[CONCAT1]]="","",MATCH(NOTA[[#This Row],[CONCAT1]],[1]!db[NB NOTA_C],0)+1)</f>
        <v/>
      </c>
    </row>
    <row r="936" spans="1:40" ht="20.100000000000001" customHeight="1" x14ac:dyDescent="0.25">
      <c r="A93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92" t="str">
        <f>IF(NOTA[[#This Row],[CEK_EXP]]&lt;D935,"err","")</f>
        <v/>
      </c>
      <c r="D936" s="92">
        <f>IF(NOTA[[#This Row],[TANGGAL]]="",D935,NOTA[[#This Row],[TANGGAL]])</f>
        <v>44959</v>
      </c>
      <c r="E936" s="92" t="str">
        <f ca="1">IF(NOTA[[#This Row],[NAMA BARANG]]="","",INDEX(NOTA[ID],MATCH(,INDIRECT(ADDRESS(ROW(NOTA[ID]),COLUMN(NOTA[ID]))&amp;":"&amp;ADDRESS(ROW(),COLUMN(NOTA[ID]))),-1)))</f>
        <v/>
      </c>
      <c r="F936" s="139"/>
      <c r="G936" s="38"/>
      <c r="H936" s="38"/>
      <c r="I936" s="79"/>
      <c r="J936" s="38"/>
      <c r="K936" s="78"/>
      <c r="L936" s="38"/>
      <c r="M936" s="38"/>
      <c r="N936" s="140"/>
      <c r="O936" s="38"/>
      <c r="P936" s="38"/>
      <c r="Q936" s="90"/>
      <c r="R936" s="105"/>
      <c r="S936" s="140"/>
      <c r="T936" s="141"/>
      <c r="U936" s="141"/>
      <c r="V936" s="66"/>
      <c r="W936" s="103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Row],[JUMLAH]]="","",NOTA[[#This Row],[DISC 1-]]+NOTA[[#This Row],[DISC 2-]])</f>
        <v/>
      </c>
      <c r="AB936" s="66" t="str">
        <f>IF(NOTA[[#This Row],[JUMLAH]]="","",NOTA[[#This Row],[JUMLAH]]-NOTA[[#This Row],[DISC]])</f>
        <v/>
      </c>
      <c r="AC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66" t="str">
        <f>IF(OR(NOTA[[#This Row],[QTY]]="",NOTA[[#This Row],[HARGA SATUAN]]="",),"",NOTA[[#This Row],[QTY]]*NOTA[[#This Row],[HARGA SATUAN]])</f>
        <v/>
      </c>
      <c r="AG936" s="78" t="str">
        <f ca="1">IF(NOTA[ID_H]="","",INDEX(NOTA[TANGGAL],MATCH(,INDIRECT(ADDRESS(ROW(NOTA[TANGGAL]),COLUMN(NOTA[TANGGAL]))&amp;":"&amp;ADDRESS(ROW(),COLUMN(NOTA[TANGGAL]))),-1)))</f>
        <v/>
      </c>
      <c r="AH936" s="90" t="str">
        <f ca="1">IF(NOTA[[#This Row],[NAMA BARANG]]="","",INDEX(NOTA[SUPPLIER],MATCH(,INDIRECT(ADDRESS(ROW(NOTA[ID]),COLUMN(NOTA[ID]))&amp;":"&amp;ADDRESS(ROW(),COLUMN(NOTA[ID]))),-1)))</f>
        <v/>
      </c>
      <c r="AI936" s="90" t="str">
        <f ca="1">IF(NOTA[[#This Row],[ID_H]]="","",IF(NOTA[[#This Row],[FAKTUR]]="",INDIRECT(ADDRESS(ROW()-1,COLUMN())),NOTA[[#This Row],[FAKTUR]]))</f>
        <v/>
      </c>
      <c r="AJ936" s="38" t="str">
        <f ca="1">IF(NOTA[[#This Row],[ID]]="","",COUNTIF(NOTA[ID_H],NOTA[[#This Row],[ID_H]]))</f>
        <v/>
      </c>
      <c r="AK936" s="38" t="str">
        <f ca="1">IF(NOTA[[#This Row],[TGL.NOTA]]="",IF(NOTA[[#This Row],[SUPPLIER_H]]="","",AK935),MONTH(NOTA[[#This Row],[TGL.NOTA]]))</f>
        <v/>
      </c>
      <c r="AL936" s="38" t="str">
        <f>LOWER(SUBSTITUTE(SUBSTITUTE(SUBSTITUTE(SUBSTITUTE(SUBSTITUTE(SUBSTITUTE(SUBSTITUTE(SUBSTITUTE(SUBSTITUTE(NOTA[NAMA BARANG]," ",),".",""),"-",""),"(",""),")",""),",",""),"/",""),"""",""),"+",""))</f>
        <v/>
      </c>
      <c r="AM93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6" s="184" t="str">
        <f>IF(NOTA[[#This Row],[CONCAT1]]="","",MATCH(NOTA[[#This Row],[CONCAT1]],[1]!db[NB NOTA_C],0)+1)</f>
        <v/>
      </c>
    </row>
    <row r="937" spans="1:40" ht="20.100000000000001" customHeight="1" x14ac:dyDescent="0.25">
      <c r="A93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92" t="str">
        <f>IF(NOTA[[#This Row],[CEK_EXP]]&lt;D936,"err","")</f>
        <v/>
      </c>
      <c r="D937" s="92">
        <f>IF(NOTA[[#This Row],[TANGGAL]]="",D936,NOTA[[#This Row],[TANGGAL]])</f>
        <v>44959</v>
      </c>
      <c r="E937" s="92" t="str">
        <f ca="1">IF(NOTA[[#This Row],[NAMA BARANG]]="","",INDEX(NOTA[ID],MATCH(,INDIRECT(ADDRESS(ROW(NOTA[ID]),COLUMN(NOTA[ID]))&amp;":"&amp;ADDRESS(ROW(),COLUMN(NOTA[ID]))),-1)))</f>
        <v/>
      </c>
      <c r="F937" s="139"/>
      <c r="G937" s="38"/>
      <c r="H937" s="38"/>
      <c r="I937" s="79"/>
      <c r="J937" s="38"/>
      <c r="K937" s="78"/>
      <c r="L937" s="38"/>
      <c r="M937" s="38"/>
      <c r="N937" s="140"/>
      <c r="O937" s="38"/>
      <c r="P937" s="38"/>
      <c r="Q937" s="90"/>
      <c r="R937" s="105"/>
      <c r="S937" s="140"/>
      <c r="T937" s="141"/>
      <c r="U937" s="141"/>
      <c r="V937" s="66"/>
      <c r="W937" s="103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Row],[JUMLAH]]="","",NOTA[[#This Row],[DISC 1-]]+NOTA[[#This Row],[DISC 2-]])</f>
        <v/>
      </c>
      <c r="AB937" s="66" t="str">
        <f>IF(NOTA[[#This Row],[JUMLAH]]="","",NOTA[[#This Row],[JUMLAH]]-NOTA[[#This Row],[DISC]])</f>
        <v/>
      </c>
      <c r="AC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66" t="str">
        <f>IF(OR(NOTA[[#This Row],[QTY]]="",NOTA[[#This Row],[HARGA SATUAN]]="",),"",NOTA[[#This Row],[QTY]]*NOTA[[#This Row],[HARGA SATUAN]])</f>
        <v/>
      </c>
      <c r="AG937" s="78" t="str">
        <f ca="1">IF(NOTA[ID_H]="","",INDEX(NOTA[TANGGAL],MATCH(,INDIRECT(ADDRESS(ROW(NOTA[TANGGAL]),COLUMN(NOTA[TANGGAL]))&amp;":"&amp;ADDRESS(ROW(),COLUMN(NOTA[TANGGAL]))),-1)))</f>
        <v/>
      </c>
      <c r="AH937" s="90" t="str">
        <f ca="1">IF(NOTA[[#This Row],[NAMA BARANG]]="","",INDEX(NOTA[SUPPLIER],MATCH(,INDIRECT(ADDRESS(ROW(NOTA[ID]),COLUMN(NOTA[ID]))&amp;":"&amp;ADDRESS(ROW(),COLUMN(NOTA[ID]))),-1)))</f>
        <v/>
      </c>
      <c r="AI937" s="90" t="str">
        <f ca="1">IF(NOTA[[#This Row],[ID_H]]="","",IF(NOTA[[#This Row],[FAKTUR]]="",INDIRECT(ADDRESS(ROW()-1,COLUMN())),NOTA[[#This Row],[FAKTUR]]))</f>
        <v/>
      </c>
      <c r="AJ937" s="38" t="str">
        <f ca="1">IF(NOTA[[#This Row],[ID]]="","",COUNTIF(NOTA[ID_H],NOTA[[#This Row],[ID_H]]))</f>
        <v/>
      </c>
      <c r="AK937" s="38" t="str">
        <f ca="1">IF(NOTA[[#This Row],[TGL.NOTA]]="",IF(NOTA[[#This Row],[SUPPLIER_H]]="","",AK936),MONTH(NOTA[[#This Row],[TGL.NOTA]]))</f>
        <v/>
      </c>
      <c r="AL937" s="38" t="str">
        <f>LOWER(SUBSTITUTE(SUBSTITUTE(SUBSTITUTE(SUBSTITUTE(SUBSTITUTE(SUBSTITUTE(SUBSTITUTE(SUBSTITUTE(SUBSTITUTE(NOTA[NAMA BARANG]," ",),".",""),"-",""),"(",""),")",""),",",""),"/",""),"""",""),"+",""))</f>
        <v/>
      </c>
      <c r="AM93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7" s="184" t="str">
        <f>IF(NOTA[[#This Row],[CONCAT1]]="","",MATCH(NOTA[[#This Row],[CONCAT1]],[1]!db[NB NOTA_C],0)+1)</f>
        <v/>
      </c>
    </row>
    <row r="938" spans="1:40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92" t="str">
        <f>IF(NOTA[[#This Row],[CEK_EXP]]&lt;D937,"err","")</f>
        <v/>
      </c>
      <c r="D938" s="92">
        <f>IF(NOTA[[#This Row],[TANGGAL]]="",D937,NOTA[[#This Row],[TANGGAL]])</f>
        <v>44959</v>
      </c>
      <c r="E938" s="92" t="str">
        <f ca="1">IF(NOTA[[#This Row],[NAMA BARANG]]="","",INDEX(NOTA[ID],MATCH(,INDIRECT(ADDRESS(ROW(NOTA[ID]),COLUMN(NOTA[ID]))&amp;":"&amp;ADDRESS(ROW(),COLUMN(NOTA[ID]))),-1)))</f>
        <v/>
      </c>
      <c r="F938" s="139"/>
      <c r="G938" s="38"/>
      <c r="H938" s="38"/>
      <c r="I938" s="79"/>
      <c r="J938" s="38"/>
      <c r="K938" s="78"/>
      <c r="L938" s="38"/>
      <c r="M938" s="38"/>
      <c r="N938" s="140"/>
      <c r="O938" s="38"/>
      <c r="P938" s="38"/>
      <c r="Q938" s="90"/>
      <c r="R938" s="105"/>
      <c r="S938" s="140"/>
      <c r="T938" s="141"/>
      <c r="U938" s="141"/>
      <c r="V938" s="66"/>
      <c r="W938" s="103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Row],[JUMLAH]]="","",NOTA[[#This Row],[DISC 1-]]+NOTA[[#This Row],[DISC 2-]])</f>
        <v/>
      </c>
      <c r="AB938" s="66" t="str">
        <f>IF(NOTA[[#This Row],[JUMLAH]]="","",NOTA[[#This Row],[JUMLAH]]-NOTA[[#This Row],[DISC]])</f>
        <v/>
      </c>
      <c r="AC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8" s="66" t="str">
        <f>IF(OR(NOTA[[#This Row],[QTY]]="",NOTA[[#This Row],[HARGA SATUAN]]="",),"",NOTA[[#This Row],[QTY]]*NOTA[[#This Row],[HARGA SATUAN]])</f>
        <v/>
      </c>
      <c r="AG938" s="78" t="str">
        <f ca="1">IF(NOTA[ID_H]="","",INDEX(NOTA[TANGGAL],MATCH(,INDIRECT(ADDRESS(ROW(NOTA[TANGGAL]),COLUMN(NOTA[TANGGAL]))&amp;":"&amp;ADDRESS(ROW(),COLUMN(NOTA[TANGGAL]))),-1)))</f>
        <v/>
      </c>
      <c r="AH938" s="90" t="str">
        <f ca="1">IF(NOTA[[#This Row],[NAMA BARANG]]="","",INDEX(NOTA[SUPPLIER],MATCH(,INDIRECT(ADDRESS(ROW(NOTA[ID]),COLUMN(NOTA[ID]))&amp;":"&amp;ADDRESS(ROW(),COLUMN(NOTA[ID]))),-1)))</f>
        <v/>
      </c>
      <c r="AI938" s="90" t="str">
        <f ca="1">IF(NOTA[[#This Row],[ID_H]]="","",IF(NOTA[[#This Row],[FAKTUR]]="",INDIRECT(ADDRESS(ROW()-1,COLUMN())),NOTA[[#This Row],[FAKTUR]]))</f>
        <v/>
      </c>
      <c r="AJ938" s="38" t="str">
        <f ca="1">IF(NOTA[[#This Row],[ID]]="","",COUNTIF(NOTA[ID_H],NOTA[[#This Row],[ID_H]]))</f>
        <v/>
      </c>
      <c r="AK938" s="38" t="str">
        <f ca="1">IF(NOTA[[#This Row],[TGL.NOTA]]="",IF(NOTA[[#This Row],[SUPPLIER_H]]="","",AK937),MONTH(NOTA[[#This Row],[TGL.NOTA]]))</f>
        <v/>
      </c>
      <c r="AL938" s="38" t="str">
        <f>LOWER(SUBSTITUTE(SUBSTITUTE(SUBSTITUTE(SUBSTITUTE(SUBSTITUTE(SUBSTITUTE(SUBSTITUTE(SUBSTITUTE(SUBSTITUTE(NOTA[NAMA BARANG]," ",),".",""),"-",""),"(",""),")",""),",",""),"/",""),"""",""),"+",""))</f>
        <v/>
      </c>
      <c r="AM93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8" s="184" t="str">
        <f>IF(NOTA[[#This Row],[CONCAT1]]="","",MATCH(NOTA[[#This Row],[CONCAT1]],[1]!db[NB NOTA_C],0)+1)</f>
        <v/>
      </c>
    </row>
    <row r="939" spans="1:40" ht="20.100000000000001" customHeight="1" x14ac:dyDescent="0.25">
      <c r="A93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92" t="str">
        <f>IF(NOTA[[#This Row],[CEK_EXP]]&lt;D938,"err","")</f>
        <v/>
      </c>
      <c r="D939" s="92">
        <f>IF(NOTA[[#This Row],[TANGGAL]]="",D938,NOTA[[#This Row],[TANGGAL]])</f>
        <v>44959</v>
      </c>
      <c r="E939" s="92" t="str">
        <f ca="1">IF(NOTA[[#This Row],[NAMA BARANG]]="","",INDEX(NOTA[ID],MATCH(,INDIRECT(ADDRESS(ROW(NOTA[ID]),COLUMN(NOTA[ID]))&amp;":"&amp;ADDRESS(ROW(),COLUMN(NOTA[ID]))),-1)))</f>
        <v/>
      </c>
      <c r="F939" s="139"/>
      <c r="G939" s="38"/>
      <c r="H939" s="38"/>
      <c r="I939" s="79"/>
      <c r="J939" s="38"/>
      <c r="K939" s="78"/>
      <c r="L939" s="38"/>
      <c r="M939" s="38"/>
      <c r="N939" s="140"/>
      <c r="O939" s="38"/>
      <c r="P939" s="38"/>
      <c r="Q939" s="90"/>
      <c r="R939" s="105"/>
      <c r="S939" s="140"/>
      <c r="T939" s="141"/>
      <c r="U939" s="141"/>
      <c r="V939" s="66"/>
      <c r="W939" s="103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Row],[JUMLAH]]="","",NOTA[[#This Row],[DISC 1-]]+NOTA[[#This Row],[DISC 2-]])</f>
        <v/>
      </c>
      <c r="AB939" s="66" t="str">
        <f>IF(NOTA[[#This Row],[JUMLAH]]="","",NOTA[[#This Row],[JUMLAH]]-NOTA[[#This Row],[DISC]])</f>
        <v/>
      </c>
      <c r="AC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9" s="66" t="str">
        <f>IF(OR(NOTA[[#This Row],[QTY]]="",NOTA[[#This Row],[HARGA SATUAN]]="",),"",NOTA[[#This Row],[QTY]]*NOTA[[#This Row],[HARGA SATUAN]])</f>
        <v/>
      </c>
      <c r="AG939" s="78" t="str">
        <f ca="1">IF(NOTA[ID_H]="","",INDEX(NOTA[TANGGAL],MATCH(,INDIRECT(ADDRESS(ROW(NOTA[TANGGAL]),COLUMN(NOTA[TANGGAL]))&amp;":"&amp;ADDRESS(ROW(),COLUMN(NOTA[TANGGAL]))),-1)))</f>
        <v/>
      </c>
      <c r="AH939" s="90" t="str">
        <f ca="1">IF(NOTA[[#This Row],[NAMA BARANG]]="","",INDEX(NOTA[SUPPLIER],MATCH(,INDIRECT(ADDRESS(ROW(NOTA[ID]),COLUMN(NOTA[ID]))&amp;":"&amp;ADDRESS(ROW(),COLUMN(NOTA[ID]))),-1)))</f>
        <v/>
      </c>
      <c r="AI939" s="90" t="str">
        <f ca="1">IF(NOTA[[#This Row],[ID_H]]="","",IF(NOTA[[#This Row],[FAKTUR]]="",INDIRECT(ADDRESS(ROW()-1,COLUMN())),NOTA[[#This Row],[FAKTUR]]))</f>
        <v/>
      </c>
      <c r="AJ939" s="38" t="str">
        <f ca="1">IF(NOTA[[#This Row],[ID]]="","",COUNTIF(NOTA[ID_H],NOTA[[#This Row],[ID_H]]))</f>
        <v/>
      </c>
      <c r="AK939" s="38" t="str">
        <f ca="1">IF(NOTA[[#This Row],[TGL.NOTA]]="",IF(NOTA[[#This Row],[SUPPLIER_H]]="","",AK938),MONTH(NOTA[[#This Row],[TGL.NOTA]]))</f>
        <v/>
      </c>
      <c r="AL939" s="38" t="str">
        <f>LOWER(SUBSTITUTE(SUBSTITUTE(SUBSTITUTE(SUBSTITUTE(SUBSTITUTE(SUBSTITUTE(SUBSTITUTE(SUBSTITUTE(SUBSTITUTE(NOTA[NAMA BARANG]," ",),".",""),"-",""),"(",""),")",""),",",""),"/",""),"""",""),"+",""))</f>
        <v/>
      </c>
      <c r="AM93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39" s="184" t="str">
        <f>IF(NOTA[[#This Row],[CONCAT1]]="","",MATCH(NOTA[[#This Row],[CONCAT1]],[1]!db[NB NOTA_C],0)+1)</f>
        <v/>
      </c>
    </row>
    <row r="940" spans="1:40" ht="20.100000000000001" customHeight="1" x14ac:dyDescent="0.25">
      <c r="A94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92" t="str">
        <f>IF(NOTA[[#This Row],[CEK_EXP]]&lt;D939,"err","")</f>
        <v/>
      </c>
      <c r="D940" s="92">
        <f>IF(NOTA[[#This Row],[TANGGAL]]="",D939,NOTA[[#This Row],[TANGGAL]])</f>
        <v>44959</v>
      </c>
      <c r="E940" s="92" t="str">
        <f ca="1">IF(NOTA[[#This Row],[NAMA BARANG]]="","",INDEX(NOTA[ID],MATCH(,INDIRECT(ADDRESS(ROW(NOTA[ID]),COLUMN(NOTA[ID]))&amp;":"&amp;ADDRESS(ROW(),COLUMN(NOTA[ID]))),-1)))</f>
        <v/>
      </c>
      <c r="F940" s="139"/>
      <c r="G940" s="38"/>
      <c r="H940" s="38"/>
      <c r="I940" s="79"/>
      <c r="J940" s="38"/>
      <c r="K940" s="78"/>
      <c r="L940" s="38"/>
      <c r="M940" s="38"/>
      <c r="N940" s="140"/>
      <c r="O940" s="38"/>
      <c r="P940" s="38"/>
      <c r="Q940" s="90"/>
      <c r="R940" s="105"/>
      <c r="S940" s="140"/>
      <c r="T940" s="141"/>
      <c r="U940" s="141"/>
      <c r="V940" s="66"/>
      <c r="W940" s="103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Row],[JUMLAH]]="","",NOTA[[#This Row],[DISC 1-]]+NOTA[[#This Row],[DISC 2-]])</f>
        <v/>
      </c>
      <c r="AB940" s="66" t="str">
        <f>IF(NOTA[[#This Row],[JUMLAH]]="","",NOTA[[#This Row],[JUMLAH]]-NOTA[[#This Row],[DISC]])</f>
        <v/>
      </c>
      <c r="AC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0" s="66" t="str">
        <f>IF(OR(NOTA[[#This Row],[QTY]]="",NOTA[[#This Row],[HARGA SATUAN]]="",),"",NOTA[[#This Row],[QTY]]*NOTA[[#This Row],[HARGA SATUAN]])</f>
        <v/>
      </c>
      <c r="AG940" s="78" t="str">
        <f ca="1">IF(NOTA[ID_H]="","",INDEX(NOTA[TANGGAL],MATCH(,INDIRECT(ADDRESS(ROW(NOTA[TANGGAL]),COLUMN(NOTA[TANGGAL]))&amp;":"&amp;ADDRESS(ROW(),COLUMN(NOTA[TANGGAL]))),-1)))</f>
        <v/>
      </c>
      <c r="AH940" s="90" t="str">
        <f ca="1">IF(NOTA[[#This Row],[NAMA BARANG]]="","",INDEX(NOTA[SUPPLIER],MATCH(,INDIRECT(ADDRESS(ROW(NOTA[ID]),COLUMN(NOTA[ID]))&amp;":"&amp;ADDRESS(ROW(),COLUMN(NOTA[ID]))),-1)))</f>
        <v/>
      </c>
      <c r="AI940" s="90" t="str">
        <f ca="1">IF(NOTA[[#This Row],[ID_H]]="","",IF(NOTA[[#This Row],[FAKTUR]]="",INDIRECT(ADDRESS(ROW()-1,COLUMN())),NOTA[[#This Row],[FAKTUR]]))</f>
        <v/>
      </c>
      <c r="AJ940" s="38" t="str">
        <f ca="1">IF(NOTA[[#This Row],[ID]]="","",COUNTIF(NOTA[ID_H],NOTA[[#This Row],[ID_H]]))</f>
        <v/>
      </c>
      <c r="AK940" s="38" t="str">
        <f ca="1">IF(NOTA[[#This Row],[TGL.NOTA]]="",IF(NOTA[[#This Row],[SUPPLIER_H]]="","",AK939),MONTH(NOTA[[#This Row],[TGL.NOTA]]))</f>
        <v/>
      </c>
      <c r="AL940" s="38" t="str">
        <f>LOWER(SUBSTITUTE(SUBSTITUTE(SUBSTITUTE(SUBSTITUTE(SUBSTITUTE(SUBSTITUTE(SUBSTITUTE(SUBSTITUTE(SUBSTITUTE(NOTA[NAMA BARANG]," ",),".",""),"-",""),"(",""),")",""),",",""),"/",""),"""",""),"+",""))</f>
        <v/>
      </c>
      <c r="AM94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0" s="184" t="str">
        <f>IF(NOTA[[#This Row],[CONCAT1]]="","",MATCH(NOTA[[#This Row],[CONCAT1]],[1]!db[NB NOTA_C],0)+1)</f>
        <v/>
      </c>
    </row>
    <row r="941" spans="1:40" ht="20.100000000000001" customHeight="1" x14ac:dyDescent="0.25">
      <c r="A94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92" t="str">
        <f>IF(NOTA[[#This Row],[CEK_EXP]]&lt;D940,"err","")</f>
        <v/>
      </c>
      <c r="D941" s="92">
        <f>IF(NOTA[[#This Row],[TANGGAL]]="",D940,NOTA[[#This Row],[TANGGAL]])</f>
        <v>44959</v>
      </c>
      <c r="E941" s="92" t="str">
        <f ca="1">IF(NOTA[[#This Row],[NAMA BARANG]]="","",INDEX(NOTA[ID],MATCH(,INDIRECT(ADDRESS(ROW(NOTA[ID]),COLUMN(NOTA[ID]))&amp;":"&amp;ADDRESS(ROW(),COLUMN(NOTA[ID]))),-1)))</f>
        <v/>
      </c>
      <c r="F941" s="139"/>
      <c r="G941" s="38"/>
      <c r="H941" s="38"/>
      <c r="I941" s="79"/>
      <c r="J941" s="38"/>
      <c r="K941" s="78"/>
      <c r="L941" s="38"/>
      <c r="M941" s="38"/>
      <c r="N941" s="140"/>
      <c r="O941" s="38"/>
      <c r="P941" s="38"/>
      <c r="Q941" s="90"/>
      <c r="R941" s="105"/>
      <c r="S941" s="140"/>
      <c r="T941" s="141"/>
      <c r="U941" s="141"/>
      <c r="V941" s="66"/>
      <c r="W941" s="103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Row],[JUMLAH]]="","",NOTA[[#This Row],[DISC 1-]]+NOTA[[#This Row],[DISC 2-]])</f>
        <v/>
      </c>
      <c r="AB941" s="66" t="str">
        <f>IF(NOTA[[#This Row],[JUMLAH]]="","",NOTA[[#This Row],[JUMLAH]]-NOTA[[#This Row],[DISC]])</f>
        <v/>
      </c>
      <c r="AC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1" s="66" t="str">
        <f>IF(OR(NOTA[[#This Row],[QTY]]="",NOTA[[#This Row],[HARGA SATUAN]]="",),"",NOTA[[#This Row],[QTY]]*NOTA[[#This Row],[HARGA SATUAN]])</f>
        <v/>
      </c>
      <c r="AG941" s="78" t="str">
        <f ca="1">IF(NOTA[ID_H]="","",INDEX(NOTA[TANGGAL],MATCH(,INDIRECT(ADDRESS(ROW(NOTA[TANGGAL]),COLUMN(NOTA[TANGGAL]))&amp;":"&amp;ADDRESS(ROW(),COLUMN(NOTA[TANGGAL]))),-1)))</f>
        <v/>
      </c>
      <c r="AH941" s="90" t="str">
        <f ca="1">IF(NOTA[[#This Row],[NAMA BARANG]]="","",INDEX(NOTA[SUPPLIER],MATCH(,INDIRECT(ADDRESS(ROW(NOTA[ID]),COLUMN(NOTA[ID]))&amp;":"&amp;ADDRESS(ROW(),COLUMN(NOTA[ID]))),-1)))</f>
        <v/>
      </c>
      <c r="AI941" s="90" t="str">
        <f ca="1">IF(NOTA[[#This Row],[ID_H]]="","",IF(NOTA[[#This Row],[FAKTUR]]="",INDIRECT(ADDRESS(ROW()-1,COLUMN())),NOTA[[#This Row],[FAKTUR]]))</f>
        <v/>
      </c>
      <c r="AJ941" s="38" t="str">
        <f ca="1">IF(NOTA[[#This Row],[ID]]="","",COUNTIF(NOTA[ID_H],NOTA[[#This Row],[ID_H]]))</f>
        <v/>
      </c>
      <c r="AK941" s="38" t="str">
        <f ca="1">IF(NOTA[[#This Row],[TGL.NOTA]]="",IF(NOTA[[#This Row],[SUPPLIER_H]]="","",AK940),MONTH(NOTA[[#This Row],[TGL.NOTA]]))</f>
        <v/>
      </c>
      <c r="AL941" s="38" t="str">
        <f>LOWER(SUBSTITUTE(SUBSTITUTE(SUBSTITUTE(SUBSTITUTE(SUBSTITUTE(SUBSTITUTE(SUBSTITUTE(SUBSTITUTE(SUBSTITUTE(NOTA[NAMA BARANG]," ",),".",""),"-",""),"(",""),")",""),",",""),"/",""),"""",""),"+",""))</f>
        <v/>
      </c>
      <c r="AM94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1" s="184" t="str">
        <f>IF(NOTA[[#This Row],[CONCAT1]]="","",MATCH(NOTA[[#This Row],[CONCAT1]],[1]!db[NB NOTA_C],0)+1)</f>
        <v/>
      </c>
    </row>
    <row r="942" spans="1:40" ht="20.100000000000001" customHeight="1" x14ac:dyDescent="0.25">
      <c r="A94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92" t="str">
        <f>IF(NOTA[[#This Row],[CEK_EXP]]&lt;D941,"err","")</f>
        <v/>
      </c>
      <c r="D942" s="92">
        <f>IF(NOTA[[#This Row],[TANGGAL]]="",D941,NOTA[[#This Row],[TANGGAL]])</f>
        <v>44959</v>
      </c>
      <c r="E942" s="92" t="str">
        <f ca="1">IF(NOTA[[#This Row],[NAMA BARANG]]="","",INDEX(NOTA[ID],MATCH(,INDIRECT(ADDRESS(ROW(NOTA[ID]),COLUMN(NOTA[ID]))&amp;":"&amp;ADDRESS(ROW(),COLUMN(NOTA[ID]))),-1)))</f>
        <v/>
      </c>
      <c r="F942" s="139"/>
      <c r="G942" s="38"/>
      <c r="H942" s="38"/>
      <c r="I942" s="79"/>
      <c r="J942" s="38"/>
      <c r="K942" s="78"/>
      <c r="L942" s="38"/>
      <c r="M942" s="38"/>
      <c r="N942" s="140"/>
      <c r="O942" s="38"/>
      <c r="P942" s="38"/>
      <c r="Q942" s="90"/>
      <c r="R942" s="105"/>
      <c r="S942" s="140"/>
      <c r="T942" s="141"/>
      <c r="U942" s="141"/>
      <c r="V942" s="66"/>
      <c r="W942" s="103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Row],[JUMLAH]]="","",NOTA[[#This Row],[DISC 1-]]+NOTA[[#This Row],[DISC 2-]])</f>
        <v/>
      </c>
      <c r="AB942" s="66" t="str">
        <f>IF(NOTA[[#This Row],[JUMLAH]]="","",NOTA[[#This Row],[JUMLAH]]-NOTA[[#This Row],[DISC]])</f>
        <v/>
      </c>
      <c r="AC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2" s="66" t="str">
        <f>IF(OR(NOTA[[#This Row],[QTY]]="",NOTA[[#This Row],[HARGA SATUAN]]="",),"",NOTA[[#This Row],[QTY]]*NOTA[[#This Row],[HARGA SATUAN]])</f>
        <v/>
      </c>
      <c r="AG942" s="78" t="str">
        <f ca="1">IF(NOTA[ID_H]="","",INDEX(NOTA[TANGGAL],MATCH(,INDIRECT(ADDRESS(ROW(NOTA[TANGGAL]),COLUMN(NOTA[TANGGAL]))&amp;":"&amp;ADDRESS(ROW(),COLUMN(NOTA[TANGGAL]))),-1)))</f>
        <v/>
      </c>
      <c r="AH942" s="90" t="str">
        <f ca="1">IF(NOTA[[#This Row],[NAMA BARANG]]="","",INDEX(NOTA[SUPPLIER],MATCH(,INDIRECT(ADDRESS(ROW(NOTA[ID]),COLUMN(NOTA[ID]))&amp;":"&amp;ADDRESS(ROW(),COLUMN(NOTA[ID]))),-1)))</f>
        <v/>
      </c>
      <c r="AI942" s="90" t="str">
        <f ca="1">IF(NOTA[[#This Row],[ID_H]]="","",IF(NOTA[[#This Row],[FAKTUR]]="",INDIRECT(ADDRESS(ROW()-1,COLUMN())),NOTA[[#This Row],[FAKTUR]]))</f>
        <v/>
      </c>
      <c r="AJ942" s="38" t="str">
        <f ca="1">IF(NOTA[[#This Row],[ID]]="","",COUNTIF(NOTA[ID_H],NOTA[[#This Row],[ID_H]]))</f>
        <v/>
      </c>
      <c r="AK942" s="38" t="str">
        <f ca="1">IF(NOTA[[#This Row],[TGL.NOTA]]="",IF(NOTA[[#This Row],[SUPPLIER_H]]="","",AK941),MONTH(NOTA[[#This Row],[TGL.NOTA]]))</f>
        <v/>
      </c>
      <c r="AL942" s="38" t="str">
        <f>LOWER(SUBSTITUTE(SUBSTITUTE(SUBSTITUTE(SUBSTITUTE(SUBSTITUTE(SUBSTITUTE(SUBSTITUTE(SUBSTITUTE(SUBSTITUTE(NOTA[NAMA BARANG]," ",),".",""),"-",""),"(",""),")",""),",",""),"/",""),"""",""),"+",""))</f>
        <v/>
      </c>
      <c r="AM94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2" s="184" t="str">
        <f>IF(NOTA[[#This Row],[CONCAT1]]="","",MATCH(NOTA[[#This Row],[CONCAT1]],[1]!db[NB NOTA_C],0)+1)</f>
        <v/>
      </c>
    </row>
    <row r="943" spans="1:40" ht="20.100000000000001" customHeight="1" x14ac:dyDescent="0.25">
      <c r="A94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92" t="str">
        <f>IF(NOTA[[#This Row],[CEK_EXP]]&lt;D942,"err","")</f>
        <v/>
      </c>
      <c r="D943" s="92">
        <f>IF(NOTA[[#This Row],[TANGGAL]]="",D942,NOTA[[#This Row],[TANGGAL]])</f>
        <v>44959</v>
      </c>
      <c r="E943" s="92" t="str">
        <f ca="1">IF(NOTA[[#This Row],[NAMA BARANG]]="","",INDEX(NOTA[ID],MATCH(,INDIRECT(ADDRESS(ROW(NOTA[ID]),COLUMN(NOTA[ID]))&amp;":"&amp;ADDRESS(ROW(),COLUMN(NOTA[ID]))),-1)))</f>
        <v/>
      </c>
      <c r="F943" s="139"/>
      <c r="G943" s="38"/>
      <c r="H943" s="38"/>
      <c r="I943" s="79"/>
      <c r="J943" s="38"/>
      <c r="K943" s="78"/>
      <c r="L943" s="38"/>
      <c r="M943" s="38"/>
      <c r="N943" s="140"/>
      <c r="O943" s="38"/>
      <c r="P943" s="38"/>
      <c r="Q943" s="90"/>
      <c r="R943" s="105"/>
      <c r="S943" s="140"/>
      <c r="T943" s="141"/>
      <c r="U943" s="141"/>
      <c r="V943" s="66"/>
      <c r="W943" s="103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Row],[JUMLAH]]="","",NOTA[[#This Row],[DISC 1-]]+NOTA[[#This Row],[DISC 2-]])</f>
        <v/>
      </c>
      <c r="AB943" s="66" t="str">
        <f>IF(NOTA[[#This Row],[JUMLAH]]="","",NOTA[[#This Row],[JUMLAH]]-NOTA[[#This Row],[DISC]])</f>
        <v/>
      </c>
      <c r="AC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66" t="str">
        <f>IF(OR(NOTA[[#This Row],[QTY]]="",NOTA[[#This Row],[HARGA SATUAN]]="",),"",NOTA[[#This Row],[QTY]]*NOTA[[#This Row],[HARGA SATUAN]])</f>
        <v/>
      </c>
      <c r="AG943" s="78" t="str">
        <f ca="1">IF(NOTA[ID_H]="","",INDEX(NOTA[TANGGAL],MATCH(,INDIRECT(ADDRESS(ROW(NOTA[TANGGAL]),COLUMN(NOTA[TANGGAL]))&amp;":"&amp;ADDRESS(ROW(),COLUMN(NOTA[TANGGAL]))),-1)))</f>
        <v/>
      </c>
      <c r="AH943" s="90" t="str">
        <f ca="1">IF(NOTA[[#This Row],[NAMA BARANG]]="","",INDEX(NOTA[SUPPLIER],MATCH(,INDIRECT(ADDRESS(ROW(NOTA[ID]),COLUMN(NOTA[ID]))&amp;":"&amp;ADDRESS(ROW(),COLUMN(NOTA[ID]))),-1)))</f>
        <v/>
      </c>
      <c r="AI943" s="90" t="str">
        <f ca="1">IF(NOTA[[#This Row],[ID_H]]="","",IF(NOTA[[#This Row],[FAKTUR]]="",INDIRECT(ADDRESS(ROW()-1,COLUMN())),NOTA[[#This Row],[FAKTUR]]))</f>
        <v/>
      </c>
      <c r="AJ943" s="38" t="str">
        <f ca="1">IF(NOTA[[#This Row],[ID]]="","",COUNTIF(NOTA[ID_H],NOTA[[#This Row],[ID_H]]))</f>
        <v/>
      </c>
      <c r="AK943" s="38" t="str">
        <f ca="1">IF(NOTA[[#This Row],[TGL.NOTA]]="",IF(NOTA[[#This Row],[SUPPLIER_H]]="","",AK942),MONTH(NOTA[[#This Row],[TGL.NOTA]]))</f>
        <v/>
      </c>
      <c r="AL943" s="38" t="str">
        <f>LOWER(SUBSTITUTE(SUBSTITUTE(SUBSTITUTE(SUBSTITUTE(SUBSTITUTE(SUBSTITUTE(SUBSTITUTE(SUBSTITUTE(SUBSTITUTE(NOTA[NAMA BARANG]," ",),".",""),"-",""),"(",""),")",""),",",""),"/",""),"""",""),"+",""))</f>
        <v/>
      </c>
      <c r="AM94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3" s="184" t="str">
        <f>IF(NOTA[[#This Row],[CONCAT1]]="","",MATCH(NOTA[[#This Row],[CONCAT1]],[1]!db[NB NOTA_C],0)+1)</f>
        <v/>
      </c>
    </row>
    <row r="944" spans="1:40" ht="20.100000000000001" customHeight="1" x14ac:dyDescent="0.25">
      <c r="A94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92" t="str">
        <f>IF(NOTA[[#This Row],[CEK_EXP]]&lt;D943,"err","")</f>
        <v/>
      </c>
      <c r="D944" s="92">
        <f>IF(NOTA[[#This Row],[TANGGAL]]="",D943,NOTA[[#This Row],[TANGGAL]])</f>
        <v>44959</v>
      </c>
      <c r="E944" s="92" t="str">
        <f ca="1">IF(NOTA[[#This Row],[NAMA BARANG]]="","",INDEX(NOTA[ID],MATCH(,INDIRECT(ADDRESS(ROW(NOTA[ID]),COLUMN(NOTA[ID]))&amp;":"&amp;ADDRESS(ROW(),COLUMN(NOTA[ID]))),-1)))</f>
        <v/>
      </c>
      <c r="F944" s="139"/>
      <c r="G944" s="38"/>
      <c r="H944" s="38"/>
      <c r="I944" s="79"/>
      <c r="J944" s="38"/>
      <c r="K944" s="78"/>
      <c r="L944" s="38"/>
      <c r="M944" s="38"/>
      <c r="N944" s="140"/>
      <c r="O944" s="38"/>
      <c r="P944" s="38"/>
      <c r="Q944" s="90"/>
      <c r="R944" s="105"/>
      <c r="S944" s="140"/>
      <c r="T944" s="141"/>
      <c r="U944" s="141"/>
      <c r="V944" s="66"/>
      <c r="W944" s="103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Row],[JUMLAH]]="","",NOTA[[#This Row],[DISC 1-]]+NOTA[[#This Row],[DISC 2-]])</f>
        <v/>
      </c>
      <c r="AB944" s="66" t="str">
        <f>IF(NOTA[[#This Row],[JUMLAH]]="","",NOTA[[#This Row],[JUMLAH]]-NOTA[[#This Row],[DISC]])</f>
        <v/>
      </c>
      <c r="AC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66" t="str">
        <f>IF(OR(NOTA[[#This Row],[QTY]]="",NOTA[[#This Row],[HARGA SATUAN]]="",),"",NOTA[[#This Row],[QTY]]*NOTA[[#This Row],[HARGA SATUAN]])</f>
        <v/>
      </c>
      <c r="AG944" s="78" t="str">
        <f ca="1">IF(NOTA[ID_H]="","",INDEX(NOTA[TANGGAL],MATCH(,INDIRECT(ADDRESS(ROW(NOTA[TANGGAL]),COLUMN(NOTA[TANGGAL]))&amp;":"&amp;ADDRESS(ROW(),COLUMN(NOTA[TANGGAL]))),-1)))</f>
        <v/>
      </c>
      <c r="AH944" s="90" t="str">
        <f ca="1">IF(NOTA[[#This Row],[NAMA BARANG]]="","",INDEX(NOTA[SUPPLIER],MATCH(,INDIRECT(ADDRESS(ROW(NOTA[ID]),COLUMN(NOTA[ID]))&amp;":"&amp;ADDRESS(ROW(),COLUMN(NOTA[ID]))),-1)))</f>
        <v/>
      </c>
      <c r="AI944" s="90" t="str">
        <f ca="1">IF(NOTA[[#This Row],[ID_H]]="","",IF(NOTA[[#This Row],[FAKTUR]]="",INDIRECT(ADDRESS(ROW()-1,COLUMN())),NOTA[[#This Row],[FAKTUR]]))</f>
        <v/>
      </c>
      <c r="AJ944" s="38" t="str">
        <f ca="1">IF(NOTA[[#This Row],[ID]]="","",COUNTIF(NOTA[ID_H],NOTA[[#This Row],[ID_H]]))</f>
        <v/>
      </c>
      <c r="AK944" s="38" t="str">
        <f ca="1">IF(NOTA[[#This Row],[TGL.NOTA]]="",IF(NOTA[[#This Row],[SUPPLIER_H]]="","",AK943),MONTH(NOTA[[#This Row],[TGL.NOTA]]))</f>
        <v/>
      </c>
      <c r="AL944" s="38" t="str">
        <f>LOWER(SUBSTITUTE(SUBSTITUTE(SUBSTITUTE(SUBSTITUTE(SUBSTITUTE(SUBSTITUTE(SUBSTITUTE(SUBSTITUTE(SUBSTITUTE(NOTA[NAMA BARANG]," ",),".",""),"-",""),"(",""),")",""),",",""),"/",""),"""",""),"+",""))</f>
        <v/>
      </c>
      <c r="AM94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4" s="184" t="str">
        <f>IF(NOTA[[#This Row],[CONCAT1]]="","",MATCH(NOTA[[#This Row],[CONCAT1]],[1]!db[NB NOTA_C],0)+1)</f>
        <v/>
      </c>
    </row>
    <row r="945" spans="1:40" ht="20.100000000000001" customHeight="1" x14ac:dyDescent="0.25">
      <c r="A94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92" t="str">
        <f>IF(NOTA[[#This Row],[CEK_EXP]]&lt;D944,"err","")</f>
        <v/>
      </c>
      <c r="D945" s="92">
        <f>IF(NOTA[[#This Row],[TANGGAL]]="",D944,NOTA[[#This Row],[TANGGAL]])</f>
        <v>44959</v>
      </c>
      <c r="E945" s="92" t="str">
        <f ca="1">IF(NOTA[[#This Row],[NAMA BARANG]]="","",INDEX(NOTA[ID],MATCH(,INDIRECT(ADDRESS(ROW(NOTA[ID]),COLUMN(NOTA[ID]))&amp;":"&amp;ADDRESS(ROW(),COLUMN(NOTA[ID]))),-1)))</f>
        <v/>
      </c>
      <c r="F945" s="139"/>
      <c r="G945" s="38"/>
      <c r="H945" s="38"/>
      <c r="I945" s="79"/>
      <c r="J945" s="38"/>
      <c r="K945" s="78"/>
      <c r="L945" s="38"/>
      <c r="M945" s="38"/>
      <c r="N945" s="140"/>
      <c r="O945" s="38"/>
      <c r="P945" s="38"/>
      <c r="Q945" s="90"/>
      <c r="R945" s="105"/>
      <c r="S945" s="140"/>
      <c r="T945" s="141"/>
      <c r="U945" s="141"/>
      <c r="V945" s="66"/>
      <c r="W945" s="103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Row],[JUMLAH]]="","",NOTA[[#This Row],[DISC 1-]]+NOTA[[#This Row],[DISC 2-]])</f>
        <v/>
      </c>
      <c r="AB945" s="66" t="str">
        <f>IF(NOTA[[#This Row],[JUMLAH]]="","",NOTA[[#This Row],[JUMLAH]]-NOTA[[#This Row],[DISC]])</f>
        <v/>
      </c>
      <c r="AC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66" t="str">
        <f>IF(OR(NOTA[[#This Row],[QTY]]="",NOTA[[#This Row],[HARGA SATUAN]]="",),"",NOTA[[#This Row],[QTY]]*NOTA[[#This Row],[HARGA SATUAN]])</f>
        <v/>
      </c>
      <c r="AG945" s="78" t="str">
        <f ca="1">IF(NOTA[ID_H]="","",INDEX(NOTA[TANGGAL],MATCH(,INDIRECT(ADDRESS(ROW(NOTA[TANGGAL]),COLUMN(NOTA[TANGGAL]))&amp;":"&amp;ADDRESS(ROW(),COLUMN(NOTA[TANGGAL]))),-1)))</f>
        <v/>
      </c>
      <c r="AH945" s="90" t="str">
        <f ca="1">IF(NOTA[[#This Row],[NAMA BARANG]]="","",INDEX(NOTA[SUPPLIER],MATCH(,INDIRECT(ADDRESS(ROW(NOTA[ID]),COLUMN(NOTA[ID]))&amp;":"&amp;ADDRESS(ROW(),COLUMN(NOTA[ID]))),-1)))</f>
        <v/>
      </c>
      <c r="AI945" s="90" t="str">
        <f ca="1">IF(NOTA[[#This Row],[ID_H]]="","",IF(NOTA[[#This Row],[FAKTUR]]="",INDIRECT(ADDRESS(ROW()-1,COLUMN())),NOTA[[#This Row],[FAKTUR]]))</f>
        <v/>
      </c>
      <c r="AJ945" s="38" t="str">
        <f ca="1">IF(NOTA[[#This Row],[ID]]="","",COUNTIF(NOTA[ID_H],NOTA[[#This Row],[ID_H]]))</f>
        <v/>
      </c>
      <c r="AK945" s="38" t="str">
        <f ca="1">IF(NOTA[[#This Row],[TGL.NOTA]]="",IF(NOTA[[#This Row],[SUPPLIER_H]]="","",AK944),MONTH(NOTA[[#This Row],[TGL.NOTA]]))</f>
        <v/>
      </c>
      <c r="AL945" s="38" t="str">
        <f>LOWER(SUBSTITUTE(SUBSTITUTE(SUBSTITUTE(SUBSTITUTE(SUBSTITUTE(SUBSTITUTE(SUBSTITUTE(SUBSTITUTE(SUBSTITUTE(NOTA[NAMA BARANG]," ",),".",""),"-",""),"(",""),")",""),",",""),"/",""),"""",""),"+",""))</f>
        <v/>
      </c>
      <c r="AM94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5" s="184" t="str">
        <f>IF(NOTA[[#This Row],[CONCAT1]]="","",MATCH(NOTA[[#This Row],[CONCAT1]],[1]!db[NB NOTA_C],0)+1)</f>
        <v/>
      </c>
    </row>
    <row r="946" spans="1:40" ht="20.100000000000001" customHeight="1" x14ac:dyDescent="0.25">
      <c r="A94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92" t="str">
        <f>IF(NOTA[[#This Row],[CEK_EXP]]&lt;D945,"err","")</f>
        <v/>
      </c>
      <c r="D946" s="92">
        <f>IF(NOTA[[#This Row],[TANGGAL]]="",D945,NOTA[[#This Row],[TANGGAL]])</f>
        <v>44959</v>
      </c>
      <c r="E946" s="92" t="str">
        <f ca="1">IF(NOTA[[#This Row],[NAMA BARANG]]="","",INDEX(NOTA[ID],MATCH(,INDIRECT(ADDRESS(ROW(NOTA[ID]),COLUMN(NOTA[ID]))&amp;":"&amp;ADDRESS(ROW(),COLUMN(NOTA[ID]))),-1)))</f>
        <v/>
      </c>
      <c r="F946" s="139"/>
      <c r="G946" s="38"/>
      <c r="H946" s="38"/>
      <c r="I946" s="79"/>
      <c r="J946" s="38"/>
      <c r="K946" s="78"/>
      <c r="L946" s="38"/>
      <c r="M946" s="38"/>
      <c r="N946" s="140"/>
      <c r="O946" s="38"/>
      <c r="P946" s="38"/>
      <c r="Q946" s="90"/>
      <c r="R946" s="105"/>
      <c r="S946" s="140"/>
      <c r="T946" s="141"/>
      <c r="U946" s="141"/>
      <c r="V946" s="66"/>
      <c r="W946" s="103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Row],[JUMLAH]]="","",NOTA[[#This Row],[DISC 1-]]+NOTA[[#This Row],[DISC 2-]])</f>
        <v/>
      </c>
      <c r="AB946" s="66" t="str">
        <f>IF(NOTA[[#This Row],[JUMLAH]]="","",NOTA[[#This Row],[JUMLAH]]-NOTA[[#This Row],[DISC]])</f>
        <v/>
      </c>
      <c r="AC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6" s="66" t="str">
        <f>IF(OR(NOTA[[#This Row],[QTY]]="",NOTA[[#This Row],[HARGA SATUAN]]="",),"",NOTA[[#This Row],[QTY]]*NOTA[[#This Row],[HARGA SATUAN]])</f>
        <v/>
      </c>
      <c r="AG946" s="78" t="str">
        <f ca="1">IF(NOTA[ID_H]="","",INDEX(NOTA[TANGGAL],MATCH(,INDIRECT(ADDRESS(ROW(NOTA[TANGGAL]),COLUMN(NOTA[TANGGAL]))&amp;":"&amp;ADDRESS(ROW(),COLUMN(NOTA[TANGGAL]))),-1)))</f>
        <v/>
      </c>
      <c r="AH946" s="90" t="str">
        <f ca="1">IF(NOTA[[#This Row],[NAMA BARANG]]="","",INDEX(NOTA[SUPPLIER],MATCH(,INDIRECT(ADDRESS(ROW(NOTA[ID]),COLUMN(NOTA[ID]))&amp;":"&amp;ADDRESS(ROW(),COLUMN(NOTA[ID]))),-1)))</f>
        <v/>
      </c>
      <c r="AI946" s="90" t="str">
        <f ca="1">IF(NOTA[[#This Row],[ID_H]]="","",IF(NOTA[[#This Row],[FAKTUR]]="",INDIRECT(ADDRESS(ROW()-1,COLUMN())),NOTA[[#This Row],[FAKTUR]]))</f>
        <v/>
      </c>
      <c r="AJ946" s="38" t="str">
        <f ca="1">IF(NOTA[[#This Row],[ID]]="","",COUNTIF(NOTA[ID_H],NOTA[[#This Row],[ID_H]]))</f>
        <v/>
      </c>
      <c r="AK946" s="38" t="str">
        <f ca="1">IF(NOTA[[#This Row],[TGL.NOTA]]="",IF(NOTA[[#This Row],[SUPPLIER_H]]="","",AK945),MONTH(NOTA[[#This Row],[TGL.NOTA]]))</f>
        <v/>
      </c>
      <c r="AL946" s="38" t="str">
        <f>LOWER(SUBSTITUTE(SUBSTITUTE(SUBSTITUTE(SUBSTITUTE(SUBSTITUTE(SUBSTITUTE(SUBSTITUTE(SUBSTITUTE(SUBSTITUTE(NOTA[NAMA BARANG]," ",),".",""),"-",""),"(",""),")",""),",",""),"/",""),"""",""),"+",""))</f>
        <v/>
      </c>
      <c r="AM94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6" s="184" t="str">
        <f>IF(NOTA[[#This Row],[CONCAT1]]="","",MATCH(NOTA[[#This Row],[CONCAT1]],[1]!db[NB NOTA_C],0)+1)</f>
        <v/>
      </c>
    </row>
    <row r="947" spans="1:40" ht="20.100000000000001" customHeight="1" x14ac:dyDescent="0.25">
      <c r="A94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92" t="str">
        <f>IF(NOTA[[#This Row],[CEK_EXP]]&lt;D946,"err","")</f>
        <v/>
      </c>
      <c r="D947" s="92">
        <f>IF(NOTA[[#This Row],[TANGGAL]]="",D946,NOTA[[#This Row],[TANGGAL]])</f>
        <v>44959</v>
      </c>
      <c r="E947" s="92" t="str">
        <f ca="1">IF(NOTA[[#This Row],[NAMA BARANG]]="","",INDEX(NOTA[ID],MATCH(,INDIRECT(ADDRESS(ROW(NOTA[ID]),COLUMN(NOTA[ID]))&amp;":"&amp;ADDRESS(ROW(),COLUMN(NOTA[ID]))),-1)))</f>
        <v/>
      </c>
      <c r="F947" s="139"/>
      <c r="G947" s="38"/>
      <c r="H947" s="38"/>
      <c r="I947" s="79"/>
      <c r="J947" s="38"/>
      <c r="K947" s="78"/>
      <c r="L947" s="38"/>
      <c r="M947" s="38"/>
      <c r="N947" s="140"/>
      <c r="O947" s="38"/>
      <c r="P947" s="38"/>
      <c r="Q947" s="90"/>
      <c r="R947" s="105"/>
      <c r="S947" s="140"/>
      <c r="T947" s="141"/>
      <c r="U947" s="141"/>
      <c r="V947" s="66"/>
      <c r="W947" s="103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Row],[JUMLAH]]="","",NOTA[[#This Row],[DISC 1-]]+NOTA[[#This Row],[DISC 2-]])</f>
        <v/>
      </c>
      <c r="AB947" s="66" t="str">
        <f>IF(NOTA[[#This Row],[JUMLAH]]="","",NOTA[[#This Row],[JUMLAH]]-NOTA[[#This Row],[DISC]])</f>
        <v/>
      </c>
      <c r="AC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66" t="str">
        <f>IF(OR(NOTA[[#This Row],[QTY]]="",NOTA[[#This Row],[HARGA SATUAN]]="",),"",NOTA[[#This Row],[QTY]]*NOTA[[#This Row],[HARGA SATUAN]])</f>
        <v/>
      </c>
      <c r="AG947" s="78" t="str">
        <f ca="1">IF(NOTA[ID_H]="","",INDEX(NOTA[TANGGAL],MATCH(,INDIRECT(ADDRESS(ROW(NOTA[TANGGAL]),COLUMN(NOTA[TANGGAL]))&amp;":"&amp;ADDRESS(ROW(),COLUMN(NOTA[TANGGAL]))),-1)))</f>
        <v/>
      </c>
      <c r="AH947" s="90" t="str">
        <f ca="1">IF(NOTA[[#This Row],[NAMA BARANG]]="","",INDEX(NOTA[SUPPLIER],MATCH(,INDIRECT(ADDRESS(ROW(NOTA[ID]),COLUMN(NOTA[ID]))&amp;":"&amp;ADDRESS(ROW(),COLUMN(NOTA[ID]))),-1)))</f>
        <v/>
      </c>
      <c r="AI947" s="90" t="str">
        <f ca="1">IF(NOTA[[#This Row],[ID_H]]="","",IF(NOTA[[#This Row],[FAKTUR]]="",INDIRECT(ADDRESS(ROW()-1,COLUMN())),NOTA[[#This Row],[FAKTUR]]))</f>
        <v/>
      </c>
      <c r="AJ947" s="38" t="str">
        <f ca="1">IF(NOTA[[#This Row],[ID]]="","",COUNTIF(NOTA[ID_H],NOTA[[#This Row],[ID_H]]))</f>
        <v/>
      </c>
      <c r="AK947" s="38" t="str">
        <f ca="1">IF(NOTA[[#This Row],[TGL.NOTA]]="",IF(NOTA[[#This Row],[SUPPLIER_H]]="","",AK946),MONTH(NOTA[[#This Row],[TGL.NOTA]]))</f>
        <v/>
      </c>
      <c r="AL947" s="38" t="str">
        <f>LOWER(SUBSTITUTE(SUBSTITUTE(SUBSTITUTE(SUBSTITUTE(SUBSTITUTE(SUBSTITUTE(SUBSTITUTE(SUBSTITUTE(SUBSTITUTE(NOTA[NAMA BARANG]," ",),".",""),"-",""),"(",""),")",""),",",""),"/",""),"""",""),"+",""))</f>
        <v/>
      </c>
      <c r="AM94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7" s="184" t="str">
        <f>IF(NOTA[[#This Row],[CONCAT1]]="","",MATCH(NOTA[[#This Row],[CONCAT1]],[1]!db[NB NOTA_C],0)+1)</f>
        <v/>
      </c>
    </row>
    <row r="948" spans="1:40" ht="20.100000000000001" customHeight="1" x14ac:dyDescent="0.25">
      <c r="A94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92" t="str">
        <f>IF(NOTA[[#This Row],[CEK_EXP]]&lt;D947,"err","")</f>
        <v/>
      </c>
      <c r="D948" s="92">
        <f>IF(NOTA[[#This Row],[TANGGAL]]="",D947,NOTA[[#This Row],[TANGGAL]])</f>
        <v>44959</v>
      </c>
      <c r="E948" s="92" t="str">
        <f ca="1">IF(NOTA[[#This Row],[NAMA BARANG]]="","",INDEX(NOTA[ID],MATCH(,INDIRECT(ADDRESS(ROW(NOTA[ID]),COLUMN(NOTA[ID]))&amp;":"&amp;ADDRESS(ROW(),COLUMN(NOTA[ID]))),-1)))</f>
        <v/>
      </c>
      <c r="F948" s="139"/>
      <c r="G948" s="38"/>
      <c r="H948" s="38"/>
      <c r="I948" s="79"/>
      <c r="J948" s="38"/>
      <c r="K948" s="78"/>
      <c r="L948" s="38"/>
      <c r="M948" s="38"/>
      <c r="N948" s="140"/>
      <c r="O948" s="38"/>
      <c r="P948" s="38"/>
      <c r="Q948" s="90"/>
      <c r="R948" s="105"/>
      <c r="S948" s="140"/>
      <c r="T948" s="141"/>
      <c r="U948" s="141"/>
      <c r="V948" s="66"/>
      <c r="W948" s="103"/>
      <c r="X948" s="66" t="str">
        <f>IF(NOTA[[#This Row],[HARGA/ CTN]]="",NOTA[[#This Row],[JUMLAH_H]],NOTA[[#This Row],[HARGA/ CTN]]*IF(NOTA[[#This Row],[C]]="",0,NOTA[[#This Row],[C]]))</f>
        <v/>
      </c>
      <c r="Y948" s="66" t="str">
        <f>IF(NOTA[[#This Row],[JUMLAH]]="","",NOTA[[#This Row],[JUMLAH]]*NOTA[[#This Row],[DISC 1]])</f>
        <v/>
      </c>
      <c r="Z948" s="66" t="str">
        <f>IF(NOTA[[#This Row],[JUMLAH]]="","",(NOTA[[#This Row],[JUMLAH]]-NOTA[[#This Row],[DISC 1-]])*NOTA[[#This Row],[DISC 2]])</f>
        <v/>
      </c>
      <c r="AA948" s="66" t="str">
        <f>IF(NOTA[[#This Row],[JUMLAH]]="","",NOTA[[#This Row],[DISC 1-]]+NOTA[[#This Row],[DISC 2-]])</f>
        <v/>
      </c>
      <c r="AB948" s="66" t="str">
        <f>IF(NOTA[[#This Row],[JUMLAH]]="","",NOTA[[#This Row],[JUMLAH]]-NOTA[[#This Row],[DISC]])</f>
        <v/>
      </c>
      <c r="AC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8" s="66" t="str">
        <f>IF(OR(NOTA[[#This Row],[QTY]]="",NOTA[[#This Row],[HARGA SATUAN]]="",),"",NOTA[[#This Row],[QTY]]*NOTA[[#This Row],[HARGA SATUAN]])</f>
        <v/>
      </c>
      <c r="AG948" s="78" t="str">
        <f ca="1">IF(NOTA[ID_H]="","",INDEX(NOTA[TANGGAL],MATCH(,INDIRECT(ADDRESS(ROW(NOTA[TANGGAL]),COLUMN(NOTA[TANGGAL]))&amp;":"&amp;ADDRESS(ROW(),COLUMN(NOTA[TANGGAL]))),-1)))</f>
        <v/>
      </c>
      <c r="AH948" s="90" t="str">
        <f ca="1">IF(NOTA[[#This Row],[NAMA BARANG]]="","",INDEX(NOTA[SUPPLIER],MATCH(,INDIRECT(ADDRESS(ROW(NOTA[ID]),COLUMN(NOTA[ID]))&amp;":"&amp;ADDRESS(ROW(),COLUMN(NOTA[ID]))),-1)))</f>
        <v/>
      </c>
      <c r="AI948" s="90" t="str">
        <f ca="1">IF(NOTA[[#This Row],[ID_H]]="","",IF(NOTA[[#This Row],[FAKTUR]]="",INDIRECT(ADDRESS(ROW()-1,COLUMN())),NOTA[[#This Row],[FAKTUR]]))</f>
        <v/>
      </c>
      <c r="AJ948" s="38" t="str">
        <f ca="1">IF(NOTA[[#This Row],[ID]]="","",COUNTIF(NOTA[ID_H],NOTA[[#This Row],[ID_H]]))</f>
        <v/>
      </c>
      <c r="AK948" s="38" t="str">
        <f ca="1">IF(NOTA[[#This Row],[TGL.NOTA]]="",IF(NOTA[[#This Row],[SUPPLIER_H]]="","",AK947),MONTH(NOTA[[#This Row],[TGL.NOTA]]))</f>
        <v/>
      </c>
      <c r="AL948" s="38" t="str">
        <f>LOWER(SUBSTITUTE(SUBSTITUTE(SUBSTITUTE(SUBSTITUTE(SUBSTITUTE(SUBSTITUTE(SUBSTITUTE(SUBSTITUTE(SUBSTITUTE(NOTA[NAMA BARANG]," ",),".",""),"-",""),"(",""),")",""),",",""),"/",""),"""",""),"+",""))</f>
        <v/>
      </c>
      <c r="AM94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8" s="184" t="str">
        <f>IF(NOTA[[#This Row],[CONCAT1]]="","",MATCH(NOTA[[#This Row],[CONCAT1]],[1]!db[NB NOTA_C],0)+1)</f>
        <v/>
      </c>
    </row>
    <row r="949" spans="1:40" ht="20.100000000000001" customHeight="1" x14ac:dyDescent="0.25">
      <c r="A94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92" t="str">
        <f>IF(NOTA[[#This Row],[CEK_EXP]]&lt;D948,"err","")</f>
        <v/>
      </c>
      <c r="D949" s="92">
        <f>IF(NOTA[[#This Row],[TANGGAL]]="",D948,NOTA[[#This Row],[TANGGAL]])</f>
        <v>44959</v>
      </c>
      <c r="E949" s="92" t="str">
        <f ca="1">IF(NOTA[[#This Row],[NAMA BARANG]]="","",INDEX(NOTA[ID],MATCH(,INDIRECT(ADDRESS(ROW(NOTA[ID]),COLUMN(NOTA[ID]))&amp;":"&amp;ADDRESS(ROW(),COLUMN(NOTA[ID]))),-1)))</f>
        <v/>
      </c>
      <c r="F949" s="139"/>
      <c r="G949" s="38"/>
      <c r="H949" s="38"/>
      <c r="I949" s="79"/>
      <c r="J949" s="38"/>
      <c r="K949" s="78"/>
      <c r="L949" s="38"/>
      <c r="M949" s="38"/>
      <c r="N949" s="140"/>
      <c r="O949" s="38"/>
      <c r="P949" s="38"/>
      <c r="Q949" s="90"/>
      <c r="R949" s="105"/>
      <c r="S949" s="140"/>
      <c r="T949" s="141"/>
      <c r="U949" s="141"/>
      <c r="V949" s="66"/>
      <c r="W949" s="103"/>
      <c r="X949" s="66" t="str">
        <f>IF(NOTA[[#This Row],[HARGA/ CTN]]="",NOTA[[#This Row],[JUMLAH_H]],NOTA[[#This Row],[HARGA/ CTN]]*IF(NOTA[[#This Row],[C]]="",0,NOTA[[#This Row],[C]]))</f>
        <v/>
      </c>
      <c r="Y949" s="66" t="str">
        <f>IF(NOTA[[#This Row],[JUMLAH]]="","",NOTA[[#This Row],[JUMLAH]]*NOTA[[#This Row],[DISC 1]])</f>
        <v/>
      </c>
      <c r="Z949" s="66" t="str">
        <f>IF(NOTA[[#This Row],[JUMLAH]]="","",(NOTA[[#This Row],[JUMLAH]]-NOTA[[#This Row],[DISC 1-]])*NOTA[[#This Row],[DISC 2]])</f>
        <v/>
      </c>
      <c r="AA949" s="66" t="str">
        <f>IF(NOTA[[#This Row],[JUMLAH]]="","",NOTA[[#This Row],[DISC 1-]]+NOTA[[#This Row],[DISC 2-]])</f>
        <v/>
      </c>
      <c r="AB949" s="66" t="str">
        <f>IF(NOTA[[#This Row],[JUMLAH]]="","",NOTA[[#This Row],[JUMLAH]]-NOTA[[#This Row],[DISC]])</f>
        <v/>
      </c>
      <c r="AC9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9" s="66" t="str">
        <f>IF(OR(NOTA[[#This Row],[QTY]]="",NOTA[[#This Row],[HARGA SATUAN]]="",),"",NOTA[[#This Row],[QTY]]*NOTA[[#This Row],[HARGA SATUAN]])</f>
        <v/>
      </c>
      <c r="AG949" s="78" t="str">
        <f ca="1">IF(NOTA[ID_H]="","",INDEX(NOTA[TANGGAL],MATCH(,INDIRECT(ADDRESS(ROW(NOTA[TANGGAL]),COLUMN(NOTA[TANGGAL]))&amp;":"&amp;ADDRESS(ROW(),COLUMN(NOTA[TANGGAL]))),-1)))</f>
        <v/>
      </c>
      <c r="AH949" s="90" t="str">
        <f ca="1">IF(NOTA[[#This Row],[NAMA BARANG]]="","",INDEX(NOTA[SUPPLIER],MATCH(,INDIRECT(ADDRESS(ROW(NOTA[ID]),COLUMN(NOTA[ID]))&amp;":"&amp;ADDRESS(ROW(),COLUMN(NOTA[ID]))),-1)))</f>
        <v/>
      </c>
      <c r="AI949" s="90" t="str">
        <f ca="1">IF(NOTA[[#This Row],[ID_H]]="","",IF(NOTA[[#This Row],[FAKTUR]]="",INDIRECT(ADDRESS(ROW()-1,COLUMN())),NOTA[[#This Row],[FAKTUR]]))</f>
        <v/>
      </c>
      <c r="AJ949" s="38" t="str">
        <f ca="1">IF(NOTA[[#This Row],[ID]]="","",COUNTIF(NOTA[ID_H],NOTA[[#This Row],[ID_H]]))</f>
        <v/>
      </c>
      <c r="AK949" s="38" t="str">
        <f ca="1">IF(NOTA[[#This Row],[TGL.NOTA]]="",IF(NOTA[[#This Row],[SUPPLIER_H]]="","",AK948),MONTH(NOTA[[#This Row],[TGL.NOTA]]))</f>
        <v/>
      </c>
      <c r="AL949" s="38" t="str">
        <f>LOWER(SUBSTITUTE(SUBSTITUTE(SUBSTITUTE(SUBSTITUTE(SUBSTITUTE(SUBSTITUTE(SUBSTITUTE(SUBSTITUTE(SUBSTITUTE(NOTA[NAMA BARANG]," ",),".",""),"-",""),"(",""),")",""),",",""),"/",""),"""",""),"+",""))</f>
        <v/>
      </c>
      <c r="AM94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49" s="184" t="str">
        <f>IF(NOTA[[#This Row],[CONCAT1]]="","",MATCH(NOTA[[#This Row],[CONCAT1]],[1]!db[NB NOTA_C],0)+1)</f>
        <v/>
      </c>
    </row>
    <row r="950" spans="1:40" ht="20.100000000000001" customHeight="1" x14ac:dyDescent="0.25">
      <c r="A95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92" t="str">
        <f>IF(NOTA[[#This Row],[CEK_EXP]]&lt;D949,"err","")</f>
        <v/>
      </c>
      <c r="D950" s="92">
        <f>IF(NOTA[[#This Row],[TANGGAL]]="",D949,NOTA[[#This Row],[TANGGAL]])</f>
        <v>44959</v>
      </c>
      <c r="E950" s="92" t="str">
        <f ca="1">IF(NOTA[[#This Row],[NAMA BARANG]]="","",INDEX(NOTA[ID],MATCH(,INDIRECT(ADDRESS(ROW(NOTA[ID]),COLUMN(NOTA[ID]))&amp;":"&amp;ADDRESS(ROW(),COLUMN(NOTA[ID]))),-1)))</f>
        <v/>
      </c>
      <c r="F950" s="139"/>
      <c r="G950" s="38"/>
      <c r="H950" s="38"/>
      <c r="I950" s="79"/>
      <c r="J950" s="38"/>
      <c r="K950" s="78"/>
      <c r="L950" s="38"/>
      <c r="M950" s="38"/>
      <c r="N950" s="140"/>
      <c r="O950" s="38"/>
      <c r="P950" s="38"/>
      <c r="Q950" s="90"/>
      <c r="R950" s="105"/>
      <c r="S950" s="140"/>
      <c r="T950" s="141"/>
      <c r="U950" s="141"/>
      <c r="V950" s="66"/>
      <c r="W950" s="103"/>
      <c r="X950" s="66" t="str">
        <f>IF(NOTA[[#This Row],[HARGA/ CTN]]="",NOTA[[#This Row],[JUMLAH_H]],NOTA[[#This Row],[HARGA/ CTN]]*IF(NOTA[[#This Row],[C]]="",0,NOTA[[#This Row],[C]]))</f>
        <v/>
      </c>
      <c r="Y950" s="66" t="str">
        <f>IF(NOTA[[#This Row],[JUMLAH]]="","",NOTA[[#This Row],[JUMLAH]]*NOTA[[#This Row],[DISC 1]])</f>
        <v/>
      </c>
      <c r="Z950" s="66" t="str">
        <f>IF(NOTA[[#This Row],[JUMLAH]]="","",(NOTA[[#This Row],[JUMLAH]]-NOTA[[#This Row],[DISC 1-]])*NOTA[[#This Row],[DISC 2]])</f>
        <v/>
      </c>
      <c r="AA950" s="66" t="str">
        <f>IF(NOTA[[#This Row],[JUMLAH]]="","",NOTA[[#This Row],[DISC 1-]]+NOTA[[#This Row],[DISC 2-]])</f>
        <v/>
      </c>
      <c r="AB950" s="66" t="str">
        <f>IF(NOTA[[#This Row],[JUMLAH]]="","",NOTA[[#This Row],[JUMLAH]]-NOTA[[#This Row],[DISC]])</f>
        <v/>
      </c>
      <c r="AC9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66" t="str">
        <f>IF(OR(NOTA[[#This Row],[QTY]]="",NOTA[[#This Row],[HARGA SATUAN]]="",),"",NOTA[[#This Row],[QTY]]*NOTA[[#This Row],[HARGA SATUAN]])</f>
        <v/>
      </c>
      <c r="AG950" s="78" t="str">
        <f ca="1">IF(NOTA[ID_H]="","",INDEX(NOTA[TANGGAL],MATCH(,INDIRECT(ADDRESS(ROW(NOTA[TANGGAL]),COLUMN(NOTA[TANGGAL]))&amp;":"&amp;ADDRESS(ROW(),COLUMN(NOTA[TANGGAL]))),-1)))</f>
        <v/>
      </c>
      <c r="AH950" s="90" t="str">
        <f ca="1">IF(NOTA[[#This Row],[NAMA BARANG]]="","",INDEX(NOTA[SUPPLIER],MATCH(,INDIRECT(ADDRESS(ROW(NOTA[ID]),COLUMN(NOTA[ID]))&amp;":"&amp;ADDRESS(ROW(),COLUMN(NOTA[ID]))),-1)))</f>
        <v/>
      </c>
      <c r="AI950" s="90" t="str">
        <f ca="1">IF(NOTA[[#This Row],[ID_H]]="","",IF(NOTA[[#This Row],[FAKTUR]]="",INDIRECT(ADDRESS(ROW()-1,COLUMN())),NOTA[[#This Row],[FAKTUR]]))</f>
        <v/>
      </c>
      <c r="AJ950" s="38" t="str">
        <f ca="1">IF(NOTA[[#This Row],[ID]]="","",COUNTIF(NOTA[ID_H],NOTA[[#This Row],[ID_H]]))</f>
        <v/>
      </c>
      <c r="AK950" s="38" t="str">
        <f ca="1">IF(NOTA[[#This Row],[TGL.NOTA]]="",IF(NOTA[[#This Row],[SUPPLIER_H]]="","",AK949),MONTH(NOTA[[#This Row],[TGL.NOTA]]))</f>
        <v/>
      </c>
      <c r="AL950" s="38" t="str">
        <f>LOWER(SUBSTITUTE(SUBSTITUTE(SUBSTITUTE(SUBSTITUTE(SUBSTITUTE(SUBSTITUTE(SUBSTITUTE(SUBSTITUTE(SUBSTITUTE(NOTA[NAMA BARANG]," ",),".",""),"-",""),"(",""),")",""),",",""),"/",""),"""",""),"+",""))</f>
        <v/>
      </c>
      <c r="AM95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0" s="184" t="str">
        <f>IF(NOTA[[#This Row],[CONCAT1]]="","",MATCH(NOTA[[#This Row],[CONCAT1]],[1]!db[NB NOTA_C],0)+1)</f>
        <v/>
      </c>
    </row>
    <row r="951" spans="1:40" ht="20.100000000000001" customHeight="1" x14ac:dyDescent="0.25">
      <c r="A95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92" t="str">
        <f>IF(NOTA[[#This Row],[CEK_EXP]]&lt;D950,"err","")</f>
        <v/>
      </c>
      <c r="D951" s="92">
        <f>IF(NOTA[[#This Row],[TANGGAL]]="",D950,NOTA[[#This Row],[TANGGAL]])</f>
        <v>44959</v>
      </c>
      <c r="E951" s="92" t="str">
        <f ca="1">IF(NOTA[[#This Row],[NAMA BARANG]]="","",INDEX(NOTA[ID],MATCH(,INDIRECT(ADDRESS(ROW(NOTA[ID]),COLUMN(NOTA[ID]))&amp;":"&amp;ADDRESS(ROW(),COLUMN(NOTA[ID]))),-1)))</f>
        <v/>
      </c>
      <c r="F951" s="139"/>
      <c r="G951" s="38"/>
      <c r="H951" s="38"/>
      <c r="I951" s="79"/>
      <c r="J951" s="38"/>
      <c r="K951" s="78"/>
      <c r="L951" s="38"/>
      <c r="M951" s="38"/>
      <c r="N951" s="140"/>
      <c r="O951" s="38"/>
      <c r="P951" s="38"/>
      <c r="Q951" s="90"/>
      <c r="R951" s="105"/>
      <c r="S951" s="140"/>
      <c r="T951" s="141"/>
      <c r="U951" s="141"/>
      <c r="V951" s="66"/>
      <c r="W951" s="103"/>
      <c r="X951" s="66" t="str">
        <f>IF(NOTA[[#This Row],[HARGA/ CTN]]="",NOTA[[#This Row],[JUMLAH_H]],NOTA[[#This Row],[HARGA/ CTN]]*IF(NOTA[[#This Row],[C]]="",0,NOTA[[#This Row],[C]]))</f>
        <v/>
      </c>
      <c r="Y951" s="66" t="str">
        <f>IF(NOTA[[#This Row],[JUMLAH]]="","",NOTA[[#This Row],[JUMLAH]]*NOTA[[#This Row],[DISC 1]])</f>
        <v/>
      </c>
      <c r="Z951" s="66" t="str">
        <f>IF(NOTA[[#This Row],[JUMLAH]]="","",(NOTA[[#This Row],[JUMLAH]]-NOTA[[#This Row],[DISC 1-]])*NOTA[[#This Row],[DISC 2]])</f>
        <v/>
      </c>
      <c r="AA951" s="66" t="str">
        <f>IF(NOTA[[#This Row],[JUMLAH]]="","",NOTA[[#This Row],[DISC 1-]]+NOTA[[#This Row],[DISC 2-]])</f>
        <v/>
      </c>
      <c r="AB951" s="66" t="str">
        <f>IF(NOTA[[#This Row],[JUMLAH]]="","",NOTA[[#This Row],[JUMLAH]]-NOTA[[#This Row],[DISC]])</f>
        <v/>
      </c>
      <c r="AC9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1" s="66" t="str">
        <f>IF(OR(NOTA[[#This Row],[QTY]]="",NOTA[[#This Row],[HARGA SATUAN]]="",),"",NOTA[[#This Row],[QTY]]*NOTA[[#This Row],[HARGA SATUAN]])</f>
        <v/>
      </c>
      <c r="AG951" s="78" t="str">
        <f ca="1">IF(NOTA[ID_H]="","",INDEX(NOTA[TANGGAL],MATCH(,INDIRECT(ADDRESS(ROW(NOTA[TANGGAL]),COLUMN(NOTA[TANGGAL]))&amp;":"&amp;ADDRESS(ROW(),COLUMN(NOTA[TANGGAL]))),-1)))</f>
        <v/>
      </c>
      <c r="AH951" s="90" t="str">
        <f ca="1">IF(NOTA[[#This Row],[NAMA BARANG]]="","",INDEX(NOTA[SUPPLIER],MATCH(,INDIRECT(ADDRESS(ROW(NOTA[ID]),COLUMN(NOTA[ID]))&amp;":"&amp;ADDRESS(ROW(),COLUMN(NOTA[ID]))),-1)))</f>
        <v/>
      </c>
      <c r="AI951" s="90" t="str">
        <f ca="1">IF(NOTA[[#This Row],[ID_H]]="","",IF(NOTA[[#This Row],[FAKTUR]]="",INDIRECT(ADDRESS(ROW()-1,COLUMN())),NOTA[[#This Row],[FAKTUR]]))</f>
        <v/>
      </c>
      <c r="AJ951" s="38" t="str">
        <f ca="1">IF(NOTA[[#This Row],[ID]]="","",COUNTIF(NOTA[ID_H],NOTA[[#This Row],[ID_H]]))</f>
        <v/>
      </c>
      <c r="AK951" s="38" t="str">
        <f ca="1">IF(NOTA[[#This Row],[TGL.NOTA]]="",IF(NOTA[[#This Row],[SUPPLIER_H]]="","",AK950),MONTH(NOTA[[#This Row],[TGL.NOTA]]))</f>
        <v/>
      </c>
      <c r="AL951" s="38" t="str">
        <f>LOWER(SUBSTITUTE(SUBSTITUTE(SUBSTITUTE(SUBSTITUTE(SUBSTITUTE(SUBSTITUTE(SUBSTITUTE(SUBSTITUTE(SUBSTITUTE(NOTA[NAMA BARANG]," ",),".",""),"-",""),"(",""),")",""),",",""),"/",""),"""",""),"+",""))</f>
        <v/>
      </c>
      <c r="AM95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1" s="184" t="str">
        <f>IF(NOTA[[#This Row],[CONCAT1]]="","",MATCH(NOTA[[#This Row],[CONCAT1]],[1]!db[NB NOTA_C],0)+1)</f>
        <v/>
      </c>
    </row>
    <row r="952" spans="1:40" ht="20.100000000000001" customHeight="1" x14ac:dyDescent="0.25">
      <c r="A95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92" t="str">
        <f>IF(NOTA[[#This Row],[CEK_EXP]]&lt;D951,"err","")</f>
        <v/>
      </c>
      <c r="D952" s="92">
        <f>IF(NOTA[[#This Row],[TANGGAL]]="",D951,NOTA[[#This Row],[TANGGAL]])</f>
        <v>44959</v>
      </c>
      <c r="E952" s="92" t="str">
        <f ca="1">IF(NOTA[[#This Row],[NAMA BARANG]]="","",INDEX(NOTA[ID],MATCH(,INDIRECT(ADDRESS(ROW(NOTA[ID]),COLUMN(NOTA[ID]))&amp;":"&amp;ADDRESS(ROW(),COLUMN(NOTA[ID]))),-1)))</f>
        <v/>
      </c>
      <c r="F952" s="139"/>
      <c r="G952" s="38"/>
      <c r="H952" s="38"/>
      <c r="I952" s="79"/>
      <c r="J952" s="38"/>
      <c r="K952" s="78"/>
      <c r="L952" s="38"/>
      <c r="M952" s="38"/>
      <c r="N952" s="140"/>
      <c r="O952" s="38"/>
      <c r="P952" s="38"/>
      <c r="Q952" s="90"/>
      <c r="R952" s="105"/>
      <c r="S952" s="140"/>
      <c r="T952" s="141"/>
      <c r="U952" s="141"/>
      <c r="V952" s="66"/>
      <c r="W952" s="103"/>
      <c r="X952" s="66" t="str">
        <f>IF(NOTA[[#This Row],[HARGA/ CTN]]="",NOTA[[#This Row],[JUMLAH_H]],NOTA[[#This Row],[HARGA/ CTN]]*IF(NOTA[[#This Row],[C]]="",0,NOTA[[#This Row],[C]]))</f>
        <v/>
      </c>
      <c r="Y952" s="66" t="str">
        <f>IF(NOTA[[#This Row],[JUMLAH]]="","",NOTA[[#This Row],[JUMLAH]]*NOTA[[#This Row],[DISC 1]])</f>
        <v/>
      </c>
      <c r="Z952" s="66" t="str">
        <f>IF(NOTA[[#This Row],[JUMLAH]]="","",(NOTA[[#This Row],[JUMLAH]]-NOTA[[#This Row],[DISC 1-]])*NOTA[[#This Row],[DISC 2]])</f>
        <v/>
      </c>
      <c r="AA952" s="66" t="str">
        <f>IF(NOTA[[#This Row],[JUMLAH]]="","",NOTA[[#This Row],[DISC 1-]]+NOTA[[#This Row],[DISC 2-]])</f>
        <v/>
      </c>
      <c r="AB952" s="66" t="str">
        <f>IF(NOTA[[#This Row],[JUMLAH]]="","",NOTA[[#This Row],[JUMLAH]]-NOTA[[#This Row],[DISC]])</f>
        <v/>
      </c>
      <c r="AC9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2" s="66" t="str">
        <f>IF(OR(NOTA[[#This Row],[QTY]]="",NOTA[[#This Row],[HARGA SATUAN]]="",),"",NOTA[[#This Row],[QTY]]*NOTA[[#This Row],[HARGA SATUAN]])</f>
        <v/>
      </c>
      <c r="AG952" s="78" t="str">
        <f ca="1">IF(NOTA[ID_H]="","",INDEX(NOTA[TANGGAL],MATCH(,INDIRECT(ADDRESS(ROW(NOTA[TANGGAL]),COLUMN(NOTA[TANGGAL]))&amp;":"&amp;ADDRESS(ROW(),COLUMN(NOTA[TANGGAL]))),-1)))</f>
        <v/>
      </c>
      <c r="AH952" s="90" t="str">
        <f ca="1">IF(NOTA[[#This Row],[NAMA BARANG]]="","",INDEX(NOTA[SUPPLIER],MATCH(,INDIRECT(ADDRESS(ROW(NOTA[ID]),COLUMN(NOTA[ID]))&amp;":"&amp;ADDRESS(ROW(),COLUMN(NOTA[ID]))),-1)))</f>
        <v/>
      </c>
      <c r="AI952" s="90" t="str">
        <f ca="1">IF(NOTA[[#This Row],[ID_H]]="","",IF(NOTA[[#This Row],[FAKTUR]]="",INDIRECT(ADDRESS(ROW()-1,COLUMN())),NOTA[[#This Row],[FAKTUR]]))</f>
        <v/>
      </c>
      <c r="AJ952" s="38" t="str">
        <f ca="1">IF(NOTA[[#This Row],[ID]]="","",COUNTIF(NOTA[ID_H],NOTA[[#This Row],[ID_H]]))</f>
        <v/>
      </c>
      <c r="AK952" s="38" t="str">
        <f ca="1">IF(NOTA[[#This Row],[TGL.NOTA]]="",IF(NOTA[[#This Row],[SUPPLIER_H]]="","",AK951),MONTH(NOTA[[#This Row],[TGL.NOTA]]))</f>
        <v/>
      </c>
      <c r="AL952" s="38" t="str">
        <f>LOWER(SUBSTITUTE(SUBSTITUTE(SUBSTITUTE(SUBSTITUTE(SUBSTITUTE(SUBSTITUTE(SUBSTITUTE(SUBSTITUTE(SUBSTITUTE(NOTA[NAMA BARANG]," ",),".",""),"-",""),"(",""),")",""),",",""),"/",""),"""",""),"+",""))</f>
        <v/>
      </c>
      <c r="AM95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2" s="184" t="str">
        <f>IF(NOTA[[#This Row],[CONCAT1]]="","",MATCH(NOTA[[#This Row],[CONCAT1]],[1]!db[NB NOTA_C],0)+1)</f>
        <v/>
      </c>
    </row>
    <row r="953" spans="1:40" ht="20.100000000000001" customHeight="1" x14ac:dyDescent="0.25">
      <c r="A95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92" t="str">
        <f>IF(NOTA[[#This Row],[CEK_EXP]]&lt;D952,"err","")</f>
        <v/>
      </c>
      <c r="D953" s="92">
        <f>IF(NOTA[[#This Row],[TANGGAL]]="",D952,NOTA[[#This Row],[TANGGAL]])</f>
        <v>44959</v>
      </c>
      <c r="E953" s="92" t="str">
        <f ca="1">IF(NOTA[[#This Row],[NAMA BARANG]]="","",INDEX(NOTA[ID],MATCH(,INDIRECT(ADDRESS(ROW(NOTA[ID]),COLUMN(NOTA[ID]))&amp;":"&amp;ADDRESS(ROW(),COLUMN(NOTA[ID]))),-1)))</f>
        <v/>
      </c>
      <c r="F953" s="139"/>
      <c r="G953" s="38"/>
      <c r="H953" s="38"/>
      <c r="I953" s="79"/>
      <c r="J953" s="38"/>
      <c r="K953" s="78"/>
      <c r="L953" s="38"/>
      <c r="M953" s="38"/>
      <c r="N953" s="140"/>
      <c r="O953" s="38"/>
      <c r="P953" s="38"/>
      <c r="Q953" s="90"/>
      <c r="R953" s="105"/>
      <c r="S953" s="140"/>
      <c r="T953" s="141"/>
      <c r="U953" s="141"/>
      <c r="V953" s="66"/>
      <c r="W953" s="103"/>
      <c r="X953" s="66" t="str">
        <f>IF(NOTA[[#This Row],[HARGA/ CTN]]="",NOTA[[#This Row],[JUMLAH_H]],NOTA[[#This Row],[HARGA/ CTN]]*IF(NOTA[[#This Row],[C]]="",0,NOTA[[#This Row],[C]]))</f>
        <v/>
      </c>
      <c r="Y953" s="66" t="str">
        <f>IF(NOTA[[#This Row],[JUMLAH]]="","",NOTA[[#This Row],[JUMLAH]]*NOTA[[#This Row],[DISC 1]])</f>
        <v/>
      </c>
      <c r="Z953" s="66" t="str">
        <f>IF(NOTA[[#This Row],[JUMLAH]]="","",(NOTA[[#This Row],[JUMLAH]]-NOTA[[#This Row],[DISC 1-]])*NOTA[[#This Row],[DISC 2]])</f>
        <v/>
      </c>
      <c r="AA953" s="66" t="str">
        <f>IF(NOTA[[#This Row],[JUMLAH]]="","",NOTA[[#This Row],[DISC 1-]]+NOTA[[#This Row],[DISC 2-]])</f>
        <v/>
      </c>
      <c r="AB953" s="66" t="str">
        <f>IF(NOTA[[#This Row],[JUMLAH]]="","",NOTA[[#This Row],[JUMLAH]]-NOTA[[#This Row],[DISC]])</f>
        <v/>
      </c>
      <c r="AC9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66" t="str">
        <f>IF(OR(NOTA[[#This Row],[QTY]]="",NOTA[[#This Row],[HARGA SATUAN]]="",),"",NOTA[[#This Row],[QTY]]*NOTA[[#This Row],[HARGA SATUAN]])</f>
        <v/>
      </c>
      <c r="AG953" s="78" t="str">
        <f ca="1">IF(NOTA[ID_H]="","",INDEX(NOTA[TANGGAL],MATCH(,INDIRECT(ADDRESS(ROW(NOTA[TANGGAL]),COLUMN(NOTA[TANGGAL]))&amp;":"&amp;ADDRESS(ROW(),COLUMN(NOTA[TANGGAL]))),-1)))</f>
        <v/>
      </c>
      <c r="AH953" s="90" t="str">
        <f ca="1">IF(NOTA[[#This Row],[NAMA BARANG]]="","",INDEX(NOTA[SUPPLIER],MATCH(,INDIRECT(ADDRESS(ROW(NOTA[ID]),COLUMN(NOTA[ID]))&amp;":"&amp;ADDRESS(ROW(),COLUMN(NOTA[ID]))),-1)))</f>
        <v/>
      </c>
      <c r="AI953" s="90" t="str">
        <f ca="1">IF(NOTA[[#This Row],[ID_H]]="","",IF(NOTA[[#This Row],[FAKTUR]]="",INDIRECT(ADDRESS(ROW()-1,COLUMN())),NOTA[[#This Row],[FAKTUR]]))</f>
        <v/>
      </c>
      <c r="AJ953" s="38" t="str">
        <f ca="1">IF(NOTA[[#This Row],[ID]]="","",COUNTIF(NOTA[ID_H],NOTA[[#This Row],[ID_H]]))</f>
        <v/>
      </c>
      <c r="AK953" s="38" t="str">
        <f ca="1">IF(NOTA[[#This Row],[TGL.NOTA]]="",IF(NOTA[[#This Row],[SUPPLIER_H]]="","",AK952),MONTH(NOTA[[#This Row],[TGL.NOTA]]))</f>
        <v/>
      </c>
      <c r="AL953" s="38" t="str">
        <f>LOWER(SUBSTITUTE(SUBSTITUTE(SUBSTITUTE(SUBSTITUTE(SUBSTITUTE(SUBSTITUTE(SUBSTITUTE(SUBSTITUTE(SUBSTITUTE(NOTA[NAMA BARANG]," ",),".",""),"-",""),"(",""),")",""),",",""),"/",""),"""",""),"+",""))</f>
        <v/>
      </c>
      <c r="AM95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3" s="184" t="str">
        <f>IF(NOTA[[#This Row],[CONCAT1]]="","",MATCH(NOTA[[#This Row],[CONCAT1]],[1]!db[NB NOTA_C],0)+1)</f>
        <v/>
      </c>
    </row>
    <row r="954" spans="1:40" ht="20.100000000000001" customHeight="1" x14ac:dyDescent="0.25">
      <c r="A95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92" t="str">
        <f>IF(NOTA[[#This Row],[CEK_EXP]]&lt;D953,"err","")</f>
        <v/>
      </c>
      <c r="D954" s="92">
        <f>IF(NOTA[[#This Row],[TANGGAL]]="",D953,NOTA[[#This Row],[TANGGAL]])</f>
        <v>44959</v>
      </c>
      <c r="E954" s="92" t="str">
        <f ca="1">IF(NOTA[[#This Row],[NAMA BARANG]]="","",INDEX(NOTA[ID],MATCH(,INDIRECT(ADDRESS(ROW(NOTA[ID]),COLUMN(NOTA[ID]))&amp;":"&amp;ADDRESS(ROW(),COLUMN(NOTA[ID]))),-1)))</f>
        <v/>
      </c>
      <c r="F954" s="139"/>
      <c r="G954" s="38"/>
      <c r="H954" s="38"/>
      <c r="I954" s="79"/>
      <c r="J954" s="38"/>
      <c r="K954" s="78"/>
      <c r="L954" s="38"/>
      <c r="M954" s="38"/>
      <c r="N954" s="140"/>
      <c r="O954" s="38"/>
      <c r="P954" s="38"/>
      <c r="Q954" s="90"/>
      <c r="R954" s="105"/>
      <c r="S954" s="140"/>
      <c r="T954" s="141"/>
      <c r="U954" s="141"/>
      <c r="V954" s="66"/>
      <c r="W954" s="103"/>
      <c r="X954" s="66" t="str">
        <f>IF(NOTA[[#This Row],[HARGA/ CTN]]="",NOTA[[#This Row],[JUMLAH_H]],NOTA[[#This Row],[HARGA/ CTN]]*IF(NOTA[[#This Row],[C]]="",0,NOTA[[#This Row],[C]]))</f>
        <v/>
      </c>
      <c r="Y954" s="66" t="str">
        <f>IF(NOTA[[#This Row],[JUMLAH]]="","",NOTA[[#This Row],[JUMLAH]]*NOTA[[#This Row],[DISC 1]])</f>
        <v/>
      </c>
      <c r="Z954" s="66" t="str">
        <f>IF(NOTA[[#This Row],[JUMLAH]]="","",(NOTA[[#This Row],[JUMLAH]]-NOTA[[#This Row],[DISC 1-]])*NOTA[[#This Row],[DISC 2]])</f>
        <v/>
      </c>
      <c r="AA954" s="66" t="str">
        <f>IF(NOTA[[#This Row],[JUMLAH]]="","",NOTA[[#This Row],[DISC 1-]]+NOTA[[#This Row],[DISC 2-]])</f>
        <v/>
      </c>
      <c r="AB954" s="66" t="str">
        <f>IF(NOTA[[#This Row],[JUMLAH]]="","",NOTA[[#This Row],[JUMLAH]]-NOTA[[#This Row],[DISC]])</f>
        <v/>
      </c>
      <c r="AC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4" s="66" t="str">
        <f>IF(OR(NOTA[[#This Row],[QTY]]="",NOTA[[#This Row],[HARGA SATUAN]]="",),"",NOTA[[#This Row],[QTY]]*NOTA[[#This Row],[HARGA SATUAN]])</f>
        <v/>
      </c>
      <c r="AG954" s="78" t="str">
        <f ca="1">IF(NOTA[ID_H]="","",INDEX(NOTA[TANGGAL],MATCH(,INDIRECT(ADDRESS(ROW(NOTA[TANGGAL]),COLUMN(NOTA[TANGGAL]))&amp;":"&amp;ADDRESS(ROW(),COLUMN(NOTA[TANGGAL]))),-1)))</f>
        <v/>
      </c>
      <c r="AH954" s="90" t="str">
        <f ca="1">IF(NOTA[[#This Row],[NAMA BARANG]]="","",INDEX(NOTA[SUPPLIER],MATCH(,INDIRECT(ADDRESS(ROW(NOTA[ID]),COLUMN(NOTA[ID]))&amp;":"&amp;ADDRESS(ROW(),COLUMN(NOTA[ID]))),-1)))</f>
        <v/>
      </c>
      <c r="AI954" s="90" t="str">
        <f ca="1">IF(NOTA[[#This Row],[ID_H]]="","",IF(NOTA[[#This Row],[FAKTUR]]="",INDIRECT(ADDRESS(ROW()-1,COLUMN())),NOTA[[#This Row],[FAKTUR]]))</f>
        <v/>
      </c>
      <c r="AJ954" s="38" t="str">
        <f ca="1">IF(NOTA[[#This Row],[ID]]="","",COUNTIF(NOTA[ID_H],NOTA[[#This Row],[ID_H]]))</f>
        <v/>
      </c>
      <c r="AK954" s="38" t="str">
        <f ca="1">IF(NOTA[[#This Row],[TGL.NOTA]]="",IF(NOTA[[#This Row],[SUPPLIER_H]]="","",AK953),MONTH(NOTA[[#This Row],[TGL.NOTA]]))</f>
        <v/>
      </c>
      <c r="AL954" s="38" t="str">
        <f>LOWER(SUBSTITUTE(SUBSTITUTE(SUBSTITUTE(SUBSTITUTE(SUBSTITUTE(SUBSTITUTE(SUBSTITUTE(SUBSTITUTE(SUBSTITUTE(NOTA[NAMA BARANG]," ",),".",""),"-",""),"(",""),")",""),",",""),"/",""),"""",""),"+",""))</f>
        <v/>
      </c>
      <c r="AM95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4" s="184" t="str">
        <f>IF(NOTA[[#This Row],[CONCAT1]]="","",MATCH(NOTA[[#This Row],[CONCAT1]],[1]!db[NB NOTA_C],0)+1)</f>
        <v/>
      </c>
    </row>
    <row r="955" spans="1:40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Row],[CEK_EXP]]&lt;D954,"err","")</f>
        <v/>
      </c>
      <c r="D955" s="92">
        <f>IF(NOTA[[#This Row],[TANGGAL]]="",D954,NOTA[[#This Row],[TANGGAL]])</f>
        <v>44959</v>
      </c>
      <c r="E955" s="92" t="str">
        <f ca="1">IF(NOTA[[#This Row],[NAMA BARANG]]="","",INDEX(NOTA[ID],MATCH(,INDIRECT(ADDRESS(ROW(NOTA[ID]),COLUMN(NOTA[ID]))&amp;":"&amp;ADDRESS(ROW(),COLUMN(NOTA[ID]))),-1)))</f>
        <v/>
      </c>
      <c r="F955" s="139"/>
      <c r="G955" s="38"/>
      <c r="H955" s="38"/>
      <c r="I955" s="79"/>
      <c r="J955" s="38"/>
      <c r="K955" s="78"/>
      <c r="L955" s="38"/>
      <c r="M955" s="38"/>
      <c r="N955" s="140"/>
      <c r="O955" s="38"/>
      <c r="P955" s="38"/>
      <c r="Q955" s="90"/>
      <c r="R955" s="105"/>
      <c r="S955" s="140"/>
      <c r="T955" s="141"/>
      <c r="U955" s="141"/>
      <c r="V955" s="66"/>
      <c r="W955" s="103"/>
      <c r="X955" s="66" t="str">
        <f>IF(NOTA[[#This Row],[HARGA/ CTN]]="",NOTA[[#This Row],[JUMLAH_H]],NOTA[[#This Row],[HARGA/ CTN]]*IF(NOTA[[#This Row],[C]]="",0,NOTA[[#This Row],[C]]))</f>
        <v/>
      </c>
      <c r="Y955" s="66" t="str">
        <f>IF(NOTA[[#This Row],[JUMLAH]]="","",NOTA[[#This Row],[JUMLAH]]*NOTA[[#This Row],[DISC 1]])</f>
        <v/>
      </c>
      <c r="Z955" s="66" t="str">
        <f>IF(NOTA[[#This Row],[JUMLAH]]="","",(NOTA[[#This Row],[JUMLAH]]-NOTA[[#This Row],[DISC 1-]])*NOTA[[#This Row],[DISC 2]])</f>
        <v/>
      </c>
      <c r="AA955" s="66" t="str">
        <f>IF(NOTA[[#This Row],[JUMLAH]]="","",NOTA[[#This Row],[DISC 1-]]+NOTA[[#This Row],[DISC 2-]])</f>
        <v/>
      </c>
      <c r="AB955" s="66" t="str">
        <f>IF(NOTA[[#This Row],[JUMLAH]]="","",NOTA[[#This Row],[JUMLAH]]-NOTA[[#This Row],[DISC]])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5" s="66" t="str">
        <f>IF(OR(NOTA[[#This Row],[QTY]]="",NOTA[[#This Row],[HARGA SATUAN]]="",),"",NOTA[[#This Row],[QTY]]*NOTA[[#This Row],[HARGA SATUAN]])</f>
        <v/>
      </c>
      <c r="AG955" s="78" t="str">
        <f ca="1">IF(NOTA[ID_H]="","",INDEX(NOTA[TANGGAL],MATCH(,INDIRECT(ADDRESS(ROW(NOTA[TANGGAL]),COLUMN(NOTA[TANGGAL]))&amp;":"&amp;ADDRESS(ROW(),COLUMN(NOTA[TANGGAL]))),-1)))</f>
        <v/>
      </c>
      <c r="AH955" s="90" t="str">
        <f ca="1">IF(NOTA[[#This Row],[NAMA BARANG]]="","",INDEX(NOTA[SUPPLIER],MATCH(,INDIRECT(ADDRESS(ROW(NOTA[ID]),COLUMN(NOTA[ID]))&amp;":"&amp;ADDRESS(ROW(),COLUMN(NOTA[ID]))),-1)))</f>
        <v/>
      </c>
      <c r="AI955" s="90" t="str">
        <f ca="1">IF(NOTA[[#This Row],[ID_H]]="","",IF(NOTA[[#This Row],[FAKTUR]]="",INDIRECT(ADDRESS(ROW()-1,COLUMN())),NOTA[[#This Row],[FAKTUR]]))</f>
        <v/>
      </c>
      <c r="AJ955" s="38" t="str">
        <f ca="1">IF(NOTA[[#This Row],[ID]]="","",COUNTIF(NOTA[ID_H],NOTA[[#This Row],[ID_H]]))</f>
        <v/>
      </c>
      <c r="AK955" s="38" t="str">
        <f ca="1">IF(NOTA[[#This Row],[TGL.NOTA]]="",IF(NOTA[[#This Row],[SUPPLIER_H]]="","",AK954),MONTH(NOTA[[#This Row],[TGL.NOTA]]))</f>
        <v/>
      </c>
      <c r="AL955" s="38" t="str">
        <f>LOWER(SUBSTITUTE(SUBSTITUTE(SUBSTITUTE(SUBSTITUTE(SUBSTITUTE(SUBSTITUTE(SUBSTITUTE(SUBSTITUTE(SUBSTITUTE(NOTA[NAMA BARANG]," ",),".",""),"-",""),"(",""),")",""),",",""),"/",""),"""",""),"+",""))</f>
        <v/>
      </c>
      <c r="AM95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5" s="184" t="str">
        <f>IF(NOTA[[#This Row],[CONCAT1]]="","",MATCH(NOTA[[#This Row],[CONCAT1]],[1]!db[NB NOTA_C],0)+1)</f>
        <v/>
      </c>
    </row>
    <row r="956" spans="1:40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Row],[CEK_EXP]]&lt;D955,"err","")</f>
        <v/>
      </c>
      <c r="D956" s="92">
        <f>IF(NOTA[[#This Row],[TANGGAL]]="",D955,NOTA[[#This Row],[TANGGAL]])</f>
        <v>44959</v>
      </c>
      <c r="E956" s="92" t="str">
        <f ca="1">IF(NOTA[[#This Row],[NAMA BARANG]]="","",INDEX(NOTA[ID],MATCH(,INDIRECT(ADDRESS(ROW(NOTA[ID]),COLUMN(NOTA[ID]))&amp;":"&amp;ADDRESS(ROW(),COLUMN(NOTA[ID]))),-1)))</f>
        <v/>
      </c>
      <c r="F956" s="139"/>
      <c r="G956" s="38"/>
      <c r="H956" s="38"/>
      <c r="I956" s="79"/>
      <c r="J956" s="38"/>
      <c r="K956" s="78"/>
      <c r="L956" s="38"/>
      <c r="M956" s="38"/>
      <c r="N956" s="140"/>
      <c r="O956" s="38"/>
      <c r="P956" s="38"/>
      <c r="Q956" s="90"/>
      <c r="R956" s="105"/>
      <c r="S956" s="140"/>
      <c r="T956" s="141"/>
      <c r="U956" s="141"/>
      <c r="V956" s="66"/>
      <c r="W956" s="103"/>
      <c r="X956" s="66" t="str">
        <f>IF(NOTA[[#This Row],[HARGA/ CTN]]="",NOTA[[#This Row],[JUMLAH_H]],NOTA[[#This Row],[HARGA/ CTN]]*IF(NOTA[[#This Row],[C]]="",0,NOTA[[#This Row],[C]]))</f>
        <v/>
      </c>
      <c r="Y956" s="66" t="str">
        <f>IF(NOTA[[#This Row],[JUMLAH]]="","",NOTA[[#This Row],[JUMLAH]]*NOTA[[#This Row],[DISC 1]])</f>
        <v/>
      </c>
      <c r="Z956" s="66" t="str">
        <f>IF(NOTA[[#This Row],[JUMLAH]]="","",(NOTA[[#This Row],[JUMLAH]]-NOTA[[#This Row],[DISC 1-]])*NOTA[[#This Row],[DISC 2]])</f>
        <v/>
      </c>
      <c r="AA956" s="66" t="str">
        <f>IF(NOTA[[#This Row],[JUMLAH]]="","",NOTA[[#This Row],[DISC 1-]]+NOTA[[#This Row],[DISC 2-]])</f>
        <v/>
      </c>
      <c r="AB956" s="66" t="str">
        <f>IF(NOTA[[#This Row],[JUMLAH]]="","",NOTA[[#This Row],[JUMLAH]]-NOTA[[#This Row],[DISC]])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6" s="66" t="str">
        <f>IF(OR(NOTA[[#This Row],[QTY]]="",NOTA[[#This Row],[HARGA SATUAN]]="",),"",NOTA[[#This Row],[QTY]]*NOTA[[#This Row],[HARGA SATUAN]])</f>
        <v/>
      </c>
      <c r="AG956" s="78" t="str">
        <f ca="1">IF(NOTA[ID_H]="","",INDEX(NOTA[TANGGAL],MATCH(,INDIRECT(ADDRESS(ROW(NOTA[TANGGAL]),COLUMN(NOTA[TANGGAL]))&amp;":"&amp;ADDRESS(ROW(),COLUMN(NOTA[TANGGAL]))),-1)))</f>
        <v/>
      </c>
      <c r="AH956" s="90" t="str">
        <f ca="1">IF(NOTA[[#This Row],[NAMA BARANG]]="","",INDEX(NOTA[SUPPLIER],MATCH(,INDIRECT(ADDRESS(ROW(NOTA[ID]),COLUMN(NOTA[ID]))&amp;":"&amp;ADDRESS(ROW(),COLUMN(NOTA[ID]))),-1)))</f>
        <v/>
      </c>
      <c r="AI956" s="90" t="str">
        <f ca="1">IF(NOTA[[#This Row],[ID_H]]="","",IF(NOTA[[#This Row],[FAKTUR]]="",INDIRECT(ADDRESS(ROW()-1,COLUMN())),NOTA[[#This Row],[FAKTUR]]))</f>
        <v/>
      </c>
      <c r="AJ956" s="38" t="str">
        <f ca="1">IF(NOTA[[#This Row],[ID]]="","",COUNTIF(NOTA[ID_H],NOTA[[#This Row],[ID_H]]))</f>
        <v/>
      </c>
      <c r="AK956" s="38" t="str">
        <f ca="1">IF(NOTA[[#This Row],[TGL.NOTA]]="",IF(NOTA[[#This Row],[SUPPLIER_H]]="","",AK955),MONTH(NOTA[[#This Row],[TGL.NOTA]]))</f>
        <v/>
      </c>
      <c r="AL956" s="38" t="str">
        <f>LOWER(SUBSTITUTE(SUBSTITUTE(SUBSTITUTE(SUBSTITUTE(SUBSTITUTE(SUBSTITUTE(SUBSTITUTE(SUBSTITUTE(SUBSTITUTE(NOTA[NAMA BARANG]," ",),".",""),"-",""),"(",""),")",""),",",""),"/",""),"""",""),"+",""))</f>
        <v/>
      </c>
      <c r="AM95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6" s="184" t="str">
        <f>IF(NOTA[[#This Row],[CONCAT1]]="","",MATCH(NOTA[[#This Row],[CONCAT1]],[1]!db[NB NOTA_C],0)+1)</f>
        <v/>
      </c>
    </row>
    <row r="957" spans="1:40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Row],[CEK_EXP]]&lt;D956,"err","")</f>
        <v/>
      </c>
      <c r="D957" s="92">
        <f>IF(NOTA[[#This Row],[TANGGAL]]="",D956,NOTA[[#This Row],[TANGGAL]])</f>
        <v>44959</v>
      </c>
      <c r="E957" s="92" t="str">
        <f ca="1">IF(NOTA[[#This Row],[NAMA BARANG]]="","",INDEX(NOTA[ID],MATCH(,INDIRECT(ADDRESS(ROW(NOTA[ID]),COLUMN(NOTA[ID]))&amp;":"&amp;ADDRESS(ROW(),COLUMN(NOTA[ID]))),-1)))</f>
        <v/>
      </c>
      <c r="F957" s="139"/>
      <c r="G957" s="38"/>
      <c r="H957" s="38"/>
      <c r="I957" s="79"/>
      <c r="J957" s="38"/>
      <c r="K957" s="78"/>
      <c r="L957" s="38"/>
      <c r="M957" s="38"/>
      <c r="N957" s="140"/>
      <c r="O957" s="38"/>
      <c r="P957" s="38"/>
      <c r="Q957" s="90"/>
      <c r="R957" s="105"/>
      <c r="S957" s="140"/>
      <c r="T957" s="141"/>
      <c r="U957" s="141"/>
      <c r="V957" s="66"/>
      <c r="W957" s="103"/>
      <c r="X957" s="66" t="str">
        <f>IF(NOTA[[#This Row],[HARGA/ CTN]]="",NOTA[[#This Row],[JUMLAH_H]],NOTA[[#This Row],[HARGA/ CTN]]*IF(NOTA[[#This Row],[C]]="",0,NOTA[[#This Row],[C]]))</f>
        <v/>
      </c>
      <c r="Y957" s="66" t="str">
        <f>IF(NOTA[[#This Row],[JUMLAH]]="","",NOTA[[#This Row],[JUMLAH]]*NOTA[[#This Row],[DISC 1]])</f>
        <v/>
      </c>
      <c r="Z957" s="66" t="str">
        <f>IF(NOTA[[#This Row],[JUMLAH]]="","",(NOTA[[#This Row],[JUMLAH]]-NOTA[[#This Row],[DISC 1-]])*NOTA[[#This Row],[DISC 2]])</f>
        <v/>
      </c>
      <c r="AA957" s="66" t="str">
        <f>IF(NOTA[[#This Row],[JUMLAH]]="","",NOTA[[#This Row],[DISC 1-]]+NOTA[[#This Row],[DISC 2-]])</f>
        <v/>
      </c>
      <c r="AB957" s="66" t="str">
        <f>IF(NOTA[[#This Row],[JUMLAH]]="","",NOTA[[#This Row],[JUMLAH]]-NOTA[[#This Row],[DISC]])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66" t="str">
        <f>IF(OR(NOTA[[#This Row],[QTY]]="",NOTA[[#This Row],[HARGA SATUAN]]="",),"",NOTA[[#This Row],[QTY]]*NOTA[[#This Row],[HARGA SATUAN]])</f>
        <v/>
      </c>
      <c r="AG957" s="78" t="str">
        <f ca="1">IF(NOTA[ID_H]="","",INDEX(NOTA[TANGGAL],MATCH(,INDIRECT(ADDRESS(ROW(NOTA[TANGGAL]),COLUMN(NOTA[TANGGAL]))&amp;":"&amp;ADDRESS(ROW(),COLUMN(NOTA[TANGGAL]))),-1)))</f>
        <v/>
      </c>
      <c r="AH957" s="90" t="str">
        <f ca="1">IF(NOTA[[#This Row],[NAMA BARANG]]="","",INDEX(NOTA[SUPPLIER],MATCH(,INDIRECT(ADDRESS(ROW(NOTA[ID]),COLUMN(NOTA[ID]))&amp;":"&amp;ADDRESS(ROW(),COLUMN(NOTA[ID]))),-1)))</f>
        <v/>
      </c>
      <c r="AI957" s="90" t="str">
        <f ca="1">IF(NOTA[[#This Row],[ID_H]]="","",IF(NOTA[[#This Row],[FAKTUR]]="",INDIRECT(ADDRESS(ROW()-1,COLUMN())),NOTA[[#This Row],[FAKTUR]]))</f>
        <v/>
      </c>
      <c r="AJ957" s="38" t="str">
        <f ca="1">IF(NOTA[[#This Row],[ID]]="","",COUNTIF(NOTA[ID_H],NOTA[[#This Row],[ID_H]]))</f>
        <v/>
      </c>
      <c r="AK957" s="38" t="str">
        <f ca="1">IF(NOTA[[#This Row],[TGL.NOTA]]="",IF(NOTA[[#This Row],[SUPPLIER_H]]="","",AK956),MONTH(NOTA[[#This Row],[TGL.NOTA]]))</f>
        <v/>
      </c>
      <c r="AL957" s="38" t="str">
        <f>LOWER(SUBSTITUTE(SUBSTITUTE(SUBSTITUTE(SUBSTITUTE(SUBSTITUTE(SUBSTITUTE(SUBSTITUTE(SUBSTITUTE(SUBSTITUTE(NOTA[NAMA BARANG]," ",),".",""),"-",""),"(",""),")",""),",",""),"/",""),"""",""),"+",""))</f>
        <v/>
      </c>
      <c r="AM95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7" s="184" t="str">
        <f>IF(NOTA[[#This Row],[CONCAT1]]="","",MATCH(NOTA[[#This Row],[CONCAT1]],[1]!db[NB NOTA_C],0)+1)</f>
        <v/>
      </c>
    </row>
    <row r="958" spans="1:40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Row],[CEK_EXP]]&lt;D957,"err","")</f>
        <v/>
      </c>
      <c r="D958" s="92">
        <f>IF(NOTA[[#This Row],[TANGGAL]]="",D957,NOTA[[#This Row],[TANGGAL]])</f>
        <v>44959</v>
      </c>
      <c r="E958" s="92" t="str">
        <f ca="1">IF(NOTA[[#This Row],[NAMA BARANG]]="","",INDEX(NOTA[ID],MATCH(,INDIRECT(ADDRESS(ROW(NOTA[ID]),COLUMN(NOTA[ID]))&amp;":"&amp;ADDRESS(ROW(),COLUMN(NOTA[ID]))),-1)))</f>
        <v/>
      </c>
      <c r="F958" s="139"/>
      <c r="G958" s="38"/>
      <c r="H958" s="38"/>
      <c r="I958" s="79"/>
      <c r="J958" s="38"/>
      <c r="K958" s="78"/>
      <c r="L958" s="38"/>
      <c r="M958" s="38"/>
      <c r="N958" s="140"/>
      <c r="O958" s="38"/>
      <c r="P958" s="38"/>
      <c r="Q958" s="90"/>
      <c r="R958" s="105"/>
      <c r="S958" s="140"/>
      <c r="T958" s="141"/>
      <c r="U958" s="141"/>
      <c r="V958" s="66"/>
      <c r="W958" s="103"/>
      <c r="X958" s="66" t="str">
        <f>IF(NOTA[[#This Row],[HARGA/ CTN]]="",NOTA[[#This Row],[JUMLAH_H]],NOTA[[#This Row],[HARGA/ CTN]]*IF(NOTA[[#This Row],[C]]="",0,NOTA[[#This Row],[C]]))</f>
        <v/>
      </c>
      <c r="Y958" s="66" t="str">
        <f>IF(NOTA[[#This Row],[JUMLAH]]="","",NOTA[[#This Row],[JUMLAH]]*NOTA[[#This Row],[DISC 1]])</f>
        <v/>
      </c>
      <c r="Z958" s="66" t="str">
        <f>IF(NOTA[[#This Row],[JUMLAH]]="","",(NOTA[[#This Row],[JUMLAH]]-NOTA[[#This Row],[DISC 1-]])*NOTA[[#This Row],[DISC 2]])</f>
        <v/>
      </c>
      <c r="AA958" s="66" t="str">
        <f>IF(NOTA[[#This Row],[JUMLAH]]="","",NOTA[[#This Row],[DISC 1-]]+NOTA[[#This Row],[DISC 2-]])</f>
        <v/>
      </c>
      <c r="AB958" s="66" t="str">
        <f>IF(NOTA[[#This Row],[JUMLAH]]="","",NOTA[[#This Row],[JUMLAH]]-NOTA[[#This Row],[DISC]])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8" s="66" t="str">
        <f>IF(OR(NOTA[[#This Row],[QTY]]="",NOTA[[#This Row],[HARGA SATUAN]]="",),"",NOTA[[#This Row],[QTY]]*NOTA[[#This Row],[HARGA SATUAN]])</f>
        <v/>
      </c>
      <c r="AG958" s="78" t="str">
        <f ca="1">IF(NOTA[ID_H]="","",INDEX(NOTA[TANGGAL],MATCH(,INDIRECT(ADDRESS(ROW(NOTA[TANGGAL]),COLUMN(NOTA[TANGGAL]))&amp;":"&amp;ADDRESS(ROW(),COLUMN(NOTA[TANGGAL]))),-1)))</f>
        <v/>
      </c>
      <c r="AH958" s="90" t="str">
        <f ca="1">IF(NOTA[[#This Row],[NAMA BARANG]]="","",INDEX(NOTA[SUPPLIER],MATCH(,INDIRECT(ADDRESS(ROW(NOTA[ID]),COLUMN(NOTA[ID]))&amp;":"&amp;ADDRESS(ROW(),COLUMN(NOTA[ID]))),-1)))</f>
        <v/>
      </c>
      <c r="AI958" s="90" t="str">
        <f ca="1">IF(NOTA[[#This Row],[ID_H]]="","",IF(NOTA[[#This Row],[FAKTUR]]="",INDIRECT(ADDRESS(ROW()-1,COLUMN())),NOTA[[#This Row],[FAKTUR]]))</f>
        <v/>
      </c>
      <c r="AJ958" s="38" t="str">
        <f ca="1">IF(NOTA[[#This Row],[ID]]="","",COUNTIF(NOTA[ID_H],NOTA[[#This Row],[ID_H]]))</f>
        <v/>
      </c>
      <c r="AK958" s="38" t="str">
        <f ca="1">IF(NOTA[[#This Row],[TGL.NOTA]]="",IF(NOTA[[#This Row],[SUPPLIER_H]]="","",AK957),MONTH(NOTA[[#This Row],[TGL.NOTA]]))</f>
        <v/>
      </c>
      <c r="AL958" s="38" t="str">
        <f>LOWER(SUBSTITUTE(SUBSTITUTE(SUBSTITUTE(SUBSTITUTE(SUBSTITUTE(SUBSTITUTE(SUBSTITUTE(SUBSTITUTE(SUBSTITUTE(NOTA[NAMA BARANG]," ",),".",""),"-",""),"(",""),")",""),",",""),"/",""),"""",""),"+",""))</f>
        <v/>
      </c>
      <c r="AM95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8" s="184" t="str">
        <f>IF(NOTA[[#This Row],[CONCAT1]]="","",MATCH(NOTA[[#This Row],[CONCAT1]],[1]!db[NB NOTA_C],0)+1)</f>
        <v/>
      </c>
    </row>
    <row r="959" spans="1:40" ht="20.100000000000001" customHeight="1" x14ac:dyDescent="0.25">
      <c r="A95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143" t="str">
        <f>IF(NOTA[[#This Row],[CEK_EXP]]&lt;D958,"err","")</f>
        <v/>
      </c>
      <c r="D959" s="143">
        <f>IF(NOTA[[#This Row],[TANGGAL]]="",D958,NOTA[[#This Row],[TANGGAL]])</f>
        <v>44959</v>
      </c>
      <c r="E959" s="143" t="str">
        <f ca="1">IF(NOTA[[#This Row],[NAMA BARANG]]="","",INDEX(NOTA[ID],MATCH(,INDIRECT(ADDRESS(ROW(NOTA[ID]),COLUMN(NOTA[ID]))&amp;":"&amp;ADDRESS(ROW(),COLUMN(NOTA[ID]))),-1)))</f>
        <v/>
      </c>
      <c r="F959" s="144"/>
      <c r="G959" s="145"/>
      <c r="H959" s="145"/>
      <c r="I959" s="146"/>
      <c r="J959" s="145"/>
      <c r="K959" s="147"/>
      <c r="L959" s="145"/>
      <c r="M959" s="145"/>
      <c r="N959" s="148"/>
      <c r="O959" s="145"/>
      <c r="P959" s="145"/>
      <c r="Q959" s="142"/>
      <c r="R959" s="149"/>
      <c r="S959" s="148"/>
      <c r="T959" s="150"/>
      <c r="U959" s="150"/>
      <c r="V959" s="151"/>
      <c r="W959" s="103"/>
      <c r="X959" s="151" t="str">
        <f>IF(NOTA[[#This Row],[HARGA/ CTN]]="",NOTA[[#This Row],[JUMLAH_H]],NOTA[[#This Row],[HARGA/ CTN]]*IF(NOTA[[#This Row],[C]]="",0,NOTA[[#This Row],[C]]))</f>
        <v/>
      </c>
      <c r="Y959" s="151" t="str">
        <f>IF(NOTA[[#This Row],[JUMLAH]]="","",NOTA[[#This Row],[JUMLAH]]*NOTA[[#This Row],[DISC 1]])</f>
        <v/>
      </c>
      <c r="Z959" s="151" t="str">
        <f>IF(NOTA[[#This Row],[JUMLAH]]="","",(NOTA[[#This Row],[JUMLAH]]-NOTA[[#This Row],[DISC 1-]])*NOTA[[#This Row],[DISC 2]])</f>
        <v/>
      </c>
      <c r="AA959" s="151" t="str">
        <f>IF(NOTA[[#This Row],[JUMLAH]]="","",NOTA[[#This Row],[DISC 1-]]+NOTA[[#This Row],[DISC 2-]])</f>
        <v/>
      </c>
      <c r="AB959" s="151" t="str">
        <f>IF(NOTA[[#This Row],[JUMLAH]]="","",NOTA[[#This Row],[JUMLAH]]-NOTA[[#This Row],[DISC]])</f>
        <v/>
      </c>
      <c r="AC95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9" s="151" t="str">
        <f>IF(OR(NOTA[[#This Row],[QTY]]="",NOTA[[#This Row],[HARGA SATUAN]]="",),"",NOTA[[#This Row],[QTY]]*NOTA[[#This Row],[HARGA SATUAN]])</f>
        <v/>
      </c>
      <c r="AG959" s="147" t="str">
        <f ca="1">IF(NOTA[ID_H]="","",INDEX(NOTA[TANGGAL],MATCH(,INDIRECT(ADDRESS(ROW(NOTA[TANGGAL]),COLUMN(NOTA[TANGGAL]))&amp;":"&amp;ADDRESS(ROW(),COLUMN(NOTA[TANGGAL]))),-1)))</f>
        <v/>
      </c>
      <c r="AH959" s="142" t="str">
        <f ca="1">IF(NOTA[[#This Row],[NAMA BARANG]]="","",INDEX(NOTA[SUPPLIER],MATCH(,INDIRECT(ADDRESS(ROW(NOTA[ID]),COLUMN(NOTA[ID]))&amp;":"&amp;ADDRESS(ROW(),COLUMN(NOTA[ID]))),-1)))</f>
        <v/>
      </c>
      <c r="AI959" s="142" t="str">
        <f ca="1">IF(NOTA[[#This Row],[ID_H]]="","",IF(NOTA[[#This Row],[FAKTUR]]="",INDIRECT(ADDRESS(ROW()-1,COLUMN())),NOTA[[#This Row],[FAKTUR]]))</f>
        <v/>
      </c>
      <c r="AJ959" s="38" t="str">
        <f ca="1">IF(NOTA[[#This Row],[ID]]="","",COUNTIF(NOTA[ID_H],NOTA[[#This Row],[ID_H]]))</f>
        <v/>
      </c>
      <c r="AK959" s="38" t="str">
        <f ca="1">IF(NOTA[[#This Row],[TGL.NOTA]]="",IF(NOTA[[#This Row],[SUPPLIER_H]]="","",AK958),MONTH(NOTA[[#This Row],[TGL.NOTA]]))</f>
        <v/>
      </c>
      <c r="AL959" s="38" t="str">
        <f>LOWER(SUBSTITUTE(SUBSTITUTE(SUBSTITUTE(SUBSTITUTE(SUBSTITUTE(SUBSTITUTE(SUBSTITUTE(SUBSTITUTE(SUBSTITUTE(NOTA[NAMA BARANG]," ",),".",""),"-",""),"(",""),")",""),",",""),"/",""),"""",""),"+",""))</f>
        <v/>
      </c>
      <c r="AM95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59" s="184" t="str">
        <f>IF(NOTA[[#This Row],[CONCAT1]]="","",MATCH(NOTA[[#This Row],[CONCAT1]],[1]!db[NB NOTA_C],0)+1)</f>
        <v/>
      </c>
    </row>
    <row r="960" spans="1:40" ht="20.100000000000001" customHeight="1" x14ac:dyDescent="0.25">
      <c r="A96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143" t="str">
        <f>IF(NOTA[[#This Row],[CEK_EXP]]&lt;D959,"err","")</f>
        <v/>
      </c>
      <c r="D960" s="143">
        <f>IF(NOTA[[#This Row],[TANGGAL]]="",D959,NOTA[[#This Row],[TANGGAL]])</f>
        <v>44959</v>
      </c>
      <c r="E960" s="143" t="str">
        <f ca="1">IF(NOTA[[#This Row],[NAMA BARANG]]="","",INDEX(NOTA[ID],MATCH(,INDIRECT(ADDRESS(ROW(NOTA[ID]),COLUMN(NOTA[ID]))&amp;":"&amp;ADDRESS(ROW(),COLUMN(NOTA[ID]))),-1)))</f>
        <v/>
      </c>
      <c r="F960" s="144"/>
      <c r="G960" s="145"/>
      <c r="H960" s="145"/>
      <c r="I960" s="146"/>
      <c r="J960" s="145"/>
      <c r="K960" s="147"/>
      <c r="L960" s="145"/>
      <c r="M960" s="145"/>
      <c r="N960" s="148"/>
      <c r="O960" s="145"/>
      <c r="P960" s="145"/>
      <c r="Q960" s="142"/>
      <c r="R960" s="149"/>
      <c r="S960" s="148"/>
      <c r="T960" s="150"/>
      <c r="U960" s="150"/>
      <c r="V960" s="151"/>
      <c r="W960" s="103"/>
      <c r="X960" s="151" t="str">
        <f>IF(NOTA[[#This Row],[HARGA/ CTN]]="",NOTA[[#This Row],[JUMLAH_H]],NOTA[[#This Row],[HARGA/ CTN]]*IF(NOTA[[#This Row],[C]]="",0,NOTA[[#This Row],[C]]))</f>
        <v/>
      </c>
      <c r="Y960" s="151" t="str">
        <f>IF(NOTA[[#This Row],[JUMLAH]]="","",NOTA[[#This Row],[JUMLAH]]*NOTA[[#This Row],[DISC 1]])</f>
        <v/>
      </c>
      <c r="Z960" s="151" t="str">
        <f>IF(NOTA[[#This Row],[JUMLAH]]="","",(NOTA[[#This Row],[JUMLAH]]-NOTA[[#This Row],[DISC 1-]])*NOTA[[#This Row],[DISC 2]])</f>
        <v/>
      </c>
      <c r="AA960" s="151" t="str">
        <f>IF(NOTA[[#This Row],[JUMLAH]]="","",NOTA[[#This Row],[DISC 1-]]+NOTA[[#This Row],[DISC 2-]])</f>
        <v/>
      </c>
      <c r="AB960" s="151" t="str">
        <f>IF(NOTA[[#This Row],[JUMLAH]]="","",NOTA[[#This Row],[JUMLAH]]-NOTA[[#This Row],[DISC]])</f>
        <v/>
      </c>
      <c r="AC96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0" s="151" t="str">
        <f>IF(OR(NOTA[[#This Row],[QTY]]="",NOTA[[#This Row],[HARGA SATUAN]]="",),"",NOTA[[#This Row],[QTY]]*NOTA[[#This Row],[HARGA SATUAN]])</f>
        <v/>
      </c>
      <c r="AG960" s="147" t="str">
        <f ca="1">IF(NOTA[ID_H]="","",INDEX(NOTA[TANGGAL],MATCH(,INDIRECT(ADDRESS(ROW(NOTA[TANGGAL]),COLUMN(NOTA[TANGGAL]))&amp;":"&amp;ADDRESS(ROW(),COLUMN(NOTA[TANGGAL]))),-1)))</f>
        <v/>
      </c>
      <c r="AH960" s="142" t="str">
        <f ca="1">IF(NOTA[[#This Row],[NAMA BARANG]]="","",INDEX(NOTA[SUPPLIER],MATCH(,INDIRECT(ADDRESS(ROW(NOTA[ID]),COLUMN(NOTA[ID]))&amp;":"&amp;ADDRESS(ROW(),COLUMN(NOTA[ID]))),-1)))</f>
        <v/>
      </c>
      <c r="AI960" s="142" t="str">
        <f ca="1">IF(NOTA[[#This Row],[ID_H]]="","",IF(NOTA[[#This Row],[FAKTUR]]="",INDIRECT(ADDRESS(ROW()-1,COLUMN())),NOTA[[#This Row],[FAKTUR]]))</f>
        <v/>
      </c>
      <c r="AJ960" s="38" t="str">
        <f ca="1">IF(NOTA[[#This Row],[ID]]="","",COUNTIF(NOTA[ID_H],NOTA[[#This Row],[ID_H]]))</f>
        <v/>
      </c>
      <c r="AK960" s="38" t="str">
        <f ca="1">IF(NOTA[[#This Row],[TGL.NOTA]]="",IF(NOTA[[#This Row],[SUPPLIER_H]]="","",AK959),MONTH(NOTA[[#This Row],[TGL.NOTA]]))</f>
        <v/>
      </c>
      <c r="AL960" s="38" t="str">
        <f>LOWER(SUBSTITUTE(SUBSTITUTE(SUBSTITUTE(SUBSTITUTE(SUBSTITUTE(SUBSTITUTE(SUBSTITUTE(SUBSTITUTE(SUBSTITUTE(NOTA[NAMA BARANG]," ",),".",""),"-",""),"(",""),")",""),",",""),"/",""),"""",""),"+",""))</f>
        <v/>
      </c>
      <c r="AM96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0" s="184" t="str">
        <f>IF(NOTA[[#This Row],[CONCAT1]]="","",MATCH(NOTA[[#This Row],[CONCAT1]],[1]!db[NB NOTA_C],0)+1)</f>
        <v/>
      </c>
    </row>
    <row r="961" spans="1:40" ht="20.100000000000001" customHeight="1" x14ac:dyDescent="0.25">
      <c r="A96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143" t="str">
        <f>IF(NOTA[[#This Row],[CEK_EXP]]&lt;D960,"err","")</f>
        <v/>
      </c>
      <c r="D961" s="143">
        <f>IF(NOTA[[#This Row],[TANGGAL]]="",D960,NOTA[[#This Row],[TANGGAL]])</f>
        <v>44959</v>
      </c>
      <c r="E961" s="143" t="str">
        <f ca="1">IF(NOTA[[#This Row],[NAMA BARANG]]="","",INDEX(NOTA[ID],MATCH(,INDIRECT(ADDRESS(ROW(NOTA[ID]),COLUMN(NOTA[ID]))&amp;":"&amp;ADDRESS(ROW(),COLUMN(NOTA[ID]))),-1)))</f>
        <v/>
      </c>
      <c r="F961" s="144"/>
      <c r="G961" s="145"/>
      <c r="H961" s="145"/>
      <c r="I961" s="146"/>
      <c r="J961" s="145"/>
      <c r="K961" s="147"/>
      <c r="L961" s="145"/>
      <c r="M961" s="145"/>
      <c r="N961" s="148"/>
      <c r="O961" s="145"/>
      <c r="P961" s="145"/>
      <c r="Q961" s="142"/>
      <c r="R961" s="149"/>
      <c r="S961" s="148"/>
      <c r="T961" s="150"/>
      <c r="U961" s="150"/>
      <c r="V961" s="151"/>
      <c r="W961" s="103"/>
      <c r="X961" s="151" t="str">
        <f>IF(NOTA[[#This Row],[HARGA/ CTN]]="",NOTA[[#This Row],[JUMLAH_H]],NOTA[[#This Row],[HARGA/ CTN]]*IF(NOTA[[#This Row],[C]]="",0,NOTA[[#This Row],[C]]))</f>
        <v/>
      </c>
      <c r="Y961" s="151" t="str">
        <f>IF(NOTA[[#This Row],[JUMLAH]]="","",NOTA[[#This Row],[JUMLAH]]*NOTA[[#This Row],[DISC 1]])</f>
        <v/>
      </c>
      <c r="Z961" s="151" t="str">
        <f>IF(NOTA[[#This Row],[JUMLAH]]="","",(NOTA[[#This Row],[JUMLAH]]-NOTA[[#This Row],[DISC 1-]])*NOTA[[#This Row],[DISC 2]])</f>
        <v/>
      </c>
      <c r="AA961" s="151" t="str">
        <f>IF(NOTA[[#This Row],[JUMLAH]]="","",NOTA[[#This Row],[DISC 1-]]+NOTA[[#This Row],[DISC 2-]])</f>
        <v/>
      </c>
      <c r="AB961" s="151" t="str">
        <f>IF(NOTA[[#This Row],[JUMLAH]]="","",NOTA[[#This Row],[JUMLAH]]-NOTA[[#This Row],[DISC]])</f>
        <v/>
      </c>
      <c r="AC96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1" s="151" t="str">
        <f>IF(OR(NOTA[[#This Row],[QTY]]="",NOTA[[#This Row],[HARGA SATUAN]]="",),"",NOTA[[#This Row],[QTY]]*NOTA[[#This Row],[HARGA SATUAN]])</f>
        <v/>
      </c>
      <c r="AG961" s="147" t="str">
        <f ca="1">IF(NOTA[ID_H]="","",INDEX(NOTA[TANGGAL],MATCH(,INDIRECT(ADDRESS(ROW(NOTA[TANGGAL]),COLUMN(NOTA[TANGGAL]))&amp;":"&amp;ADDRESS(ROW(),COLUMN(NOTA[TANGGAL]))),-1)))</f>
        <v/>
      </c>
      <c r="AH961" s="142" t="str">
        <f ca="1">IF(NOTA[[#This Row],[NAMA BARANG]]="","",INDEX(NOTA[SUPPLIER],MATCH(,INDIRECT(ADDRESS(ROW(NOTA[ID]),COLUMN(NOTA[ID]))&amp;":"&amp;ADDRESS(ROW(),COLUMN(NOTA[ID]))),-1)))</f>
        <v/>
      </c>
      <c r="AI961" s="142" t="str">
        <f ca="1">IF(NOTA[[#This Row],[ID_H]]="","",IF(NOTA[[#This Row],[FAKTUR]]="",INDIRECT(ADDRESS(ROW()-1,COLUMN())),NOTA[[#This Row],[FAKTUR]]))</f>
        <v/>
      </c>
      <c r="AJ961" s="38" t="str">
        <f ca="1">IF(NOTA[[#This Row],[ID]]="","",COUNTIF(NOTA[ID_H],NOTA[[#This Row],[ID_H]]))</f>
        <v/>
      </c>
      <c r="AK961" s="38" t="str">
        <f ca="1">IF(NOTA[[#This Row],[TGL.NOTA]]="",IF(NOTA[[#This Row],[SUPPLIER_H]]="","",AK960),MONTH(NOTA[[#This Row],[TGL.NOTA]]))</f>
        <v/>
      </c>
      <c r="AL961" s="38" t="str">
        <f>LOWER(SUBSTITUTE(SUBSTITUTE(SUBSTITUTE(SUBSTITUTE(SUBSTITUTE(SUBSTITUTE(SUBSTITUTE(SUBSTITUTE(SUBSTITUTE(NOTA[NAMA BARANG]," ",),".",""),"-",""),"(",""),")",""),",",""),"/",""),"""",""),"+",""))</f>
        <v/>
      </c>
      <c r="AM96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1" s="184" t="str">
        <f>IF(NOTA[[#This Row],[CONCAT1]]="","",MATCH(NOTA[[#This Row],[CONCAT1]],[1]!db[NB NOTA_C],0)+1)</f>
        <v/>
      </c>
    </row>
    <row r="962" spans="1:40" ht="20.100000000000001" customHeight="1" x14ac:dyDescent="0.25">
      <c r="A96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143" t="str">
        <f>IF(NOTA[[#This Row],[CEK_EXP]]&lt;D961,"err","")</f>
        <v/>
      </c>
      <c r="D962" s="143">
        <f>IF(NOTA[[#This Row],[TANGGAL]]="",D961,NOTA[[#This Row],[TANGGAL]])</f>
        <v>44959</v>
      </c>
      <c r="E962" s="143" t="str">
        <f ca="1">IF(NOTA[[#This Row],[NAMA BARANG]]="","",INDEX(NOTA[ID],MATCH(,INDIRECT(ADDRESS(ROW(NOTA[ID]),COLUMN(NOTA[ID]))&amp;":"&amp;ADDRESS(ROW(),COLUMN(NOTA[ID]))),-1)))</f>
        <v/>
      </c>
      <c r="F962" s="144"/>
      <c r="G962" s="145"/>
      <c r="H962" s="145"/>
      <c r="I962" s="146"/>
      <c r="J962" s="145"/>
      <c r="K962" s="147"/>
      <c r="L962" s="145"/>
      <c r="M962" s="145"/>
      <c r="N962" s="148"/>
      <c r="O962" s="145"/>
      <c r="P962" s="145"/>
      <c r="Q962" s="142"/>
      <c r="R962" s="149"/>
      <c r="S962" s="148"/>
      <c r="T962" s="150"/>
      <c r="U962" s="150"/>
      <c r="V962" s="151"/>
      <c r="W962" s="103"/>
      <c r="X962" s="151" t="str">
        <f>IF(NOTA[[#This Row],[HARGA/ CTN]]="",NOTA[[#This Row],[JUMLAH_H]],NOTA[[#This Row],[HARGA/ CTN]]*IF(NOTA[[#This Row],[C]]="",0,NOTA[[#This Row],[C]]))</f>
        <v/>
      </c>
      <c r="Y962" s="151" t="str">
        <f>IF(NOTA[[#This Row],[JUMLAH]]="","",NOTA[[#This Row],[JUMLAH]]*NOTA[[#This Row],[DISC 1]])</f>
        <v/>
      </c>
      <c r="Z962" s="151" t="str">
        <f>IF(NOTA[[#This Row],[JUMLAH]]="","",(NOTA[[#This Row],[JUMLAH]]-NOTA[[#This Row],[DISC 1-]])*NOTA[[#This Row],[DISC 2]])</f>
        <v/>
      </c>
      <c r="AA962" s="151" t="str">
        <f>IF(NOTA[[#This Row],[JUMLAH]]="","",NOTA[[#This Row],[DISC 1-]]+NOTA[[#This Row],[DISC 2-]])</f>
        <v/>
      </c>
      <c r="AB962" s="151" t="str">
        <f>IF(NOTA[[#This Row],[JUMLAH]]="","",NOTA[[#This Row],[JUMLAH]]-NOTA[[#This Row],[DISC]])</f>
        <v/>
      </c>
      <c r="AC96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2" s="151" t="str">
        <f>IF(OR(NOTA[[#This Row],[QTY]]="",NOTA[[#This Row],[HARGA SATUAN]]="",),"",NOTA[[#This Row],[QTY]]*NOTA[[#This Row],[HARGA SATUAN]])</f>
        <v/>
      </c>
      <c r="AG962" s="147" t="str">
        <f ca="1">IF(NOTA[ID_H]="","",INDEX(NOTA[TANGGAL],MATCH(,INDIRECT(ADDRESS(ROW(NOTA[TANGGAL]),COLUMN(NOTA[TANGGAL]))&amp;":"&amp;ADDRESS(ROW(),COLUMN(NOTA[TANGGAL]))),-1)))</f>
        <v/>
      </c>
      <c r="AH962" s="142" t="str">
        <f ca="1">IF(NOTA[[#This Row],[NAMA BARANG]]="","",INDEX(NOTA[SUPPLIER],MATCH(,INDIRECT(ADDRESS(ROW(NOTA[ID]),COLUMN(NOTA[ID]))&amp;":"&amp;ADDRESS(ROW(),COLUMN(NOTA[ID]))),-1)))</f>
        <v/>
      </c>
      <c r="AI962" s="142" t="str">
        <f ca="1">IF(NOTA[[#This Row],[ID_H]]="","",IF(NOTA[[#This Row],[FAKTUR]]="",INDIRECT(ADDRESS(ROW()-1,COLUMN())),NOTA[[#This Row],[FAKTUR]]))</f>
        <v/>
      </c>
      <c r="AJ962" s="38" t="str">
        <f ca="1">IF(NOTA[[#This Row],[ID]]="","",COUNTIF(NOTA[ID_H],NOTA[[#This Row],[ID_H]]))</f>
        <v/>
      </c>
      <c r="AK962" s="38" t="str">
        <f ca="1">IF(NOTA[[#This Row],[TGL.NOTA]]="",IF(NOTA[[#This Row],[SUPPLIER_H]]="","",AK961),MONTH(NOTA[[#This Row],[TGL.NOTA]]))</f>
        <v/>
      </c>
      <c r="AL962" s="38" t="str">
        <f>LOWER(SUBSTITUTE(SUBSTITUTE(SUBSTITUTE(SUBSTITUTE(SUBSTITUTE(SUBSTITUTE(SUBSTITUTE(SUBSTITUTE(SUBSTITUTE(NOTA[NAMA BARANG]," ",),".",""),"-",""),"(",""),")",""),",",""),"/",""),"""",""),"+",""))</f>
        <v/>
      </c>
      <c r="AM96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2" s="184" t="str">
        <f>IF(NOTA[[#This Row],[CONCAT1]]="","",MATCH(NOTA[[#This Row],[CONCAT1]],[1]!db[NB NOTA_C],0)+1)</f>
        <v/>
      </c>
    </row>
    <row r="963" spans="1:40" ht="20.100000000000001" customHeight="1" x14ac:dyDescent="0.25">
      <c r="A96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143" t="str">
        <f>IF(NOTA[[#This Row],[CEK_EXP]]&lt;D962,"err","")</f>
        <v/>
      </c>
      <c r="D963" s="143">
        <f>IF(NOTA[[#This Row],[TANGGAL]]="",D962,NOTA[[#This Row],[TANGGAL]])</f>
        <v>44959</v>
      </c>
      <c r="E963" s="143" t="str">
        <f ca="1">IF(NOTA[[#This Row],[NAMA BARANG]]="","",INDEX(NOTA[ID],MATCH(,INDIRECT(ADDRESS(ROW(NOTA[ID]),COLUMN(NOTA[ID]))&amp;":"&amp;ADDRESS(ROW(),COLUMN(NOTA[ID]))),-1)))</f>
        <v/>
      </c>
      <c r="F963" s="144"/>
      <c r="G963" s="145"/>
      <c r="H963" s="145"/>
      <c r="I963" s="146"/>
      <c r="J963" s="145"/>
      <c r="K963" s="147"/>
      <c r="L963" s="145"/>
      <c r="M963" s="145"/>
      <c r="N963" s="148"/>
      <c r="O963" s="145"/>
      <c r="P963" s="145"/>
      <c r="Q963" s="142"/>
      <c r="R963" s="149"/>
      <c r="S963" s="148"/>
      <c r="T963" s="150"/>
      <c r="U963" s="150"/>
      <c r="V963" s="151"/>
      <c r="W963" s="103"/>
      <c r="X963" s="151" t="str">
        <f>IF(NOTA[[#This Row],[HARGA/ CTN]]="",NOTA[[#This Row],[JUMLAH_H]],NOTA[[#This Row],[HARGA/ CTN]]*IF(NOTA[[#This Row],[C]]="",0,NOTA[[#This Row],[C]]))</f>
        <v/>
      </c>
      <c r="Y963" s="151" t="str">
        <f>IF(NOTA[[#This Row],[JUMLAH]]="","",NOTA[[#This Row],[JUMLAH]]*NOTA[[#This Row],[DISC 1]])</f>
        <v/>
      </c>
      <c r="Z963" s="151" t="str">
        <f>IF(NOTA[[#This Row],[JUMLAH]]="","",(NOTA[[#This Row],[JUMLAH]]-NOTA[[#This Row],[DISC 1-]])*NOTA[[#This Row],[DISC 2]])</f>
        <v/>
      </c>
      <c r="AA963" s="151" t="str">
        <f>IF(NOTA[[#This Row],[JUMLAH]]="","",NOTA[[#This Row],[DISC 1-]]+NOTA[[#This Row],[DISC 2-]])</f>
        <v/>
      </c>
      <c r="AB963" s="151" t="str">
        <f>IF(NOTA[[#This Row],[JUMLAH]]="","",NOTA[[#This Row],[JUMLAH]]-NOTA[[#This Row],[DISC]])</f>
        <v/>
      </c>
      <c r="AC96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151" t="str">
        <f>IF(OR(NOTA[[#This Row],[QTY]]="",NOTA[[#This Row],[HARGA SATUAN]]="",),"",NOTA[[#This Row],[QTY]]*NOTA[[#This Row],[HARGA SATUAN]])</f>
        <v/>
      </c>
      <c r="AG963" s="147" t="str">
        <f ca="1">IF(NOTA[ID_H]="","",INDEX(NOTA[TANGGAL],MATCH(,INDIRECT(ADDRESS(ROW(NOTA[TANGGAL]),COLUMN(NOTA[TANGGAL]))&amp;":"&amp;ADDRESS(ROW(),COLUMN(NOTA[TANGGAL]))),-1)))</f>
        <v/>
      </c>
      <c r="AH963" s="142" t="str">
        <f ca="1">IF(NOTA[[#This Row],[NAMA BARANG]]="","",INDEX(NOTA[SUPPLIER],MATCH(,INDIRECT(ADDRESS(ROW(NOTA[ID]),COLUMN(NOTA[ID]))&amp;":"&amp;ADDRESS(ROW(),COLUMN(NOTA[ID]))),-1)))</f>
        <v/>
      </c>
      <c r="AI963" s="142" t="str">
        <f ca="1">IF(NOTA[[#This Row],[ID_H]]="","",IF(NOTA[[#This Row],[FAKTUR]]="",INDIRECT(ADDRESS(ROW()-1,COLUMN())),NOTA[[#This Row],[FAKTUR]]))</f>
        <v/>
      </c>
      <c r="AJ963" s="38" t="str">
        <f ca="1">IF(NOTA[[#This Row],[ID]]="","",COUNTIF(NOTA[ID_H],NOTA[[#This Row],[ID_H]]))</f>
        <v/>
      </c>
      <c r="AK963" s="38" t="str">
        <f ca="1">IF(NOTA[[#This Row],[TGL.NOTA]]="",IF(NOTA[[#This Row],[SUPPLIER_H]]="","",AK962),MONTH(NOTA[[#This Row],[TGL.NOTA]]))</f>
        <v/>
      </c>
      <c r="AL963" s="38" t="str">
        <f>LOWER(SUBSTITUTE(SUBSTITUTE(SUBSTITUTE(SUBSTITUTE(SUBSTITUTE(SUBSTITUTE(SUBSTITUTE(SUBSTITUTE(SUBSTITUTE(NOTA[NAMA BARANG]," ",),".",""),"-",""),"(",""),")",""),",",""),"/",""),"""",""),"+",""))</f>
        <v/>
      </c>
      <c r="AM96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3" s="184" t="str">
        <f>IF(NOTA[[#This Row],[CONCAT1]]="","",MATCH(NOTA[[#This Row],[CONCAT1]],[1]!db[NB NOTA_C],0)+1)</f>
        <v/>
      </c>
    </row>
    <row r="964" spans="1:40" ht="20.100000000000001" customHeight="1" x14ac:dyDescent="0.25">
      <c r="A96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143" t="str">
        <f>IF(NOTA[[#This Row],[CEK_EXP]]&lt;D963,"err","")</f>
        <v/>
      </c>
      <c r="D964" s="143">
        <f>IF(NOTA[[#This Row],[TANGGAL]]="",D963,NOTA[[#This Row],[TANGGAL]])</f>
        <v>44959</v>
      </c>
      <c r="E964" s="143" t="str">
        <f ca="1">IF(NOTA[[#This Row],[NAMA BARANG]]="","",INDEX(NOTA[ID],MATCH(,INDIRECT(ADDRESS(ROW(NOTA[ID]),COLUMN(NOTA[ID]))&amp;":"&amp;ADDRESS(ROW(),COLUMN(NOTA[ID]))),-1)))</f>
        <v/>
      </c>
      <c r="F964" s="144"/>
      <c r="G964" s="145"/>
      <c r="H964" s="145"/>
      <c r="I964" s="146"/>
      <c r="J964" s="145"/>
      <c r="K964" s="147"/>
      <c r="L964" s="145"/>
      <c r="M964" s="145"/>
      <c r="N964" s="148"/>
      <c r="O964" s="145"/>
      <c r="P964" s="145"/>
      <c r="Q964" s="142"/>
      <c r="R964" s="149"/>
      <c r="S964" s="148"/>
      <c r="T964" s="150"/>
      <c r="U964" s="150"/>
      <c r="V964" s="151"/>
      <c r="W964" s="103"/>
      <c r="X964" s="151" t="str">
        <f>IF(NOTA[[#This Row],[HARGA/ CTN]]="",NOTA[[#This Row],[JUMLAH_H]],NOTA[[#This Row],[HARGA/ CTN]]*IF(NOTA[[#This Row],[C]]="",0,NOTA[[#This Row],[C]]))</f>
        <v/>
      </c>
      <c r="Y964" s="151" t="str">
        <f>IF(NOTA[[#This Row],[JUMLAH]]="","",NOTA[[#This Row],[JUMLAH]]*NOTA[[#This Row],[DISC 1]])</f>
        <v/>
      </c>
      <c r="Z964" s="151" t="str">
        <f>IF(NOTA[[#This Row],[JUMLAH]]="","",(NOTA[[#This Row],[JUMLAH]]-NOTA[[#This Row],[DISC 1-]])*NOTA[[#This Row],[DISC 2]])</f>
        <v/>
      </c>
      <c r="AA964" s="151" t="str">
        <f>IF(NOTA[[#This Row],[JUMLAH]]="","",NOTA[[#This Row],[DISC 1-]]+NOTA[[#This Row],[DISC 2-]])</f>
        <v/>
      </c>
      <c r="AB964" s="151" t="str">
        <f>IF(NOTA[[#This Row],[JUMLAH]]="","",NOTA[[#This Row],[JUMLAH]]-NOTA[[#This Row],[DISC]])</f>
        <v/>
      </c>
      <c r="AC96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4" s="151" t="str">
        <f>IF(OR(NOTA[[#This Row],[QTY]]="",NOTA[[#This Row],[HARGA SATUAN]]="",),"",NOTA[[#This Row],[QTY]]*NOTA[[#This Row],[HARGA SATUAN]])</f>
        <v/>
      </c>
      <c r="AG964" s="147" t="str">
        <f ca="1">IF(NOTA[ID_H]="","",INDEX(NOTA[TANGGAL],MATCH(,INDIRECT(ADDRESS(ROW(NOTA[TANGGAL]),COLUMN(NOTA[TANGGAL]))&amp;":"&amp;ADDRESS(ROW(),COLUMN(NOTA[TANGGAL]))),-1)))</f>
        <v/>
      </c>
      <c r="AH964" s="142" t="str">
        <f ca="1">IF(NOTA[[#This Row],[NAMA BARANG]]="","",INDEX(NOTA[SUPPLIER],MATCH(,INDIRECT(ADDRESS(ROW(NOTA[ID]),COLUMN(NOTA[ID]))&amp;":"&amp;ADDRESS(ROW(),COLUMN(NOTA[ID]))),-1)))</f>
        <v/>
      </c>
      <c r="AI964" s="142" t="str">
        <f ca="1">IF(NOTA[[#This Row],[ID_H]]="","",IF(NOTA[[#This Row],[FAKTUR]]="",INDIRECT(ADDRESS(ROW()-1,COLUMN())),NOTA[[#This Row],[FAKTUR]]))</f>
        <v/>
      </c>
      <c r="AJ964" s="38" t="str">
        <f ca="1">IF(NOTA[[#This Row],[ID]]="","",COUNTIF(NOTA[ID_H],NOTA[[#This Row],[ID_H]]))</f>
        <v/>
      </c>
      <c r="AK964" s="38" t="str">
        <f ca="1">IF(NOTA[[#This Row],[TGL.NOTA]]="",IF(NOTA[[#This Row],[SUPPLIER_H]]="","",AK963),MONTH(NOTA[[#This Row],[TGL.NOTA]]))</f>
        <v/>
      </c>
      <c r="AL964" s="38" t="str">
        <f>LOWER(SUBSTITUTE(SUBSTITUTE(SUBSTITUTE(SUBSTITUTE(SUBSTITUTE(SUBSTITUTE(SUBSTITUTE(SUBSTITUTE(SUBSTITUTE(NOTA[NAMA BARANG]," ",),".",""),"-",""),"(",""),")",""),",",""),"/",""),"""",""),"+",""))</f>
        <v/>
      </c>
      <c r="AM96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4" s="184" t="str">
        <f>IF(NOTA[[#This Row],[CONCAT1]]="","",MATCH(NOTA[[#This Row],[CONCAT1]],[1]!db[NB NOTA_C],0)+1)</f>
        <v/>
      </c>
    </row>
    <row r="965" spans="1:40" ht="20.100000000000001" customHeight="1" x14ac:dyDescent="0.25">
      <c r="A96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143" t="str">
        <f>IF(NOTA[[#This Row],[CEK_EXP]]&lt;D964,"err","")</f>
        <v/>
      </c>
      <c r="D965" s="143">
        <f>IF(NOTA[[#This Row],[TANGGAL]]="",D964,NOTA[[#This Row],[TANGGAL]])</f>
        <v>44959</v>
      </c>
      <c r="E965" s="143" t="str">
        <f ca="1">IF(NOTA[[#This Row],[NAMA BARANG]]="","",INDEX(NOTA[ID],MATCH(,INDIRECT(ADDRESS(ROW(NOTA[ID]),COLUMN(NOTA[ID]))&amp;":"&amp;ADDRESS(ROW(),COLUMN(NOTA[ID]))),-1)))</f>
        <v/>
      </c>
      <c r="F965" s="144"/>
      <c r="G965" s="145"/>
      <c r="H965" s="145"/>
      <c r="I965" s="146"/>
      <c r="J965" s="145"/>
      <c r="K965" s="147"/>
      <c r="L965" s="145"/>
      <c r="M965" s="145"/>
      <c r="N965" s="148"/>
      <c r="O965" s="145"/>
      <c r="P965" s="145"/>
      <c r="Q965" s="142"/>
      <c r="R965" s="149"/>
      <c r="S965" s="148"/>
      <c r="T965" s="150"/>
      <c r="U965" s="150"/>
      <c r="V965" s="151"/>
      <c r="W965" s="103"/>
      <c r="X965" s="151" t="str">
        <f>IF(NOTA[[#This Row],[HARGA/ CTN]]="",NOTA[[#This Row],[JUMLAH_H]],NOTA[[#This Row],[HARGA/ CTN]]*IF(NOTA[[#This Row],[C]]="",0,NOTA[[#This Row],[C]]))</f>
        <v/>
      </c>
      <c r="Y965" s="151" t="str">
        <f>IF(NOTA[[#This Row],[JUMLAH]]="","",NOTA[[#This Row],[JUMLAH]]*NOTA[[#This Row],[DISC 1]])</f>
        <v/>
      </c>
      <c r="Z965" s="151" t="str">
        <f>IF(NOTA[[#This Row],[JUMLAH]]="","",(NOTA[[#This Row],[JUMLAH]]-NOTA[[#This Row],[DISC 1-]])*NOTA[[#This Row],[DISC 2]])</f>
        <v/>
      </c>
      <c r="AA965" s="151" t="str">
        <f>IF(NOTA[[#This Row],[JUMLAH]]="","",NOTA[[#This Row],[DISC 1-]]+NOTA[[#This Row],[DISC 2-]])</f>
        <v/>
      </c>
      <c r="AB965" s="151" t="str">
        <f>IF(NOTA[[#This Row],[JUMLAH]]="","",NOTA[[#This Row],[JUMLAH]]-NOTA[[#This Row],[DISC]])</f>
        <v/>
      </c>
      <c r="AC96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5" s="151" t="str">
        <f>IF(OR(NOTA[[#This Row],[QTY]]="",NOTA[[#This Row],[HARGA SATUAN]]="",),"",NOTA[[#This Row],[QTY]]*NOTA[[#This Row],[HARGA SATUAN]])</f>
        <v/>
      </c>
      <c r="AG965" s="147" t="str">
        <f ca="1">IF(NOTA[ID_H]="","",INDEX(NOTA[TANGGAL],MATCH(,INDIRECT(ADDRESS(ROW(NOTA[TANGGAL]),COLUMN(NOTA[TANGGAL]))&amp;":"&amp;ADDRESS(ROW(),COLUMN(NOTA[TANGGAL]))),-1)))</f>
        <v/>
      </c>
      <c r="AH965" s="142" t="str">
        <f ca="1">IF(NOTA[[#This Row],[NAMA BARANG]]="","",INDEX(NOTA[SUPPLIER],MATCH(,INDIRECT(ADDRESS(ROW(NOTA[ID]),COLUMN(NOTA[ID]))&amp;":"&amp;ADDRESS(ROW(),COLUMN(NOTA[ID]))),-1)))</f>
        <v/>
      </c>
      <c r="AI965" s="142" t="str">
        <f ca="1">IF(NOTA[[#This Row],[ID_H]]="","",IF(NOTA[[#This Row],[FAKTUR]]="",INDIRECT(ADDRESS(ROW()-1,COLUMN())),NOTA[[#This Row],[FAKTUR]]))</f>
        <v/>
      </c>
      <c r="AJ965" s="38" t="str">
        <f ca="1">IF(NOTA[[#This Row],[ID]]="","",COUNTIF(NOTA[ID_H],NOTA[[#This Row],[ID_H]]))</f>
        <v/>
      </c>
      <c r="AK965" s="38" t="str">
        <f ca="1">IF(NOTA[[#This Row],[TGL.NOTA]]="",IF(NOTA[[#This Row],[SUPPLIER_H]]="","",AK964),MONTH(NOTA[[#This Row],[TGL.NOTA]]))</f>
        <v/>
      </c>
      <c r="AL965" s="38" t="str">
        <f>LOWER(SUBSTITUTE(SUBSTITUTE(SUBSTITUTE(SUBSTITUTE(SUBSTITUTE(SUBSTITUTE(SUBSTITUTE(SUBSTITUTE(SUBSTITUTE(NOTA[NAMA BARANG]," ",),".",""),"-",""),"(",""),")",""),",",""),"/",""),"""",""),"+",""))</f>
        <v/>
      </c>
      <c r="AM96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5" s="184" t="str">
        <f>IF(NOTA[[#This Row],[CONCAT1]]="","",MATCH(NOTA[[#This Row],[CONCAT1]],[1]!db[NB NOTA_C],0)+1)</f>
        <v/>
      </c>
    </row>
    <row r="966" spans="1:40" ht="20.100000000000001" customHeight="1" x14ac:dyDescent="0.25">
      <c r="A96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143" t="str">
        <f>IF(NOTA[[#This Row],[CEK_EXP]]&lt;D965,"err","")</f>
        <v/>
      </c>
      <c r="D966" s="143">
        <f>IF(NOTA[[#This Row],[TANGGAL]]="",D965,NOTA[[#This Row],[TANGGAL]])</f>
        <v>44959</v>
      </c>
      <c r="E966" s="143" t="str">
        <f ca="1">IF(NOTA[[#This Row],[NAMA BARANG]]="","",INDEX(NOTA[ID],MATCH(,INDIRECT(ADDRESS(ROW(NOTA[ID]),COLUMN(NOTA[ID]))&amp;":"&amp;ADDRESS(ROW(),COLUMN(NOTA[ID]))),-1)))</f>
        <v/>
      </c>
      <c r="F966" s="144"/>
      <c r="G966" s="145"/>
      <c r="H966" s="145"/>
      <c r="I966" s="146"/>
      <c r="J966" s="145"/>
      <c r="K966" s="147"/>
      <c r="L966" s="145"/>
      <c r="M966" s="145"/>
      <c r="N966" s="148"/>
      <c r="O966" s="145"/>
      <c r="P966" s="145"/>
      <c r="Q966" s="142"/>
      <c r="R966" s="149"/>
      <c r="S966" s="148"/>
      <c r="T966" s="150"/>
      <c r="U966" s="150"/>
      <c r="V966" s="151"/>
      <c r="W966" s="103"/>
      <c r="X966" s="151" t="str">
        <f>IF(NOTA[[#This Row],[HARGA/ CTN]]="",NOTA[[#This Row],[JUMLAH_H]],NOTA[[#This Row],[HARGA/ CTN]]*IF(NOTA[[#This Row],[C]]="",0,NOTA[[#This Row],[C]]))</f>
        <v/>
      </c>
      <c r="Y966" s="151" t="str">
        <f>IF(NOTA[[#This Row],[JUMLAH]]="","",NOTA[[#This Row],[JUMLAH]]*NOTA[[#This Row],[DISC 1]])</f>
        <v/>
      </c>
      <c r="Z966" s="151" t="str">
        <f>IF(NOTA[[#This Row],[JUMLAH]]="","",(NOTA[[#This Row],[JUMLAH]]-NOTA[[#This Row],[DISC 1-]])*NOTA[[#This Row],[DISC 2]])</f>
        <v/>
      </c>
      <c r="AA966" s="151" t="str">
        <f>IF(NOTA[[#This Row],[JUMLAH]]="","",NOTA[[#This Row],[DISC 1-]]+NOTA[[#This Row],[DISC 2-]])</f>
        <v/>
      </c>
      <c r="AB966" s="151" t="str">
        <f>IF(NOTA[[#This Row],[JUMLAH]]="","",NOTA[[#This Row],[JUMLAH]]-NOTA[[#This Row],[DISC]])</f>
        <v/>
      </c>
      <c r="AC96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6" s="151" t="str">
        <f>IF(OR(NOTA[[#This Row],[QTY]]="",NOTA[[#This Row],[HARGA SATUAN]]="",),"",NOTA[[#This Row],[QTY]]*NOTA[[#This Row],[HARGA SATUAN]])</f>
        <v/>
      </c>
      <c r="AG966" s="147" t="str">
        <f ca="1">IF(NOTA[ID_H]="","",INDEX(NOTA[TANGGAL],MATCH(,INDIRECT(ADDRESS(ROW(NOTA[TANGGAL]),COLUMN(NOTA[TANGGAL]))&amp;":"&amp;ADDRESS(ROW(),COLUMN(NOTA[TANGGAL]))),-1)))</f>
        <v/>
      </c>
      <c r="AH966" s="142" t="str">
        <f ca="1">IF(NOTA[[#This Row],[NAMA BARANG]]="","",INDEX(NOTA[SUPPLIER],MATCH(,INDIRECT(ADDRESS(ROW(NOTA[ID]),COLUMN(NOTA[ID]))&amp;":"&amp;ADDRESS(ROW(),COLUMN(NOTA[ID]))),-1)))</f>
        <v/>
      </c>
      <c r="AI966" s="142" t="str">
        <f ca="1">IF(NOTA[[#This Row],[ID_H]]="","",IF(NOTA[[#This Row],[FAKTUR]]="",INDIRECT(ADDRESS(ROW()-1,COLUMN())),NOTA[[#This Row],[FAKTUR]]))</f>
        <v/>
      </c>
      <c r="AJ966" s="38" t="str">
        <f ca="1">IF(NOTA[[#This Row],[ID]]="","",COUNTIF(NOTA[ID_H],NOTA[[#This Row],[ID_H]]))</f>
        <v/>
      </c>
      <c r="AK966" s="38" t="str">
        <f ca="1">IF(NOTA[[#This Row],[TGL.NOTA]]="",IF(NOTA[[#This Row],[SUPPLIER_H]]="","",AK965),MONTH(NOTA[[#This Row],[TGL.NOTA]]))</f>
        <v/>
      </c>
      <c r="AL966" s="38" t="str">
        <f>LOWER(SUBSTITUTE(SUBSTITUTE(SUBSTITUTE(SUBSTITUTE(SUBSTITUTE(SUBSTITUTE(SUBSTITUTE(SUBSTITUTE(SUBSTITUTE(NOTA[NAMA BARANG]," ",),".",""),"-",""),"(",""),")",""),",",""),"/",""),"""",""),"+",""))</f>
        <v/>
      </c>
      <c r="AM96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6" s="184" t="str">
        <f>IF(NOTA[[#This Row],[CONCAT1]]="","",MATCH(NOTA[[#This Row],[CONCAT1]],[1]!db[NB NOTA_C],0)+1)</f>
        <v/>
      </c>
    </row>
    <row r="967" spans="1:40" ht="20.100000000000001" customHeight="1" x14ac:dyDescent="0.25">
      <c r="A96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143" t="str">
        <f>IF(NOTA[[#This Row],[CEK_EXP]]&lt;D966,"err","")</f>
        <v/>
      </c>
      <c r="D967" s="143">
        <f>IF(NOTA[[#This Row],[TANGGAL]]="",D966,NOTA[[#This Row],[TANGGAL]])</f>
        <v>44959</v>
      </c>
      <c r="E967" s="143" t="str">
        <f ca="1">IF(NOTA[[#This Row],[NAMA BARANG]]="","",INDEX(NOTA[ID],MATCH(,INDIRECT(ADDRESS(ROW(NOTA[ID]),COLUMN(NOTA[ID]))&amp;":"&amp;ADDRESS(ROW(),COLUMN(NOTA[ID]))),-1)))</f>
        <v/>
      </c>
      <c r="F967" s="144"/>
      <c r="G967" s="145"/>
      <c r="H967" s="145"/>
      <c r="I967" s="146"/>
      <c r="J967" s="145"/>
      <c r="K967" s="147"/>
      <c r="L967" s="145"/>
      <c r="M967" s="145"/>
      <c r="N967" s="148"/>
      <c r="O967" s="145"/>
      <c r="P967" s="145"/>
      <c r="Q967" s="142"/>
      <c r="R967" s="149"/>
      <c r="S967" s="148"/>
      <c r="T967" s="150"/>
      <c r="U967" s="150"/>
      <c r="V967" s="151"/>
      <c r="W967" s="103"/>
      <c r="X967" s="151" t="str">
        <f>IF(NOTA[[#This Row],[HARGA/ CTN]]="",NOTA[[#This Row],[JUMLAH_H]],NOTA[[#This Row],[HARGA/ CTN]]*IF(NOTA[[#This Row],[C]]="",0,NOTA[[#This Row],[C]]))</f>
        <v/>
      </c>
      <c r="Y967" s="151" t="str">
        <f>IF(NOTA[[#This Row],[JUMLAH]]="","",NOTA[[#This Row],[JUMLAH]]*NOTA[[#This Row],[DISC 1]])</f>
        <v/>
      </c>
      <c r="Z967" s="151" t="str">
        <f>IF(NOTA[[#This Row],[JUMLAH]]="","",(NOTA[[#This Row],[JUMLAH]]-NOTA[[#This Row],[DISC 1-]])*NOTA[[#This Row],[DISC 2]])</f>
        <v/>
      </c>
      <c r="AA967" s="151" t="str">
        <f>IF(NOTA[[#This Row],[JUMLAH]]="","",NOTA[[#This Row],[DISC 1-]]+NOTA[[#This Row],[DISC 2-]])</f>
        <v/>
      </c>
      <c r="AB967" s="151" t="str">
        <f>IF(NOTA[[#This Row],[JUMLAH]]="","",NOTA[[#This Row],[JUMLAH]]-NOTA[[#This Row],[DISC]])</f>
        <v/>
      </c>
      <c r="AC96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7" s="151" t="str">
        <f>IF(OR(NOTA[[#This Row],[QTY]]="",NOTA[[#This Row],[HARGA SATUAN]]="",),"",NOTA[[#This Row],[QTY]]*NOTA[[#This Row],[HARGA SATUAN]])</f>
        <v/>
      </c>
      <c r="AG967" s="147" t="str">
        <f ca="1">IF(NOTA[ID_H]="","",INDEX(NOTA[TANGGAL],MATCH(,INDIRECT(ADDRESS(ROW(NOTA[TANGGAL]),COLUMN(NOTA[TANGGAL]))&amp;":"&amp;ADDRESS(ROW(),COLUMN(NOTA[TANGGAL]))),-1)))</f>
        <v/>
      </c>
      <c r="AH967" s="142" t="str">
        <f ca="1">IF(NOTA[[#This Row],[NAMA BARANG]]="","",INDEX(NOTA[SUPPLIER],MATCH(,INDIRECT(ADDRESS(ROW(NOTA[ID]),COLUMN(NOTA[ID]))&amp;":"&amp;ADDRESS(ROW(),COLUMN(NOTA[ID]))),-1)))</f>
        <v/>
      </c>
      <c r="AI967" s="142" t="str">
        <f ca="1">IF(NOTA[[#This Row],[ID_H]]="","",IF(NOTA[[#This Row],[FAKTUR]]="",INDIRECT(ADDRESS(ROW()-1,COLUMN())),NOTA[[#This Row],[FAKTUR]]))</f>
        <v/>
      </c>
      <c r="AJ967" s="38" t="str">
        <f ca="1">IF(NOTA[[#This Row],[ID]]="","",COUNTIF(NOTA[ID_H],NOTA[[#This Row],[ID_H]]))</f>
        <v/>
      </c>
      <c r="AK967" s="38" t="str">
        <f ca="1">IF(NOTA[[#This Row],[TGL.NOTA]]="",IF(NOTA[[#This Row],[SUPPLIER_H]]="","",AK966),MONTH(NOTA[[#This Row],[TGL.NOTA]]))</f>
        <v/>
      </c>
      <c r="AL967" s="38" t="str">
        <f>LOWER(SUBSTITUTE(SUBSTITUTE(SUBSTITUTE(SUBSTITUTE(SUBSTITUTE(SUBSTITUTE(SUBSTITUTE(SUBSTITUTE(SUBSTITUTE(NOTA[NAMA BARANG]," ",),".",""),"-",""),"(",""),")",""),",",""),"/",""),"""",""),"+",""))</f>
        <v/>
      </c>
      <c r="AM96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7" s="184" t="str">
        <f>IF(NOTA[[#This Row],[CONCAT1]]="","",MATCH(NOTA[[#This Row],[CONCAT1]],[1]!db[NB NOTA_C],0)+1)</f>
        <v/>
      </c>
    </row>
    <row r="968" spans="1:40" ht="20.100000000000001" customHeight="1" x14ac:dyDescent="0.25">
      <c r="A96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143" t="str">
        <f>IF(NOTA[[#This Row],[CEK_EXP]]&lt;D967,"err","")</f>
        <v/>
      </c>
      <c r="D968" s="143">
        <f>IF(NOTA[[#This Row],[TANGGAL]]="",D967,NOTA[[#This Row],[TANGGAL]])</f>
        <v>44959</v>
      </c>
      <c r="E968" s="143" t="str">
        <f ca="1">IF(NOTA[[#This Row],[NAMA BARANG]]="","",INDEX(NOTA[ID],MATCH(,INDIRECT(ADDRESS(ROW(NOTA[ID]),COLUMN(NOTA[ID]))&amp;":"&amp;ADDRESS(ROW(),COLUMN(NOTA[ID]))),-1)))</f>
        <v/>
      </c>
      <c r="F968" s="144"/>
      <c r="G968" s="145"/>
      <c r="H968" s="145"/>
      <c r="I968" s="146"/>
      <c r="J968" s="145"/>
      <c r="K968" s="147"/>
      <c r="L968" s="145"/>
      <c r="M968" s="145"/>
      <c r="N968" s="148"/>
      <c r="O968" s="145"/>
      <c r="P968" s="145"/>
      <c r="Q968" s="142"/>
      <c r="R968" s="149"/>
      <c r="S968" s="148"/>
      <c r="T968" s="150"/>
      <c r="U968" s="150"/>
      <c r="V968" s="151"/>
      <c r="W968" s="103"/>
      <c r="X968" s="151" t="str">
        <f>IF(NOTA[[#This Row],[HARGA/ CTN]]="",NOTA[[#This Row],[JUMLAH_H]],NOTA[[#This Row],[HARGA/ CTN]]*IF(NOTA[[#This Row],[C]]="",0,NOTA[[#This Row],[C]]))</f>
        <v/>
      </c>
      <c r="Y968" s="151" t="str">
        <f>IF(NOTA[[#This Row],[JUMLAH]]="","",NOTA[[#This Row],[JUMLAH]]*NOTA[[#This Row],[DISC 1]])</f>
        <v/>
      </c>
      <c r="Z968" s="151" t="str">
        <f>IF(NOTA[[#This Row],[JUMLAH]]="","",(NOTA[[#This Row],[JUMLAH]]-NOTA[[#This Row],[DISC 1-]])*NOTA[[#This Row],[DISC 2]])</f>
        <v/>
      </c>
      <c r="AA968" s="151" t="str">
        <f>IF(NOTA[[#This Row],[JUMLAH]]="","",NOTA[[#This Row],[DISC 1-]]+NOTA[[#This Row],[DISC 2-]])</f>
        <v/>
      </c>
      <c r="AB968" s="151" t="str">
        <f>IF(NOTA[[#This Row],[JUMLAH]]="","",NOTA[[#This Row],[JUMLAH]]-NOTA[[#This Row],[DISC]])</f>
        <v/>
      </c>
      <c r="AC96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8" s="151" t="str">
        <f>IF(OR(NOTA[[#This Row],[QTY]]="",NOTA[[#This Row],[HARGA SATUAN]]="",),"",NOTA[[#This Row],[QTY]]*NOTA[[#This Row],[HARGA SATUAN]])</f>
        <v/>
      </c>
      <c r="AG968" s="147" t="str">
        <f ca="1">IF(NOTA[ID_H]="","",INDEX(NOTA[TANGGAL],MATCH(,INDIRECT(ADDRESS(ROW(NOTA[TANGGAL]),COLUMN(NOTA[TANGGAL]))&amp;":"&amp;ADDRESS(ROW(),COLUMN(NOTA[TANGGAL]))),-1)))</f>
        <v/>
      </c>
      <c r="AH968" s="142" t="str">
        <f ca="1">IF(NOTA[[#This Row],[NAMA BARANG]]="","",INDEX(NOTA[SUPPLIER],MATCH(,INDIRECT(ADDRESS(ROW(NOTA[ID]),COLUMN(NOTA[ID]))&amp;":"&amp;ADDRESS(ROW(),COLUMN(NOTA[ID]))),-1)))</f>
        <v/>
      </c>
      <c r="AI968" s="142" t="str">
        <f ca="1">IF(NOTA[[#This Row],[ID_H]]="","",IF(NOTA[[#This Row],[FAKTUR]]="",INDIRECT(ADDRESS(ROW()-1,COLUMN())),NOTA[[#This Row],[FAKTUR]]))</f>
        <v/>
      </c>
      <c r="AJ968" s="38" t="str">
        <f ca="1">IF(NOTA[[#This Row],[ID]]="","",COUNTIF(NOTA[ID_H],NOTA[[#This Row],[ID_H]]))</f>
        <v/>
      </c>
      <c r="AK968" s="38" t="str">
        <f ca="1">IF(NOTA[[#This Row],[TGL.NOTA]]="",IF(NOTA[[#This Row],[SUPPLIER_H]]="","",AK967),MONTH(NOTA[[#This Row],[TGL.NOTA]]))</f>
        <v/>
      </c>
      <c r="AL968" s="38" t="str">
        <f>LOWER(SUBSTITUTE(SUBSTITUTE(SUBSTITUTE(SUBSTITUTE(SUBSTITUTE(SUBSTITUTE(SUBSTITUTE(SUBSTITUTE(SUBSTITUTE(NOTA[NAMA BARANG]," ",),".",""),"-",""),"(",""),")",""),",",""),"/",""),"""",""),"+",""))</f>
        <v/>
      </c>
      <c r="AM96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8" s="184" t="str">
        <f>IF(NOTA[[#This Row],[CONCAT1]]="","",MATCH(NOTA[[#This Row],[CONCAT1]],[1]!db[NB NOTA_C],0)+1)</f>
        <v/>
      </c>
    </row>
    <row r="969" spans="1:40" ht="20.100000000000001" customHeight="1" x14ac:dyDescent="0.25">
      <c r="A96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143" t="str">
        <f>IF(NOTA[[#This Row],[CEK_EXP]]&lt;D968,"err","")</f>
        <v/>
      </c>
      <c r="D969" s="143">
        <f>IF(NOTA[[#This Row],[TANGGAL]]="",D968,NOTA[[#This Row],[TANGGAL]])</f>
        <v>44959</v>
      </c>
      <c r="E969" s="143" t="str">
        <f ca="1">IF(NOTA[[#This Row],[NAMA BARANG]]="","",INDEX(NOTA[ID],MATCH(,INDIRECT(ADDRESS(ROW(NOTA[ID]),COLUMN(NOTA[ID]))&amp;":"&amp;ADDRESS(ROW(),COLUMN(NOTA[ID]))),-1)))</f>
        <v/>
      </c>
      <c r="F969" s="144"/>
      <c r="G969" s="145"/>
      <c r="H969" s="145"/>
      <c r="I969" s="146"/>
      <c r="J969" s="145"/>
      <c r="K969" s="147"/>
      <c r="L969" s="145"/>
      <c r="M969" s="145"/>
      <c r="N969" s="148"/>
      <c r="O969" s="145"/>
      <c r="P969" s="145"/>
      <c r="Q969" s="142"/>
      <c r="R969" s="149"/>
      <c r="S969" s="148"/>
      <c r="T969" s="150"/>
      <c r="U969" s="150"/>
      <c r="V969" s="151"/>
      <c r="W969" s="103"/>
      <c r="X969" s="151" t="str">
        <f>IF(NOTA[[#This Row],[HARGA/ CTN]]="",NOTA[[#This Row],[JUMLAH_H]],NOTA[[#This Row],[HARGA/ CTN]]*IF(NOTA[[#This Row],[C]]="",0,NOTA[[#This Row],[C]]))</f>
        <v/>
      </c>
      <c r="Y969" s="151" t="str">
        <f>IF(NOTA[[#This Row],[JUMLAH]]="","",NOTA[[#This Row],[JUMLAH]]*NOTA[[#This Row],[DISC 1]])</f>
        <v/>
      </c>
      <c r="Z969" s="151" t="str">
        <f>IF(NOTA[[#This Row],[JUMLAH]]="","",(NOTA[[#This Row],[JUMLAH]]-NOTA[[#This Row],[DISC 1-]])*NOTA[[#This Row],[DISC 2]])</f>
        <v/>
      </c>
      <c r="AA969" s="151" t="str">
        <f>IF(NOTA[[#This Row],[JUMLAH]]="","",NOTA[[#This Row],[DISC 1-]]+NOTA[[#This Row],[DISC 2-]])</f>
        <v/>
      </c>
      <c r="AB969" s="151" t="str">
        <f>IF(NOTA[[#This Row],[JUMLAH]]="","",NOTA[[#This Row],[JUMLAH]]-NOTA[[#This Row],[DISC]])</f>
        <v/>
      </c>
      <c r="AC96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9" s="151" t="str">
        <f>IF(OR(NOTA[[#This Row],[QTY]]="",NOTA[[#This Row],[HARGA SATUAN]]="",),"",NOTA[[#This Row],[QTY]]*NOTA[[#This Row],[HARGA SATUAN]])</f>
        <v/>
      </c>
      <c r="AG969" s="147" t="str">
        <f ca="1">IF(NOTA[ID_H]="","",INDEX(NOTA[TANGGAL],MATCH(,INDIRECT(ADDRESS(ROW(NOTA[TANGGAL]),COLUMN(NOTA[TANGGAL]))&amp;":"&amp;ADDRESS(ROW(),COLUMN(NOTA[TANGGAL]))),-1)))</f>
        <v/>
      </c>
      <c r="AH969" s="142" t="str">
        <f ca="1">IF(NOTA[[#This Row],[NAMA BARANG]]="","",INDEX(NOTA[SUPPLIER],MATCH(,INDIRECT(ADDRESS(ROW(NOTA[ID]),COLUMN(NOTA[ID]))&amp;":"&amp;ADDRESS(ROW(),COLUMN(NOTA[ID]))),-1)))</f>
        <v/>
      </c>
      <c r="AI969" s="142" t="str">
        <f ca="1">IF(NOTA[[#This Row],[ID_H]]="","",IF(NOTA[[#This Row],[FAKTUR]]="",INDIRECT(ADDRESS(ROW()-1,COLUMN())),NOTA[[#This Row],[FAKTUR]]))</f>
        <v/>
      </c>
      <c r="AJ969" s="38" t="str">
        <f ca="1">IF(NOTA[[#This Row],[ID]]="","",COUNTIF(NOTA[ID_H],NOTA[[#This Row],[ID_H]]))</f>
        <v/>
      </c>
      <c r="AK969" s="38" t="str">
        <f ca="1">IF(NOTA[[#This Row],[TGL.NOTA]]="",IF(NOTA[[#This Row],[SUPPLIER_H]]="","",AK968),MONTH(NOTA[[#This Row],[TGL.NOTA]]))</f>
        <v/>
      </c>
      <c r="AL969" s="38" t="str">
        <f>LOWER(SUBSTITUTE(SUBSTITUTE(SUBSTITUTE(SUBSTITUTE(SUBSTITUTE(SUBSTITUTE(SUBSTITUTE(SUBSTITUTE(SUBSTITUTE(NOTA[NAMA BARANG]," ",),".",""),"-",""),"(",""),")",""),",",""),"/",""),"""",""),"+",""))</f>
        <v/>
      </c>
      <c r="AM96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69" s="184" t="str">
        <f>IF(NOTA[[#This Row],[CONCAT1]]="","",MATCH(NOTA[[#This Row],[CONCAT1]],[1]!db[NB NOTA_C],0)+1)</f>
        <v/>
      </c>
    </row>
    <row r="970" spans="1:40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143" t="str">
        <f>IF(NOTA[[#This Row],[CEK_EXP]]&lt;D969,"err","")</f>
        <v/>
      </c>
      <c r="D970" s="143">
        <f>IF(NOTA[[#This Row],[TANGGAL]]="",D969,NOTA[[#This Row],[TANGGAL]])</f>
        <v>44959</v>
      </c>
      <c r="E970" s="143" t="str">
        <f ca="1">IF(NOTA[[#This Row],[NAMA BARANG]]="","",INDEX(NOTA[ID],MATCH(,INDIRECT(ADDRESS(ROW(NOTA[ID]),COLUMN(NOTA[ID]))&amp;":"&amp;ADDRESS(ROW(),COLUMN(NOTA[ID]))),-1)))</f>
        <v/>
      </c>
      <c r="F970" s="144"/>
      <c r="G970" s="145"/>
      <c r="H970" s="145"/>
      <c r="I970" s="146"/>
      <c r="J970" s="145"/>
      <c r="K970" s="147"/>
      <c r="L970" s="145"/>
      <c r="M970" s="145"/>
      <c r="N970" s="148"/>
      <c r="O970" s="145"/>
      <c r="P970" s="145"/>
      <c r="Q970" s="142"/>
      <c r="R970" s="149"/>
      <c r="S970" s="148"/>
      <c r="T970" s="150"/>
      <c r="U970" s="150"/>
      <c r="V970" s="151"/>
      <c r="W970" s="103"/>
      <c r="X970" s="151" t="str">
        <f>IF(NOTA[[#This Row],[HARGA/ CTN]]="",NOTA[[#This Row],[JUMLAH_H]],NOTA[[#This Row],[HARGA/ CTN]]*IF(NOTA[[#This Row],[C]]="",0,NOTA[[#This Row],[C]]))</f>
        <v/>
      </c>
      <c r="Y970" s="151" t="str">
        <f>IF(NOTA[[#This Row],[JUMLAH]]="","",NOTA[[#This Row],[JUMLAH]]*NOTA[[#This Row],[DISC 1]])</f>
        <v/>
      </c>
      <c r="Z970" s="151" t="str">
        <f>IF(NOTA[[#This Row],[JUMLAH]]="","",(NOTA[[#This Row],[JUMLAH]]-NOTA[[#This Row],[DISC 1-]])*NOTA[[#This Row],[DISC 2]])</f>
        <v/>
      </c>
      <c r="AA970" s="151" t="str">
        <f>IF(NOTA[[#This Row],[JUMLAH]]="","",NOTA[[#This Row],[DISC 1-]]+NOTA[[#This Row],[DISC 2-]])</f>
        <v/>
      </c>
      <c r="AB970" s="151" t="str">
        <f>IF(NOTA[[#This Row],[JUMLAH]]="","",NOTA[[#This Row],[JUMLAH]]-NOTA[[#This Row],[DISC]])</f>
        <v/>
      </c>
      <c r="AC97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0" s="151" t="str">
        <f>IF(OR(NOTA[[#This Row],[QTY]]="",NOTA[[#This Row],[HARGA SATUAN]]="",),"",NOTA[[#This Row],[QTY]]*NOTA[[#This Row],[HARGA SATUAN]])</f>
        <v/>
      </c>
      <c r="AG970" s="147" t="str">
        <f ca="1">IF(NOTA[ID_H]="","",INDEX(NOTA[TANGGAL],MATCH(,INDIRECT(ADDRESS(ROW(NOTA[TANGGAL]),COLUMN(NOTA[TANGGAL]))&amp;":"&amp;ADDRESS(ROW(),COLUMN(NOTA[TANGGAL]))),-1)))</f>
        <v/>
      </c>
      <c r="AH970" s="142" t="str">
        <f ca="1">IF(NOTA[[#This Row],[NAMA BARANG]]="","",INDEX(NOTA[SUPPLIER],MATCH(,INDIRECT(ADDRESS(ROW(NOTA[ID]),COLUMN(NOTA[ID]))&amp;":"&amp;ADDRESS(ROW(),COLUMN(NOTA[ID]))),-1)))</f>
        <v/>
      </c>
      <c r="AI970" s="142" t="str">
        <f ca="1">IF(NOTA[[#This Row],[ID_H]]="","",IF(NOTA[[#This Row],[FAKTUR]]="",INDIRECT(ADDRESS(ROW()-1,COLUMN())),NOTA[[#This Row],[FAKTUR]]))</f>
        <v/>
      </c>
      <c r="AJ970" s="38" t="str">
        <f ca="1">IF(NOTA[[#This Row],[ID]]="","",COUNTIF(NOTA[ID_H],NOTA[[#This Row],[ID_H]]))</f>
        <v/>
      </c>
      <c r="AK970" s="38" t="str">
        <f ca="1">IF(NOTA[[#This Row],[TGL.NOTA]]="",IF(NOTA[[#This Row],[SUPPLIER_H]]="","",AK969),MONTH(NOTA[[#This Row],[TGL.NOTA]]))</f>
        <v/>
      </c>
      <c r="AL970" s="38" t="str">
        <f>LOWER(SUBSTITUTE(SUBSTITUTE(SUBSTITUTE(SUBSTITUTE(SUBSTITUTE(SUBSTITUTE(SUBSTITUTE(SUBSTITUTE(SUBSTITUTE(NOTA[NAMA BARANG]," ",),".",""),"-",""),"(",""),")",""),",",""),"/",""),"""",""),"+",""))</f>
        <v/>
      </c>
      <c r="AM970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0" s="184" t="str">
        <f>IF(NOTA[[#This Row],[CONCAT1]]="","",MATCH(NOTA[[#This Row],[CONCAT1]],[1]!db[NB NOTA_C],0)+1)</f>
        <v/>
      </c>
    </row>
    <row r="971" spans="1:40" ht="20.100000000000001" customHeight="1" x14ac:dyDescent="0.25">
      <c r="A97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143" t="str">
        <f>IF(NOTA[[#This Row],[CEK_EXP]]&lt;D970,"err","")</f>
        <v/>
      </c>
      <c r="D971" s="143">
        <f>IF(NOTA[[#This Row],[TANGGAL]]="",D970,NOTA[[#This Row],[TANGGAL]])</f>
        <v>44959</v>
      </c>
      <c r="E971" s="143" t="str">
        <f ca="1">IF(NOTA[[#This Row],[NAMA BARANG]]="","",INDEX(NOTA[ID],MATCH(,INDIRECT(ADDRESS(ROW(NOTA[ID]),COLUMN(NOTA[ID]))&amp;":"&amp;ADDRESS(ROW(),COLUMN(NOTA[ID]))),-1)))</f>
        <v/>
      </c>
      <c r="F971" s="144"/>
      <c r="G971" s="145"/>
      <c r="H971" s="145"/>
      <c r="I971" s="146"/>
      <c r="J971" s="145"/>
      <c r="K971" s="147"/>
      <c r="L971" s="145"/>
      <c r="M971" s="145"/>
      <c r="N971" s="148"/>
      <c r="O971" s="145"/>
      <c r="P971" s="145"/>
      <c r="Q971" s="142"/>
      <c r="R971" s="149"/>
      <c r="S971" s="148"/>
      <c r="T971" s="150"/>
      <c r="U971" s="150"/>
      <c r="V971" s="151"/>
      <c r="W971" s="103"/>
      <c r="X971" s="151" t="str">
        <f>IF(NOTA[[#This Row],[HARGA/ CTN]]="",NOTA[[#This Row],[JUMLAH_H]],NOTA[[#This Row],[HARGA/ CTN]]*IF(NOTA[[#This Row],[C]]="",0,NOTA[[#This Row],[C]]))</f>
        <v/>
      </c>
      <c r="Y971" s="151" t="str">
        <f>IF(NOTA[[#This Row],[JUMLAH]]="","",NOTA[[#This Row],[JUMLAH]]*NOTA[[#This Row],[DISC 1]])</f>
        <v/>
      </c>
      <c r="Z971" s="151" t="str">
        <f>IF(NOTA[[#This Row],[JUMLAH]]="","",(NOTA[[#This Row],[JUMLAH]]-NOTA[[#This Row],[DISC 1-]])*NOTA[[#This Row],[DISC 2]])</f>
        <v/>
      </c>
      <c r="AA971" s="151" t="str">
        <f>IF(NOTA[[#This Row],[JUMLAH]]="","",NOTA[[#This Row],[DISC 1-]]+NOTA[[#This Row],[DISC 2-]])</f>
        <v/>
      </c>
      <c r="AB971" s="151" t="str">
        <f>IF(NOTA[[#This Row],[JUMLAH]]="","",NOTA[[#This Row],[JUMLAH]]-NOTA[[#This Row],[DISC]])</f>
        <v/>
      </c>
      <c r="AC97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1" s="151" t="str">
        <f>IF(OR(NOTA[[#This Row],[QTY]]="",NOTA[[#This Row],[HARGA SATUAN]]="",),"",NOTA[[#This Row],[QTY]]*NOTA[[#This Row],[HARGA SATUAN]])</f>
        <v/>
      </c>
      <c r="AG971" s="147" t="str">
        <f ca="1">IF(NOTA[ID_H]="","",INDEX(NOTA[TANGGAL],MATCH(,INDIRECT(ADDRESS(ROW(NOTA[TANGGAL]),COLUMN(NOTA[TANGGAL]))&amp;":"&amp;ADDRESS(ROW(),COLUMN(NOTA[TANGGAL]))),-1)))</f>
        <v/>
      </c>
      <c r="AH971" s="142" t="str">
        <f ca="1">IF(NOTA[[#This Row],[NAMA BARANG]]="","",INDEX(NOTA[SUPPLIER],MATCH(,INDIRECT(ADDRESS(ROW(NOTA[ID]),COLUMN(NOTA[ID]))&amp;":"&amp;ADDRESS(ROW(),COLUMN(NOTA[ID]))),-1)))</f>
        <v/>
      </c>
      <c r="AI971" s="142" t="str">
        <f ca="1">IF(NOTA[[#This Row],[ID_H]]="","",IF(NOTA[[#This Row],[FAKTUR]]="",INDIRECT(ADDRESS(ROW()-1,COLUMN())),NOTA[[#This Row],[FAKTUR]]))</f>
        <v/>
      </c>
      <c r="AJ971" s="38" t="str">
        <f ca="1">IF(NOTA[[#This Row],[ID]]="","",COUNTIF(NOTA[ID_H],NOTA[[#This Row],[ID_H]]))</f>
        <v/>
      </c>
      <c r="AK971" s="38" t="str">
        <f ca="1">IF(NOTA[[#This Row],[TGL.NOTA]]="",IF(NOTA[[#This Row],[SUPPLIER_H]]="","",AK970),MONTH(NOTA[[#This Row],[TGL.NOTA]]))</f>
        <v/>
      </c>
      <c r="AL971" s="38" t="str">
        <f>LOWER(SUBSTITUTE(SUBSTITUTE(SUBSTITUTE(SUBSTITUTE(SUBSTITUTE(SUBSTITUTE(SUBSTITUTE(SUBSTITUTE(SUBSTITUTE(NOTA[NAMA BARANG]," ",),".",""),"-",""),"(",""),")",""),",",""),"/",""),"""",""),"+",""))</f>
        <v/>
      </c>
      <c r="AM971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1" s="184" t="str">
        <f>IF(NOTA[[#This Row],[CONCAT1]]="","",MATCH(NOTA[[#This Row],[CONCAT1]],[1]!db[NB NOTA_C],0)+1)</f>
        <v/>
      </c>
    </row>
    <row r="972" spans="1:40" ht="20.100000000000001" customHeight="1" x14ac:dyDescent="0.25">
      <c r="A97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3" t="str">
        <f>IF(NOTA[[#This Row],[CEK_EXP]]&lt;D971,"err","")</f>
        <v/>
      </c>
      <c r="D972" s="143">
        <f>IF(NOTA[[#This Row],[TANGGAL]]="",D971,NOTA[[#This Row],[TANGGAL]])</f>
        <v>44959</v>
      </c>
      <c r="E972" s="143" t="str">
        <f ca="1">IF(NOTA[[#This Row],[NAMA BARANG]]="","",INDEX(NOTA[ID],MATCH(,INDIRECT(ADDRESS(ROW(NOTA[ID]),COLUMN(NOTA[ID]))&amp;":"&amp;ADDRESS(ROW(),COLUMN(NOTA[ID]))),-1)))</f>
        <v/>
      </c>
      <c r="F972" s="144"/>
      <c r="G972" s="145"/>
      <c r="H972" s="145"/>
      <c r="I972" s="146"/>
      <c r="J972" s="145"/>
      <c r="K972" s="147"/>
      <c r="L972" s="145"/>
      <c r="M972" s="145"/>
      <c r="N972" s="148"/>
      <c r="O972" s="145"/>
      <c r="P972" s="145"/>
      <c r="Q972" s="142"/>
      <c r="R972" s="149"/>
      <c r="S972" s="148"/>
      <c r="T972" s="150"/>
      <c r="U972" s="150"/>
      <c r="V972" s="151"/>
      <c r="W972" s="103"/>
      <c r="X972" s="151" t="str">
        <f>IF(NOTA[[#This Row],[HARGA/ CTN]]="",NOTA[[#This Row],[JUMLAH_H]],NOTA[[#This Row],[HARGA/ CTN]]*IF(NOTA[[#This Row],[C]]="",0,NOTA[[#This Row],[C]]))</f>
        <v/>
      </c>
      <c r="Y972" s="151" t="str">
        <f>IF(NOTA[[#This Row],[JUMLAH]]="","",NOTA[[#This Row],[JUMLAH]]*NOTA[[#This Row],[DISC 1]])</f>
        <v/>
      </c>
      <c r="Z972" s="151" t="str">
        <f>IF(NOTA[[#This Row],[JUMLAH]]="","",(NOTA[[#This Row],[JUMLAH]]-NOTA[[#This Row],[DISC 1-]])*NOTA[[#This Row],[DISC 2]])</f>
        <v/>
      </c>
      <c r="AA972" s="151" t="str">
        <f>IF(NOTA[[#This Row],[JUMLAH]]="","",NOTA[[#This Row],[DISC 1-]]+NOTA[[#This Row],[DISC 2-]])</f>
        <v/>
      </c>
      <c r="AB972" s="151" t="str">
        <f>IF(NOTA[[#This Row],[JUMLAH]]="","",NOTA[[#This Row],[JUMLAH]]-NOTA[[#This Row],[DISC]])</f>
        <v/>
      </c>
      <c r="AC97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2" s="151" t="str">
        <f>IF(OR(NOTA[[#This Row],[QTY]]="",NOTA[[#This Row],[HARGA SATUAN]]="",),"",NOTA[[#This Row],[QTY]]*NOTA[[#This Row],[HARGA SATUAN]])</f>
        <v/>
      </c>
      <c r="AG972" s="147" t="str">
        <f ca="1">IF(NOTA[ID_H]="","",INDEX(NOTA[TANGGAL],MATCH(,INDIRECT(ADDRESS(ROW(NOTA[TANGGAL]),COLUMN(NOTA[TANGGAL]))&amp;":"&amp;ADDRESS(ROW(),COLUMN(NOTA[TANGGAL]))),-1)))</f>
        <v/>
      </c>
      <c r="AH972" s="142" t="str">
        <f ca="1">IF(NOTA[[#This Row],[NAMA BARANG]]="","",INDEX(NOTA[SUPPLIER],MATCH(,INDIRECT(ADDRESS(ROW(NOTA[ID]),COLUMN(NOTA[ID]))&amp;":"&amp;ADDRESS(ROW(),COLUMN(NOTA[ID]))),-1)))</f>
        <v/>
      </c>
      <c r="AI972" s="142" t="str">
        <f ca="1">IF(NOTA[[#This Row],[ID_H]]="","",IF(NOTA[[#This Row],[FAKTUR]]="",INDIRECT(ADDRESS(ROW()-1,COLUMN())),NOTA[[#This Row],[FAKTUR]]))</f>
        <v/>
      </c>
      <c r="AJ972" s="38" t="str">
        <f ca="1">IF(NOTA[[#This Row],[ID]]="","",COUNTIF(NOTA[ID_H],NOTA[[#This Row],[ID_H]]))</f>
        <v/>
      </c>
      <c r="AK972" s="38" t="str">
        <f ca="1">IF(NOTA[[#This Row],[TGL.NOTA]]="",IF(NOTA[[#This Row],[SUPPLIER_H]]="","",AK971),MONTH(NOTA[[#This Row],[TGL.NOTA]]))</f>
        <v/>
      </c>
      <c r="AL972" s="38" t="str">
        <f>LOWER(SUBSTITUTE(SUBSTITUTE(SUBSTITUTE(SUBSTITUTE(SUBSTITUTE(SUBSTITUTE(SUBSTITUTE(SUBSTITUTE(SUBSTITUTE(NOTA[NAMA BARANG]," ",),".",""),"-",""),"(",""),")",""),",",""),"/",""),"""",""),"+",""))</f>
        <v/>
      </c>
      <c r="AM972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2" s="184" t="str">
        <f>IF(NOTA[[#This Row],[CONCAT1]]="","",MATCH(NOTA[[#This Row],[CONCAT1]],[1]!db[NB NOTA_C],0)+1)</f>
        <v/>
      </c>
    </row>
    <row r="973" spans="1:40" ht="20.100000000000001" customHeight="1" x14ac:dyDescent="0.25">
      <c r="A97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3" t="str">
        <f>IF(NOTA[[#This Row],[CEK_EXP]]&lt;D972,"err","")</f>
        <v/>
      </c>
      <c r="D973" s="143">
        <f>IF(NOTA[[#This Row],[TANGGAL]]="",D972,NOTA[[#This Row],[TANGGAL]])</f>
        <v>44959</v>
      </c>
      <c r="E973" s="143" t="str">
        <f ca="1">IF(NOTA[[#This Row],[NAMA BARANG]]="","",INDEX(NOTA[ID],MATCH(,INDIRECT(ADDRESS(ROW(NOTA[ID]),COLUMN(NOTA[ID]))&amp;":"&amp;ADDRESS(ROW(),COLUMN(NOTA[ID]))),-1)))</f>
        <v/>
      </c>
      <c r="F973" s="144"/>
      <c r="G973" s="145"/>
      <c r="H973" s="145"/>
      <c r="I973" s="146"/>
      <c r="J973" s="145"/>
      <c r="K973" s="147"/>
      <c r="L973" s="145"/>
      <c r="M973" s="145"/>
      <c r="N973" s="148"/>
      <c r="O973" s="145"/>
      <c r="P973" s="145"/>
      <c r="Q973" s="142"/>
      <c r="R973" s="149"/>
      <c r="S973" s="148"/>
      <c r="T973" s="150"/>
      <c r="U973" s="150"/>
      <c r="V973" s="151"/>
      <c r="W973" s="103"/>
      <c r="X973" s="151" t="str">
        <f>IF(NOTA[[#This Row],[HARGA/ CTN]]="",NOTA[[#This Row],[JUMLAH_H]],NOTA[[#This Row],[HARGA/ CTN]]*IF(NOTA[[#This Row],[C]]="",0,NOTA[[#This Row],[C]]))</f>
        <v/>
      </c>
      <c r="Y973" s="151" t="str">
        <f>IF(NOTA[[#This Row],[JUMLAH]]="","",NOTA[[#This Row],[JUMLAH]]*NOTA[[#This Row],[DISC 1]])</f>
        <v/>
      </c>
      <c r="Z973" s="151" t="str">
        <f>IF(NOTA[[#This Row],[JUMLAH]]="","",(NOTA[[#This Row],[JUMLAH]]-NOTA[[#This Row],[DISC 1-]])*NOTA[[#This Row],[DISC 2]])</f>
        <v/>
      </c>
      <c r="AA973" s="151" t="str">
        <f>IF(NOTA[[#This Row],[JUMLAH]]="","",NOTA[[#This Row],[DISC 1-]]+NOTA[[#This Row],[DISC 2-]])</f>
        <v/>
      </c>
      <c r="AB973" s="151" t="str">
        <f>IF(NOTA[[#This Row],[JUMLAH]]="","",NOTA[[#This Row],[JUMLAH]]-NOTA[[#This Row],[DISC]])</f>
        <v/>
      </c>
      <c r="AC97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3" s="151" t="str">
        <f>IF(OR(NOTA[[#This Row],[QTY]]="",NOTA[[#This Row],[HARGA SATUAN]]="",),"",NOTA[[#This Row],[QTY]]*NOTA[[#This Row],[HARGA SATUAN]])</f>
        <v/>
      </c>
      <c r="AG973" s="147" t="str">
        <f ca="1">IF(NOTA[ID_H]="","",INDEX(NOTA[TANGGAL],MATCH(,INDIRECT(ADDRESS(ROW(NOTA[TANGGAL]),COLUMN(NOTA[TANGGAL]))&amp;":"&amp;ADDRESS(ROW(),COLUMN(NOTA[TANGGAL]))),-1)))</f>
        <v/>
      </c>
      <c r="AH973" s="142" t="str">
        <f ca="1">IF(NOTA[[#This Row],[NAMA BARANG]]="","",INDEX(NOTA[SUPPLIER],MATCH(,INDIRECT(ADDRESS(ROW(NOTA[ID]),COLUMN(NOTA[ID]))&amp;":"&amp;ADDRESS(ROW(),COLUMN(NOTA[ID]))),-1)))</f>
        <v/>
      </c>
      <c r="AI973" s="142" t="str">
        <f ca="1">IF(NOTA[[#This Row],[ID_H]]="","",IF(NOTA[[#This Row],[FAKTUR]]="",INDIRECT(ADDRESS(ROW()-1,COLUMN())),NOTA[[#This Row],[FAKTUR]]))</f>
        <v/>
      </c>
      <c r="AJ973" s="38" t="str">
        <f ca="1">IF(NOTA[[#This Row],[ID]]="","",COUNTIF(NOTA[ID_H],NOTA[[#This Row],[ID_H]]))</f>
        <v/>
      </c>
      <c r="AK973" s="38" t="str">
        <f ca="1">IF(NOTA[[#This Row],[TGL.NOTA]]="",IF(NOTA[[#This Row],[SUPPLIER_H]]="","",AK972),MONTH(NOTA[[#This Row],[TGL.NOTA]]))</f>
        <v/>
      </c>
      <c r="AL973" s="38" t="str">
        <f>LOWER(SUBSTITUTE(SUBSTITUTE(SUBSTITUTE(SUBSTITUTE(SUBSTITUTE(SUBSTITUTE(SUBSTITUTE(SUBSTITUTE(SUBSTITUTE(NOTA[NAMA BARANG]," ",),".",""),"-",""),"(",""),")",""),",",""),"/",""),"""",""),"+",""))</f>
        <v/>
      </c>
      <c r="AM973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3" s="184" t="str">
        <f>IF(NOTA[[#This Row],[CONCAT1]]="","",MATCH(NOTA[[#This Row],[CONCAT1]],[1]!db[NB NOTA_C],0)+1)</f>
        <v/>
      </c>
    </row>
    <row r="974" spans="1:40" ht="20.100000000000001" customHeight="1" x14ac:dyDescent="0.25">
      <c r="A97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3" t="str">
        <f>IF(NOTA[[#This Row],[CEK_EXP]]&lt;D973,"err","")</f>
        <v/>
      </c>
      <c r="D974" s="143">
        <f>IF(NOTA[[#This Row],[TANGGAL]]="",D973,NOTA[[#This Row],[TANGGAL]])</f>
        <v>44959</v>
      </c>
      <c r="E974" s="143" t="str">
        <f ca="1">IF(NOTA[[#This Row],[NAMA BARANG]]="","",INDEX(NOTA[ID],MATCH(,INDIRECT(ADDRESS(ROW(NOTA[ID]),COLUMN(NOTA[ID]))&amp;":"&amp;ADDRESS(ROW(),COLUMN(NOTA[ID]))),-1)))</f>
        <v/>
      </c>
      <c r="F974" s="144"/>
      <c r="G974" s="145"/>
      <c r="H974" s="145"/>
      <c r="I974" s="146"/>
      <c r="J974" s="145"/>
      <c r="K974" s="147"/>
      <c r="L974" s="145"/>
      <c r="M974" s="38"/>
      <c r="N974" s="148"/>
      <c r="O974" s="145"/>
      <c r="P974" s="145"/>
      <c r="Q974" s="142"/>
      <c r="R974" s="149"/>
      <c r="S974" s="148"/>
      <c r="T974" s="150"/>
      <c r="U974" s="150"/>
      <c r="V974" s="151"/>
      <c r="W974" s="103"/>
      <c r="X974" s="151" t="str">
        <f>IF(NOTA[[#This Row],[HARGA/ CTN]]="",NOTA[[#This Row],[JUMLAH_H]],NOTA[[#This Row],[HARGA/ CTN]]*IF(NOTA[[#This Row],[C]]="",0,NOTA[[#This Row],[C]]))</f>
        <v/>
      </c>
      <c r="Y974" s="151" t="str">
        <f>IF(NOTA[[#This Row],[JUMLAH]]="","",NOTA[[#This Row],[JUMLAH]]*NOTA[[#This Row],[DISC 1]])</f>
        <v/>
      </c>
      <c r="Z974" s="151" t="str">
        <f>IF(NOTA[[#This Row],[JUMLAH]]="","",(NOTA[[#This Row],[JUMLAH]]-NOTA[[#This Row],[DISC 1-]])*NOTA[[#This Row],[DISC 2]])</f>
        <v/>
      </c>
      <c r="AA974" s="151" t="str">
        <f>IF(NOTA[[#This Row],[JUMLAH]]="","",NOTA[[#This Row],[DISC 1-]]+NOTA[[#This Row],[DISC 2-]])</f>
        <v/>
      </c>
      <c r="AB974" s="151" t="str">
        <f>IF(NOTA[[#This Row],[JUMLAH]]="","",NOTA[[#This Row],[JUMLAH]]-NOTA[[#This Row],[DISC]])</f>
        <v/>
      </c>
      <c r="AC97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4" s="151" t="str">
        <f>IF(OR(NOTA[[#This Row],[QTY]]="",NOTA[[#This Row],[HARGA SATUAN]]="",),"",NOTA[[#This Row],[QTY]]*NOTA[[#This Row],[HARGA SATUAN]])</f>
        <v/>
      </c>
      <c r="AG974" s="147" t="str">
        <f ca="1">IF(NOTA[ID_H]="","",INDEX(NOTA[TANGGAL],MATCH(,INDIRECT(ADDRESS(ROW(NOTA[TANGGAL]),COLUMN(NOTA[TANGGAL]))&amp;":"&amp;ADDRESS(ROW(),COLUMN(NOTA[TANGGAL]))),-1)))</f>
        <v/>
      </c>
      <c r="AH974" s="142" t="str">
        <f ca="1">IF(NOTA[[#This Row],[NAMA BARANG]]="","",INDEX(NOTA[SUPPLIER],MATCH(,INDIRECT(ADDRESS(ROW(NOTA[ID]),COLUMN(NOTA[ID]))&amp;":"&amp;ADDRESS(ROW(),COLUMN(NOTA[ID]))),-1)))</f>
        <v/>
      </c>
      <c r="AI974" s="142" t="str">
        <f ca="1">IF(NOTA[[#This Row],[ID_H]]="","",IF(NOTA[[#This Row],[FAKTUR]]="",INDIRECT(ADDRESS(ROW()-1,COLUMN())),NOTA[[#This Row],[FAKTUR]]))</f>
        <v/>
      </c>
      <c r="AJ974" s="38" t="str">
        <f ca="1">IF(NOTA[[#This Row],[ID]]="","",COUNTIF(NOTA[ID_H],NOTA[[#This Row],[ID_H]]))</f>
        <v/>
      </c>
      <c r="AK974" s="38" t="str">
        <f ca="1">IF(NOTA[[#This Row],[TGL.NOTA]]="",IF(NOTA[[#This Row],[SUPPLIER_H]]="","",AK973),MONTH(NOTA[[#This Row],[TGL.NOTA]]))</f>
        <v/>
      </c>
      <c r="AL974" s="38" t="str">
        <f>LOWER(SUBSTITUTE(SUBSTITUTE(SUBSTITUTE(SUBSTITUTE(SUBSTITUTE(SUBSTITUTE(SUBSTITUTE(SUBSTITUTE(SUBSTITUTE(NOTA[NAMA BARANG]," ",),".",""),"-",""),"(",""),")",""),",",""),"/",""),"""",""),"+",""))</f>
        <v/>
      </c>
      <c r="AM974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4" s="184" t="str">
        <f>IF(NOTA[[#This Row],[CONCAT1]]="","",MATCH(NOTA[[#This Row],[CONCAT1]],[1]!db[NB NOTA_C],0)+1)</f>
        <v/>
      </c>
    </row>
    <row r="975" spans="1:40" ht="20.100000000000001" customHeight="1" x14ac:dyDescent="0.25">
      <c r="A97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3" t="str">
        <f>IF(NOTA[[#This Row],[CEK_EXP]]&lt;D974,"err","")</f>
        <v/>
      </c>
      <c r="D975" s="143">
        <f>IF(NOTA[[#This Row],[TANGGAL]]="",D974,NOTA[[#This Row],[TANGGAL]])</f>
        <v>44959</v>
      </c>
      <c r="E975" s="143" t="str">
        <f ca="1">IF(NOTA[[#This Row],[NAMA BARANG]]="","",INDEX(NOTA[ID],MATCH(,INDIRECT(ADDRESS(ROW(NOTA[ID]),COLUMN(NOTA[ID]))&amp;":"&amp;ADDRESS(ROW(),COLUMN(NOTA[ID]))),-1)))</f>
        <v/>
      </c>
      <c r="F975" s="144"/>
      <c r="G975" s="145"/>
      <c r="H975" s="145"/>
      <c r="I975" s="146"/>
      <c r="J975" s="145"/>
      <c r="K975" s="147"/>
      <c r="L975" s="145"/>
      <c r="M975" s="145"/>
      <c r="N975" s="148"/>
      <c r="O975" s="145"/>
      <c r="P975" s="145"/>
      <c r="Q975" s="142"/>
      <c r="R975" s="149"/>
      <c r="S975" s="148"/>
      <c r="T975" s="150"/>
      <c r="U975" s="150"/>
      <c r="V975" s="151"/>
      <c r="W975" s="103"/>
      <c r="X975" s="151" t="str">
        <f>IF(NOTA[[#This Row],[HARGA/ CTN]]="",NOTA[[#This Row],[JUMLAH_H]],NOTA[[#This Row],[HARGA/ CTN]]*IF(NOTA[[#This Row],[C]]="",0,NOTA[[#This Row],[C]]))</f>
        <v/>
      </c>
      <c r="Y975" s="151" t="str">
        <f>IF(NOTA[[#This Row],[JUMLAH]]="","",NOTA[[#This Row],[JUMLAH]]*NOTA[[#This Row],[DISC 1]])</f>
        <v/>
      </c>
      <c r="Z975" s="151" t="str">
        <f>IF(NOTA[[#This Row],[JUMLAH]]="","",(NOTA[[#This Row],[JUMLAH]]-NOTA[[#This Row],[DISC 1-]])*NOTA[[#This Row],[DISC 2]])</f>
        <v/>
      </c>
      <c r="AA975" s="151" t="str">
        <f>IF(NOTA[[#This Row],[JUMLAH]]="","",NOTA[[#This Row],[DISC 1-]]+NOTA[[#This Row],[DISC 2-]])</f>
        <v/>
      </c>
      <c r="AB975" s="151" t="str">
        <f>IF(NOTA[[#This Row],[JUMLAH]]="","",NOTA[[#This Row],[JUMLAH]]-NOTA[[#This Row],[DISC]])</f>
        <v/>
      </c>
      <c r="AC97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151" t="str">
        <f>IF(OR(NOTA[[#This Row],[QTY]]="",NOTA[[#This Row],[HARGA SATUAN]]="",),"",NOTA[[#This Row],[QTY]]*NOTA[[#This Row],[HARGA SATUAN]])</f>
        <v/>
      </c>
      <c r="AG975" s="147" t="str">
        <f ca="1">IF(NOTA[ID_H]="","",INDEX(NOTA[TANGGAL],MATCH(,INDIRECT(ADDRESS(ROW(NOTA[TANGGAL]),COLUMN(NOTA[TANGGAL]))&amp;":"&amp;ADDRESS(ROW(),COLUMN(NOTA[TANGGAL]))),-1)))</f>
        <v/>
      </c>
      <c r="AH975" s="142" t="str">
        <f ca="1">IF(NOTA[[#This Row],[NAMA BARANG]]="","",INDEX(NOTA[SUPPLIER],MATCH(,INDIRECT(ADDRESS(ROW(NOTA[ID]),COLUMN(NOTA[ID]))&amp;":"&amp;ADDRESS(ROW(),COLUMN(NOTA[ID]))),-1)))</f>
        <v/>
      </c>
      <c r="AI975" s="142" t="str">
        <f ca="1">IF(NOTA[[#This Row],[ID_H]]="","",IF(NOTA[[#This Row],[FAKTUR]]="",INDIRECT(ADDRESS(ROW()-1,COLUMN())),NOTA[[#This Row],[FAKTUR]]))</f>
        <v/>
      </c>
      <c r="AJ975" s="38" t="str">
        <f ca="1">IF(NOTA[[#This Row],[ID]]="","",COUNTIF(NOTA[ID_H],NOTA[[#This Row],[ID_H]]))</f>
        <v/>
      </c>
      <c r="AK975" s="38" t="str">
        <f ca="1">IF(NOTA[[#This Row],[TGL.NOTA]]="",IF(NOTA[[#This Row],[SUPPLIER_H]]="","",AK974),MONTH(NOTA[[#This Row],[TGL.NOTA]]))</f>
        <v/>
      </c>
      <c r="AL975" s="38" t="str">
        <f>LOWER(SUBSTITUTE(SUBSTITUTE(SUBSTITUTE(SUBSTITUTE(SUBSTITUTE(SUBSTITUTE(SUBSTITUTE(SUBSTITUTE(SUBSTITUTE(NOTA[NAMA BARANG]," ",),".",""),"-",""),"(",""),")",""),",",""),"/",""),"""",""),"+",""))</f>
        <v/>
      </c>
      <c r="AM975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5" s="184" t="str">
        <f>IF(NOTA[[#This Row],[CONCAT1]]="","",MATCH(NOTA[[#This Row],[CONCAT1]],[1]!db[NB NOTA_C],0)+1)</f>
        <v/>
      </c>
    </row>
    <row r="976" spans="1:40" ht="20.100000000000001" customHeight="1" x14ac:dyDescent="0.25">
      <c r="A97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3" t="str">
        <f>IF(NOTA[[#This Row],[CEK_EXP]]&lt;D975,"err","")</f>
        <v/>
      </c>
      <c r="D976" s="143">
        <f>IF(NOTA[[#This Row],[TANGGAL]]="",D975,NOTA[[#This Row],[TANGGAL]])</f>
        <v>44959</v>
      </c>
      <c r="E976" s="143" t="str">
        <f ca="1">IF(NOTA[[#This Row],[NAMA BARANG]]="","",INDEX(NOTA[ID],MATCH(,INDIRECT(ADDRESS(ROW(NOTA[ID]),COLUMN(NOTA[ID]))&amp;":"&amp;ADDRESS(ROW(),COLUMN(NOTA[ID]))),-1)))</f>
        <v/>
      </c>
      <c r="F976" s="144"/>
      <c r="G976" s="145"/>
      <c r="H976" s="145"/>
      <c r="I976" s="146"/>
      <c r="J976" s="145"/>
      <c r="K976" s="147"/>
      <c r="L976" s="145"/>
      <c r="M976" s="38"/>
      <c r="N976" s="148"/>
      <c r="O976" s="145"/>
      <c r="P976" s="145"/>
      <c r="Q976" s="142"/>
      <c r="R976" s="149"/>
      <c r="S976" s="148"/>
      <c r="T976" s="150"/>
      <c r="U976" s="150"/>
      <c r="V976" s="151"/>
      <c r="W976" s="103"/>
      <c r="X976" s="151" t="str">
        <f>IF(NOTA[[#This Row],[HARGA/ CTN]]="",NOTA[[#This Row],[JUMLAH_H]],NOTA[[#This Row],[HARGA/ CTN]]*IF(NOTA[[#This Row],[C]]="",0,NOTA[[#This Row],[C]]))</f>
        <v/>
      </c>
      <c r="Y976" s="151" t="str">
        <f>IF(NOTA[[#This Row],[JUMLAH]]="","",NOTA[[#This Row],[JUMLAH]]*NOTA[[#This Row],[DISC 1]])</f>
        <v/>
      </c>
      <c r="Z976" s="151" t="str">
        <f>IF(NOTA[[#This Row],[JUMLAH]]="","",(NOTA[[#This Row],[JUMLAH]]-NOTA[[#This Row],[DISC 1-]])*NOTA[[#This Row],[DISC 2]])</f>
        <v/>
      </c>
      <c r="AA976" s="151" t="str">
        <f>IF(NOTA[[#This Row],[JUMLAH]]="","",NOTA[[#This Row],[DISC 1-]]+NOTA[[#This Row],[DISC 2-]])</f>
        <v/>
      </c>
      <c r="AB976" s="151" t="str">
        <f>IF(NOTA[[#This Row],[JUMLAH]]="","",NOTA[[#This Row],[JUMLAH]]-NOTA[[#This Row],[DISC]])</f>
        <v/>
      </c>
      <c r="AC97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6" s="151" t="str">
        <f>IF(OR(NOTA[[#This Row],[QTY]]="",NOTA[[#This Row],[HARGA SATUAN]]="",),"",NOTA[[#This Row],[QTY]]*NOTA[[#This Row],[HARGA SATUAN]])</f>
        <v/>
      </c>
      <c r="AG976" s="147" t="str">
        <f ca="1">IF(NOTA[ID_H]="","",INDEX(NOTA[TANGGAL],MATCH(,INDIRECT(ADDRESS(ROW(NOTA[TANGGAL]),COLUMN(NOTA[TANGGAL]))&amp;":"&amp;ADDRESS(ROW(),COLUMN(NOTA[TANGGAL]))),-1)))</f>
        <v/>
      </c>
      <c r="AH976" s="142" t="str">
        <f ca="1">IF(NOTA[[#This Row],[NAMA BARANG]]="","",INDEX(NOTA[SUPPLIER],MATCH(,INDIRECT(ADDRESS(ROW(NOTA[ID]),COLUMN(NOTA[ID]))&amp;":"&amp;ADDRESS(ROW(),COLUMN(NOTA[ID]))),-1)))</f>
        <v/>
      </c>
      <c r="AI976" s="142" t="str">
        <f ca="1">IF(NOTA[[#This Row],[ID_H]]="","",IF(NOTA[[#This Row],[FAKTUR]]="",INDIRECT(ADDRESS(ROW()-1,COLUMN())),NOTA[[#This Row],[FAKTUR]]))</f>
        <v/>
      </c>
      <c r="AJ976" s="38" t="str">
        <f ca="1">IF(NOTA[[#This Row],[ID]]="","",COUNTIF(NOTA[ID_H],NOTA[[#This Row],[ID_H]]))</f>
        <v/>
      </c>
      <c r="AK976" s="38" t="str">
        <f ca="1">IF(NOTA[[#This Row],[TGL.NOTA]]="",IF(NOTA[[#This Row],[SUPPLIER_H]]="","",AK975),MONTH(NOTA[[#This Row],[TGL.NOTA]]))</f>
        <v/>
      </c>
      <c r="AL976" s="38" t="str">
        <f>LOWER(SUBSTITUTE(SUBSTITUTE(SUBSTITUTE(SUBSTITUTE(SUBSTITUTE(SUBSTITUTE(SUBSTITUTE(SUBSTITUTE(SUBSTITUTE(NOTA[NAMA BARANG]," ",),".",""),"-",""),"(",""),")",""),",",""),"/",""),"""",""),"+",""))</f>
        <v/>
      </c>
      <c r="AM976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6" s="184" t="str">
        <f>IF(NOTA[[#This Row],[CONCAT1]]="","",MATCH(NOTA[[#This Row],[CONCAT1]],[1]!db[NB NOTA_C],0)+1)</f>
        <v/>
      </c>
    </row>
    <row r="977" spans="1:40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Row],[CEK_EXP]]&lt;D976,"err","")</f>
        <v/>
      </c>
      <c r="D977" s="92">
        <f>IF(NOTA[[#This Row],[TANGGAL]]="",D976,NOTA[[#This Row],[TANGGAL]])</f>
        <v>44959</v>
      </c>
      <c r="E977" s="92" t="str">
        <f ca="1">IF(NOTA[[#This Row],[NAMA BARANG]]="","",INDEX(NOTA[ID],MATCH(,INDIRECT(ADDRESS(ROW(NOTA[ID]),COLUMN(NOTA[ID]))&amp;":"&amp;ADDRESS(ROW(),COLUMN(NOTA[ID]))),-1)))</f>
        <v/>
      </c>
      <c r="F977" s="139"/>
      <c r="G977" s="38"/>
      <c r="H977" s="38"/>
      <c r="I977" s="79"/>
      <c r="J977" s="38"/>
      <c r="K977" s="78"/>
      <c r="L977" s="38"/>
      <c r="M977" s="38"/>
      <c r="N977" s="140"/>
      <c r="O977" s="38"/>
      <c r="P977" s="38"/>
      <c r="Q977" s="90"/>
      <c r="R977" s="105"/>
      <c r="S977" s="140"/>
      <c r="T977" s="141"/>
      <c r="U977" s="141"/>
      <c r="V977" s="66"/>
      <c r="W977" s="103"/>
      <c r="X977" s="66" t="str">
        <f>IF(NOTA[[#This Row],[HARGA/ CTN]]="",NOTA[[#This Row],[JUMLAH_H]],NOTA[[#This Row],[HARGA/ CTN]]*IF(NOTA[[#This Row],[C]]="",0,NOTA[[#This Row],[C]]))</f>
        <v/>
      </c>
      <c r="Y977" s="66" t="str">
        <f>IF(NOTA[[#This Row],[JUMLAH]]="","",NOTA[[#This Row],[JUMLAH]]*NOTA[[#This Row],[DISC 1]])</f>
        <v/>
      </c>
      <c r="Z977" s="66" t="str">
        <f>IF(NOTA[[#This Row],[JUMLAH]]="","",(NOTA[[#This Row],[JUMLAH]]-NOTA[[#This Row],[DISC 1-]])*NOTA[[#This Row],[DISC 2]])</f>
        <v/>
      </c>
      <c r="AA977" s="66" t="str">
        <f>IF(NOTA[[#This Row],[JUMLAH]]="","",NOTA[[#This Row],[DISC 1-]]+NOTA[[#This Row],[DISC 2-]])</f>
        <v/>
      </c>
      <c r="AB977" s="66" t="str">
        <f>IF(NOTA[[#This Row],[JUMLAH]]="","",NOTA[[#This Row],[JUMLAH]]-NOTA[[#This Row],[DISC]])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7" s="66" t="str">
        <f>IF(OR(NOTA[[#This Row],[QTY]]="",NOTA[[#This Row],[HARGA SATUAN]]="",),"",NOTA[[#This Row],[QTY]]*NOTA[[#This Row],[HARGA SATUAN]])</f>
        <v/>
      </c>
      <c r="AG977" s="78" t="str">
        <f ca="1">IF(NOTA[ID_H]="","",INDEX(NOTA[TANGGAL],MATCH(,INDIRECT(ADDRESS(ROW(NOTA[TANGGAL]),COLUMN(NOTA[TANGGAL]))&amp;":"&amp;ADDRESS(ROW(),COLUMN(NOTA[TANGGAL]))),-1)))</f>
        <v/>
      </c>
      <c r="AH977" s="90" t="str">
        <f ca="1">IF(NOTA[[#This Row],[NAMA BARANG]]="","",INDEX(NOTA[SUPPLIER],MATCH(,INDIRECT(ADDRESS(ROW(NOTA[ID]),COLUMN(NOTA[ID]))&amp;":"&amp;ADDRESS(ROW(),COLUMN(NOTA[ID]))),-1)))</f>
        <v/>
      </c>
      <c r="AI977" s="90" t="str">
        <f ca="1">IF(NOTA[[#This Row],[ID_H]]="","",IF(NOTA[[#This Row],[FAKTUR]]="",INDIRECT(ADDRESS(ROW()-1,COLUMN())),NOTA[[#This Row],[FAKTUR]]))</f>
        <v/>
      </c>
      <c r="AJ977" s="38" t="str">
        <f ca="1">IF(NOTA[[#This Row],[ID]]="","",COUNTIF(NOTA[ID_H],NOTA[[#This Row],[ID_H]]))</f>
        <v/>
      </c>
      <c r="AK977" s="38" t="str">
        <f ca="1">IF(NOTA[[#This Row],[TGL.NOTA]]="",IF(NOTA[[#This Row],[SUPPLIER_H]]="","",AK976),MONTH(NOTA[[#This Row],[TGL.NOTA]]))</f>
        <v/>
      </c>
      <c r="AL977" s="38" t="str">
        <f>LOWER(SUBSTITUTE(SUBSTITUTE(SUBSTITUTE(SUBSTITUTE(SUBSTITUTE(SUBSTITUTE(SUBSTITUTE(SUBSTITUTE(SUBSTITUTE(NOTA[NAMA BARANG]," ",),".",""),"-",""),"(",""),")",""),",",""),"/",""),"""",""),"+",""))</f>
        <v/>
      </c>
      <c r="AM977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7" s="184" t="str">
        <f>IF(NOTA[[#This Row],[CONCAT1]]="","",MATCH(NOTA[[#This Row],[CONCAT1]],[1]!db[NB NOTA_C],0)+1)</f>
        <v/>
      </c>
    </row>
    <row r="978" spans="1:40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Row],[CEK_EXP]]&lt;D977,"err","")</f>
        <v/>
      </c>
      <c r="D978" s="92">
        <f>IF(NOTA[[#This Row],[TANGGAL]]="",D977,NOTA[[#This Row],[TANGGAL]])</f>
        <v>44959</v>
      </c>
      <c r="E978" s="92" t="str">
        <f ca="1">IF(NOTA[[#This Row],[NAMA BARANG]]="","",INDEX(NOTA[ID],MATCH(,INDIRECT(ADDRESS(ROW(NOTA[ID]),COLUMN(NOTA[ID]))&amp;":"&amp;ADDRESS(ROW(),COLUMN(NOTA[ID]))),-1)))</f>
        <v/>
      </c>
      <c r="F978" s="139"/>
      <c r="G978" s="38"/>
      <c r="H978" s="38"/>
      <c r="I978" s="79"/>
      <c r="J978" s="38"/>
      <c r="K978" s="78"/>
      <c r="L978" s="38"/>
      <c r="M978" s="38"/>
      <c r="N978" s="140"/>
      <c r="O978" s="38"/>
      <c r="P978" s="38"/>
      <c r="Q978" s="90"/>
      <c r="R978" s="105"/>
      <c r="S978" s="140"/>
      <c r="T978" s="141"/>
      <c r="U978" s="141"/>
      <c r="V978" s="66"/>
      <c r="W978" s="103"/>
      <c r="X978" s="66" t="str">
        <f>IF(NOTA[[#This Row],[HARGA/ CTN]]="",NOTA[[#This Row],[JUMLAH_H]],NOTA[[#This Row],[HARGA/ CTN]]*IF(NOTA[[#This Row],[C]]="",0,NOTA[[#This Row],[C]]))</f>
        <v/>
      </c>
      <c r="Y978" s="66" t="str">
        <f>IF(NOTA[[#This Row],[JUMLAH]]="","",NOTA[[#This Row],[JUMLAH]]*NOTA[[#This Row],[DISC 1]])</f>
        <v/>
      </c>
      <c r="Z978" s="66" t="str">
        <f>IF(NOTA[[#This Row],[JUMLAH]]="","",(NOTA[[#This Row],[JUMLAH]]-NOTA[[#This Row],[DISC 1-]])*NOTA[[#This Row],[DISC 2]])</f>
        <v/>
      </c>
      <c r="AA978" s="66" t="str">
        <f>IF(NOTA[[#This Row],[JUMLAH]]="","",NOTA[[#This Row],[DISC 1-]]+NOTA[[#This Row],[DISC 2-]])</f>
        <v/>
      </c>
      <c r="AB978" s="66" t="str">
        <f>IF(NOTA[[#This Row],[JUMLAH]]="","",NOTA[[#This Row],[JUMLAH]]-NOTA[[#This Row],[DISC]])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8" s="66" t="str">
        <f>IF(OR(NOTA[[#This Row],[QTY]]="",NOTA[[#This Row],[HARGA SATUAN]]="",),"",NOTA[[#This Row],[QTY]]*NOTA[[#This Row],[HARGA SATUAN]])</f>
        <v/>
      </c>
      <c r="AG978" s="78" t="str">
        <f ca="1">IF(NOTA[ID_H]="","",INDEX(NOTA[TANGGAL],MATCH(,INDIRECT(ADDRESS(ROW(NOTA[TANGGAL]),COLUMN(NOTA[TANGGAL]))&amp;":"&amp;ADDRESS(ROW(),COLUMN(NOTA[TANGGAL]))),-1)))</f>
        <v/>
      </c>
      <c r="AH978" s="90" t="str">
        <f ca="1">IF(NOTA[[#This Row],[NAMA BARANG]]="","",INDEX(NOTA[SUPPLIER],MATCH(,INDIRECT(ADDRESS(ROW(NOTA[ID]),COLUMN(NOTA[ID]))&amp;":"&amp;ADDRESS(ROW(),COLUMN(NOTA[ID]))),-1)))</f>
        <v/>
      </c>
      <c r="AI978" s="90" t="str">
        <f ca="1">IF(NOTA[[#This Row],[ID_H]]="","",IF(NOTA[[#This Row],[FAKTUR]]="",INDIRECT(ADDRESS(ROW()-1,COLUMN())),NOTA[[#This Row],[FAKTUR]]))</f>
        <v/>
      </c>
      <c r="AJ978" s="38" t="str">
        <f ca="1">IF(NOTA[[#This Row],[ID]]="","",COUNTIF(NOTA[ID_H],NOTA[[#This Row],[ID_H]]))</f>
        <v/>
      </c>
      <c r="AK978" s="38" t="str">
        <f ca="1">IF(NOTA[[#This Row],[TGL.NOTA]]="",IF(NOTA[[#This Row],[SUPPLIER_H]]="","",AK977),MONTH(NOTA[[#This Row],[TGL.NOTA]]))</f>
        <v/>
      </c>
      <c r="AL978" s="38" t="str">
        <f>LOWER(SUBSTITUTE(SUBSTITUTE(SUBSTITUTE(SUBSTITUTE(SUBSTITUTE(SUBSTITUTE(SUBSTITUTE(SUBSTITUTE(SUBSTITUTE(NOTA[NAMA BARANG]," ",),".",""),"-",""),"(",""),")",""),",",""),"/",""),"""",""),"+",""))</f>
        <v/>
      </c>
      <c r="AM978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8" s="184" t="str">
        <f>IF(NOTA[[#This Row],[CONCAT1]]="","",MATCH(NOTA[[#This Row],[CONCAT1]],[1]!db[NB NOTA_C],0)+1)</f>
        <v/>
      </c>
    </row>
    <row r="979" spans="1:40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Row],[CEK_EXP]]&lt;D978,"err","")</f>
        <v/>
      </c>
      <c r="D979" s="92">
        <f>IF(NOTA[[#This Row],[TANGGAL]]="",D978,NOTA[[#This Row],[TANGGAL]])</f>
        <v>44959</v>
      </c>
      <c r="E979" s="92" t="str">
        <f ca="1">IF(NOTA[[#This Row],[NAMA BARANG]]="","",INDEX(NOTA[ID],MATCH(,INDIRECT(ADDRESS(ROW(NOTA[ID]),COLUMN(NOTA[ID]))&amp;":"&amp;ADDRESS(ROW(),COLUMN(NOTA[ID]))),-1)))</f>
        <v/>
      </c>
      <c r="F979" s="139"/>
      <c r="G979" s="38"/>
      <c r="H979" s="38"/>
      <c r="I979" s="79"/>
      <c r="J979" s="38"/>
      <c r="K979" s="78"/>
      <c r="L979" s="38"/>
      <c r="M979" s="38"/>
      <c r="N979" s="140"/>
      <c r="O979" s="38"/>
      <c r="P979" s="38"/>
      <c r="Q979" s="90"/>
      <c r="R979" s="105"/>
      <c r="S979" s="140"/>
      <c r="T979" s="141"/>
      <c r="U979" s="141"/>
      <c r="V979" s="66"/>
      <c r="W979" s="103"/>
      <c r="X979" s="66" t="str">
        <f>IF(NOTA[[#This Row],[HARGA/ CTN]]="",NOTA[[#This Row],[JUMLAH_H]],NOTA[[#This Row],[HARGA/ CTN]]*IF(NOTA[[#This Row],[C]]="",0,NOTA[[#This Row],[C]]))</f>
        <v/>
      </c>
      <c r="Y979" s="66" t="str">
        <f>IF(NOTA[[#This Row],[JUMLAH]]="","",NOTA[[#This Row],[JUMLAH]]*NOTA[[#This Row],[DISC 1]])</f>
        <v/>
      </c>
      <c r="Z979" s="66" t="str">
        <f>IF(NOTA[[#This Row],[JUMLAH]]="","",(NOTA[[#This Row],[JUMLAH]]-NOTA[[#This Row],[DISC 1-]])*NOTA[[#This Row],[DISC 2]])</f>
        <v/>
      </c>
      <c r="AA979" s="66" t="str">
        <f>IF(NOTA[[#This Row],[JUMLAH]]="","",NOTA[[#This Row],[DISC 1-]]+NOTA[[#This Row],[DISC 2-]])</f>
        <v/>
      </c>
      <c r="AB979" s="66" t="str">
        <f>IF(NOTA[[#This Row],[JUMLAH]]="","",NOTA[[#This Row],[JUMLAH]]-NOTA[[#This Row],[DISC]])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9" s="66" t="str">
        <f>IF(OR(NOTA[[#This Row],[QTY]]="",NOTA[[#This Row],[HARGA SATUAN]]="",),"",NOTA[[#This Row],[QTY]]*NOTA[[#This Row],[HARGA SATUAN]])</f>
        <v/>
      </c>
      <c r="AG979" s="78" t="str">
        <f ca="1">IF(NOTA[ID_H]="","",INDEX(NOTA[TANGGAL],MATCH(,INDIRECT(ADDRESS(ROW(NOTA[TANGGAL]),COLUMN(NOTA[TANGGAL]))&amp;":"&amp;ADDRESS(ROW(),COLUMN(NOTA[TANGGAL]))),-1)))</f>
        <v/>
      </c>
      <c r="AH979" s="90" t="str">
        <f ca="1">IF(NOTA[[#This Row],[NAMA BARANG]]="","",INDEX(NOTA[SUPPLIER],MATCH(,INDIRECT(ADDRESS(ROW(NOTA[ID]),COLUMN(NOTA[ID]))&amp;":"&amp;ADDRESS(ROW(),COLUMN(NOTA[ID]))),-1)))</f>
        <v/>
      </c>
      <c r="AI979" s="90" t="str">
        <f ca="1">IF(NOTA[[#This Row],[ID_H]]="","",IF(NOTA[[#This Row],[FAKTUR]]="",INDIRECT(ADDRESS(ROW()-1,COLUMN())),NOTA[[#This Row],[FAKTUR]]))</f>
        <v/>
      </c>
      <c r="AJ979" s="38" t="str">
        <f ca="1">IF(NOTA[[#This Row],[ID]]="","",COUNTIF(NOTA[ID_H],NOTA[[#This Row],[ID_H]]))</f>
        <v/>
      </c>
      <c r="AK979" s="38" t="str">
        <f ca="1">IF(NOTA[[#This Row],[TGL.NOTA]]="",IF(NOTA[[#This Row],[SUPPLIER_H]]="","",AK978),MONTH(NOTA[[#This Row],[TGL.NOTA]]))</f>
        <v/>
      </c>
      <c r="AL979" s="38" t="str">
        <f>LOWER(SUBSTITUTE(SUBSTITUTE(SUBSTITUTE(SUBSTITUTE(SUBSTITUTE(SUBSTITUTE(SUBSTITUTE(SUBSTITUTE(SUBSTITUTE(NOTA[NAMA BARANG]," ",),".",""),"-",""),"(",""),")",""),",",""),"/",""),"""",""),"+",""))</f>
        <v/>
      </c>
      <c r="AM979" s="38" t="str">
        <f>IF(NOTA[C]="",NOTA[[#This Row],[CONCAT1]]&amp;NOTA[[#This Row],[HARGA SATUAN]],NOTA[[#This Row],[CONCAT1]]&amp;NOTA[[#This Row],[HARGA/ CTN_H]]&amp;NOTA[[#This Row],[DISC 1]]&amp;NOTA[[#This Row],[DISC 2]])</f>
        <v/>
      </c>
      <c r="AN979" s="184" t="str">
        <f>IF(NOTA[[#This Row],[CONCAT1]]="","",MATCH(NOTA[[#This Row],[CONCAT1]],[1]!db[NB NOTA_C],0)+1)</f>
        <v/>
      </c>
    </row>
  </sheetData>
  <conditionalFormatting sqref="B980:D1048576 B1:D2 B3:C979">
    <cfRule type="duplicateValues" dxfId="246" priority="24"/>
    <cfRule type="duplicateValues" dxfId="245" priority="25"/>
  </conditionalFormatting>
  <conditionalFormatting sqref="B1:C1048576">
    <cfRule type="duplicateValues" dxfId="244" priority="22"/>
  </conditionalFormatting>
  <conditionalFormatting sqref="I31 I60:I61">
    <cfRule type="duplicateValues" dxfId="243" priority="15"/>
  </conditionalFormatting>
  <conditionalFormatting sqref="I52:I54">
    <cfRule type="duplicateValues" dxfId="242" priority="11"/>
  </conditionalFormatting>
  <conditionalFormatting sqref="I56 I20">
    <cfRule type="duplicateValues" dxfId="241" priority="565"/>
  </conditionalFormatting>
  <conditionalFormatting sqref="I44:I50">
    <cfRule type="duplicateValues" dxfId="240" priority="9"/>
  </conditionalFormatting>
  <conditionalFormatting sqref="I12">
    <cfRule type="duplicateValues" dxfId="239" priority="8"/>
  </conditionalFormatting>
  <conditionalFormatting sqref="I14:I16">
    <cfRule type="duplicateValues" dxfId="238" priority="7"/>
  </conditionalFormatting>
  <conditionalFormatting sqref="I329:I340">
    <cfRule type="duplicateValues" dxfId="237" priority="5"/>
  </conditionalFormatting>
  <conditionalFormatting sqref="I17:I18">
    <cfRule type="duplicateValues" dxfId="236" priority="980"/>
  </conditionalFormatting>
  <conditionalFormatting sqref="I3:I11 I13">
    <cfRule type="duplicateValues" dxfId="235" priority="981"/>
  </conditionalFormatting>
  <conditionalFormatting sqref="I19">
    <cfRule type="duplicateValues" dxfId="234" priority="4"/>
  </conditionalFormatting>
  <conditionalFormatting sqref="M19">
    <cfRule type="duplicateValues" dxfId="233" priority="3"/>
  </conditionalFormatting>
  <conditionalFormatting sqref="M661">
    <cfRule type="duplicateValues" dxfId="232" priority="1"/>
  </conditionalFormatting>
  <conditionalFormatting sqref="B3:C979">
    <cfRule type="duplicateValues" dxfId="231" priority="1229"/>
  </conditionalFormatting>
  <conditionalFormatting sqref="I3:I979">
    <cfRule type="duplicateValues" dxfId="230" priority="1231"/>
  </conditionalFormatting>
  <conditionalFormatting sqref="I689:I693 J178 J74 I1:I2 I465:I473 I407:I433 I62:I66 I51 I55 I57:I59 I179:I219 I475:I528 I530:I687 I21:I30 I260:I323 I325:I328 I341:I405 I32:I43 I68:I73 I221:I249 I75:I177 I253:I258 I695:I1048576">
    <cfRule type="duplicateValues" dxfId="229" priority="124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EXP\BARU\2023\01 JAN\[NOTA 01 JAN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44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HYPERLINK("[NOTA_.xlsx]PAJAK!b"&amp;LIE[[#This Row],[//PAJAK]],IF(LIE[[#This Row],[//PAJAK]]="","",INDEX(INDIRECT("PAJAK["&amp;LIE[#Headers]&amp;"]"),LIE[[#This Row],[//PAJAK]]-1)))</f>
        <v>9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44931</v>
      </c>
      <c r="F3" s="2">
        <f ca="1">IF(LIE[[#This Row],[//PAJAK]]="","",INDEX(INDIRECT("PAJAK["&amp;LIE[#Headers]&amp;"]"),LIE[[#This Row],[//PAJAK]]-1))</f>
        <v>44928</v>
      </c>
      <c r="G3" s="25" t="str">
        <f ca="1">IF(LIE[[#This Row],[//PAJAK]]="","",INDEX(INDIRECT("PAJAK["&amp;LIE[#Headers]&amp;"]"),LIE[[#This Row],[//PAJAK]]-1))</f>
        <v>005341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K4" sqref="K4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EXP\BARU\2023\01 JAN\[NOTA 01 JAN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72</v>
      </c>
      <c r="C3" s="12">
        <f ca="1">HYPERLINK("[NOTA_.xlsx]PAJAK!b"&amp;LMA[[#This Row],[//PAJAK]],IF(LMA[[#This Row],[//PAJAK]]="","",INDEX(INDIRECT("PAJAK["&amp;LMA[#Headers]&amp;"]"),LMA[[#This Row],[//PAJAK]]-1)))</f>
        <v>161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44958</v>
      </c>
      <c r="F3" s="2">
        <f ca="1">IF(LMA[[#This Row],[//PAJAK]]="","",INDEX(INDIRECT("PAJAK["&amp;LMA[#Headers]&amp;"]"),LMA[[#This Row],[//PAJAK]]-1))</f>
        <v>44956</v>
      </c>
      <c r="G3" s="7" t="str">
        <f ca="1">IF(LMA[[#This Row],[//PAJAK]]="","",INDEX(INDIRECT("PAJAK["&amp;LMA[#Headers]&amp;"]"),LMA[[#This Row],[//PAJAK]]-1))</f>
        <v>LMA 2023-01-160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35328000.003300004</v>
      </c>
      <c r="J3" s="1">
        <f ca="1">IF(LMA[[#This Row],[//PAJAK]]="","",INDEX(PAJAK[DISC DLL],LMA[[#This Row],[//PAJAK]]-1))</f>
        <v>409.77</v>
      </c>
      <c r="K3" s="1">
        <f ca="1">((LMA[[#This Row],[SUB TOTAL]]-LMA[[#This Row],[DISKON]])/1.11)</f>
        <v>31826657.867837835</v>
      </c>
      <c r="L3" s="1">
        <f ca="1">LMA[[#This Row],[DPP]]*11%</f>
        <v>3500932.3654621621</v>
      </c>
      <c r="M3" s="1">
        <f ca="1">LMA[[#This Row],[DPP]]+LMA[[#This Row],[PPN (11%)]]</f>
        <v>35327590.2333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((LMA[[#This Row],[SUB TOTAL]]-LMA[[#This Row],[DISKON]])/1.11)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((LMA[[#This Row],[SUB TOTAL]]-LMA[[#This Row],[DISKON]])/1.11)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((LMA[[#This Row],[SUB TOTAL]]-LMA[[#This Row],[DISKON]])/1.11)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((LMA[[#This Row],[SUB TOTAL]]-LMA[[#This Row],[DISKON]])/1.11)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((LMA[[#This Row],[SUB TOTAL]]-LMA[[#This Row],[DISKON]])/1.11)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topLeftCell="A253" workbookViewId="0">
      <selection activeCell="B35" sqref="B35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164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859</v>
      </c>
      <c r="D2" t="s">
        <v>23</v>
      </c>
      <c r="E2" t="s">
        <v>60</v>
      </c>
      <c r="F2" t="s">
        <v>70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33</v>
      </c>
    </row>
    <row r="4" spans="1:7" x14ac:dyDescent="0.25">
      <c r="A4" t="s">
        <v>35</v>
      </c>
      <c r="B4">
        <f>COUNTIF(NOTA[FAKTUR],NM_FAKTUR)</f>
        <v>74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5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1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1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2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1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1</v>
      </c>
    </row>
    <row r="14" spans="1:7" x14ac:dyDescent="0.25">
      <c r="A14" s="183" t="s">
        <v>260</v>
      </c>
      <c r="B14" t="s">
        <v>24</v>
      </c>
    </row>
    <row r="16" spans="1:7" x14ac:dyDescent="0.25">
      <c r="A16" s="183" t="s">
        <v>258</v>
      </c>
      <c r="B16" t="s">
        <v>261</v>
      </c>
    </row>
    <row r="17" spans="1:2" x14ac:dyDescent="0.25">
      <c r="A17" s="4" t="s">
        <v>137</v>
      </c>
      <c r="B17" s="3"/>
    </row>
    <row r="18" spans="1:2" x14ac:dyDescent="0.25">
      <c r="A18" s="4" t="s">
        <v>148</v>
      </c>
      <c r="B18" s="3">
        <v>6</v>
      </c>
    </row>
    <row r="19" spans="1:2" x14ac:dyDescent="0.25">
      <c r="A19" s="4" t="s">
        <v>134</v>
      </c>
      <c r="B19" s="3">
        <v>8</v>
      </c>
    </row>
    <row r="20" spans="1:2" x14ac:dyDescent="0.25">
      <c r="A20" s="4" t="s">
        <v>140</v>
      </c>
      <c r="B20" s="3">
        <v>1</v>
      </c>
    </row>
    <row r="21" spans="1:2" x14ac:dyDescent="0.25">
      <c r="A21" s="4" t="s">
        <v>138</v>
      </c>
      <c r="B21" s="3">
        <v>16</v>
      </c>
    </row>
    <row r="22" spans="1:2" x14ac:dyDescent="0.25">
      <c r="A22" s="4" t="s">
        <v>167</v>
      </c>
      <c r="B22" s="3">
        <v>3</v>
      </c>
    </row>
    <row r="23" spans="1:2" x14ac:dyDescent="0.25">
      <c r="A23" s="4" t="s">
        <v>120</v>
      </c>
      <c r="B23" s="3">
        <v>7</v>
      </c>
    </row>
    <row r="24" spans="1:2" x14ac:dyDescent="0.25">
      <c r="A24" s="4" t="s">
        <v>125</v>
      </c>
      <c r="B24" s="3">
        <v>2</v>
      </c>
    </row>
    <row r="25" spans="1:2" x14ac:dyDescent="0.25">
      <c r="A25" s="4" t="s">
        <v>142</v>
      </c>
      <c r="B25" s="3">
        <v>2</v>
      </c>
    </row>
    <row r="26" spans="1:2" x14ac:dyDescent="0.25">
      <c r="A26" s="4" t="s">
        <v>143</v>
      </c>
      <c r="B26" s="3">
        <v>1</v>
      </c>
    </row>
    <row r="27" spans="1:2" x14ac:dyDescent="0.25">
      <c r="A27" s="4" t="s">
        <v>166</v>
      </c>
      <c r="B27" s="3">
        <v>17</v>
      </c>
    </row>
    <row r="28" spans="1:2" x14ac:dyDescent="0.25">
      <c r="A28" s="4" t="s">
        <v>165</v>
      </c>
      <c r="B28" s="3">
        <v>4</v>
      </c>
    </row>
    <row r="29" spans="1:2" x14ac:dyDescent="0.25">
      <c r="A29" s="4" t="s">
        <v>158</v>
      </c>
      <c r="B29" s="3">
        <v>1</v>
      </c>
    </row>
    <row r="30" spans="1:2" x14ac:dyDescent="0.25">
      <c r="A30" s="4" t="s">
        <v>160</v>
      </c>
      <c r="B30" s="3">
        <v>13</v>
      </c>
    </row>
    <row r="31" spans="1:2" x14ac:dyDescent="0.25">
      <c r="A31" s="4" t="s">
        <v>163</v>
      </c>
      <c r="B31" s="3">
        <v>2</v>
      </c>
    </row>
    <row r="32" spans="1:2" x14ac:dyDescent="0.25">
      <c r="A32" s="4" t="s">
        <v>164</v>
      </c>
      <c r="B32" s="3">
        <v>12</v>
      </c>
    </row>
    <row r="33" spans="1:2" x14ac:dyDescent="0.25">
      <c r="A33" s="4" t="s">
        <v>159</v>
      </c>
      <c r="B33" s="3">
        <v>1</v>
      </c>
    </row>
    <row r="34" spans="1:2" x14ac:dyDescent="0.25">
      <c r="A34" s="4" t="s">
        <v>161</v>
      </c>
      <c r="B34" s="3">
        <v>2</v>
      </c>
    </row>
    <row r="35" spans="1:2" x14ac:dyDescent="0.25">
      <c r="A35" s="4" t="s">
        <v>127</v>
      </c>
      <c r="B35" s="3">
        <v>21</v>
      </c>
    </row>
    <row r="36" spans="1:2" x14ac:dyDescent="0.25">
      <c r="A36" s="4" t="s">
        <v>135</v>
      </c>
      <c r="B36" s="3">
        <v>8</v>
      </c>
    </row>
    <row r="37" spans="1:2" x14ac:dyDescent="0.25">
      <c r="A37" s="4" t="s">
        <v>151</v>
      </c>
      <c r="B37" s="3">
        <v>6</v>
      </c>
    </row>
    <row r="38" spans="1:2" x14ac:dyDescent="0.25">
      <c r="A38" s="4" t="s">
        <v>152</v>
      </c>
      <c r="B38" s="3">
        <v>6</v>
      </c>
    </row>
    <row r="39" spans="1:2" x14ac:dyDescent="0.25">
      <c r="A39" s="4" t="s">
        <v>153</v>
      </c>
      <c r="B39" s="3">
        <v>7</v>
      </c>
    </row>
    <row r="40" spans="1:2" x14ac:dyDescent="0.25">
      <c r="A40" s="4" t="s">
        <v>154</v>
      </c>
      <c r="B40" s="3">
        <v>4</v>
      </c>
    </row>
    <row r="41" spans="1:2" x14ac:dyDescent="0.25">
      <c r="A41" s="4" t="s">
        <v>263</v>
      </c>
      <c r="B41" s="3">
        <v>2</v>
      </c>
    </row>
    <row r="42" spans="1:2" x14ac:dyDescent="0.25">
      <c r="A42" s="4" t="s">
        <v>265</v>
      </c>
      <c r="B42" s="3">
        <v>1</v>
      </c>
    </row>
    <row r="43" spans="1:2" x14ac:dyDescent="0.25">
      <c r="A43" s="4" t="s">
        <v>268</v>
      </c>
      <c r="B43" s="3">
        <v>3</v>
      </c>
    </row>
    <row r="44" spans="1:2" x14ac:dyDescent="0.25">
      <c r="A44" s="4" t="s">
        <v>269</v>
      </c>
      <c r="B44" s="3">
        <v>6</v>
      </c>
    </row>
    <row r="45" spans="1:2" x14ac:dyDescent="0.25">
      <c r="A45" s="4" t="s">
        <v>270</v>
      </c>
      <c r="B45" s="3">
        <v>11</v>
      </c>
    </row>
    <row r="46" spans="1:2" x14ac:dyDescent="0.25">
      <c r="A46" s="4" t="s">
        <v>291</v>
      </c>
      <c r="B46" s="3">
        <v>6</v>
      </c>
    </row>
    <row r="47" spans="1:2" x14ac:dyDescent="0.25">
      <c r="A47" s="4" t="s">
        <v>272</v>
      </c>
      <c r="B47" s="3">
        <v>6</v>
      </c>
    </row>
    <row r="48" spans="1:2" x14ac:dyDescent="0.25">
      <c r="A48" s="4" t="s">
        <v>273</v>
      </c>
      <c r="B48" s="3">
        <v>3</v>
      </c>
    </row>
    <row r="49" spans="1:2" x14ac:dyDescent="0.25">
      <c r="A49" s="4" t="s">
        <v>275</v>
      </c>
      <c r="B49" s="3"/>
    </row>
    <row r="50" spans="1:2" x14ac:dyDescent="0.25">
      <c r="A50" s="4" t="s">
        <v>278</v>
      </c>
      <c r="B50" s="3">
        <v>23</v>
      </c>
    </row>
    <row r="51" spans="1:2" x14ac:dyDescent="0.25">
      <c r="A51" s="4" t="s">
        <v>280</v>
      </c>
      <c r="B51" s="3">
        <v>22</v>
      </c>
    </row>
    <row r="52" spans="1:2" x14ac:dyDescent="0.25">
      <c r="A52" s="4" t="s">
        <v>283</v>
      </c>
      <c r="B52" s="3">
        <v>13</v>
      </c>
    </row>
    <row r="53" spans="1:2" x14ac:dyDescent="0.25">
      <c r="A53" s="4" t="s">
        <v>284</v>
      </c>
      <c r="B53" s="3">
        <v>8</v>
      </c>
    </row>
    <row r="54" spans="1:2" x14ac:dyDescent="0.25">
      <c r="A54" s="4" t="s">
        <v>335</v>
      </c>
      <c r="B54" s="3">
        <v>12</v>
      </c>
    </row>
    <row r="55" spans="1:2" x14ac:dyDescent="0.25">
      <c r="A55" s="4" t="s">
        <v>336</v>
      </c>
      <c r="B55" s="3">
        <v>15</v>
      </c>
    </row>
    <row r="56" spans="1:2" x14ac:dyDescent="0.25">
      <c r="A56" s="4" t="s">
        <v>337</v>
      </c>
      <c r="B56" s="3">
        <v>4</v>
      </c>
    </row>
    <row r="57" spans="1:2" x14ac:dyDescent="0.25">
      <c r="A57" s="4" t="s">
        <v>414</v>
      </c>
      <c r="B57" s="3">
        <v>3</v>
      </c>
    </row>
    <row r="58" spans="1:2" x14ac:dyDescent="0.25">
      <c r="A58" s="4" t="s">
        <v>338</v>
      </c>
      <c r="B58" s="3">
        <v>2</v>
      </c>
    </row>
    <row r="59" spans="1:2" x14ac:dyDescent="0.25">
      <c r="A59" s="4" t="s">
        <v>340</v>
      </c>
      <c r="B59" s="3">
        <v>4</v>
      </c>
    </row>
    <row r="60" spans="1:2" x14ac:dyDescent="0.25">
      <c r="A60" s="4" t="s">
        <v>341</v>
      </c>
      <c r="B60" s="3">
        <v>1</v>
      </c>
    </row>
    <row r="61" spans="1:2" x14ac:dyDescent="0.25">
      <c r="A61" s="4" t="s">
        <v>342</v>
      </c>
      <c r="B61" s="3">
        <v>3</v>
      </c>
    </row>
    <row r="62" spans="1:2" x14ac:dyDescent="0.25">
      <c r="A62" s="4" t="s">
        <v>343</v>
      </c>
      <c r="B62" s="3">
        <v>1</v>
      </c>
    </row>
    <row r="63" spans="1:2" x14ac:dyDescent="0.25">
      <c r="A63" s="4" t="s">
        <v>344</v>
      </c>
      <c r="B63" s="3">
        <v>1</v>
      </c>
    </row>
    <row r="64" spans="1:2" x14ac:dyDescent="0.25">
      <c r="A64" s="4" t="s">
        <v>345</v>
      </c>
      <c r="B64" s="3">
        <v>6</v>
      </c>
    </row>
    <row r="65" spans="1:2" x14ac:dyDescent="0.25">
      <c r="A65" s="4" t="s">
        <v>385</v>
      </c>
      <c r="B65" s="3">
        <v>5</v>
      </c>
    </row>
    <row r="66" spans="1:2" x14ac:dyDescent="0.25">
      <c r="A66" s="4" t="s">
        <v>347</v>
      </c>
      <c r="B66" s="3">
        <v>1</v>
      </c>
    </row>
    <row r="67" spans="1:2" x14ac:dyDescent="0.25">
      <c r="A67" s="4" t="s">
        <v>348</v>
      </c>
      <c r="B67" s="3">
        <v>1</v>
      </c>
    </row>
    <row r="68" spans="1:2" x14ac:dyDescent="0.25">
      <c r="A68" s="4" t="s">
        <v>349</v>
      </c>
      <c r="B68" s="3">
        <v>2</v>
      </c>
    </row>
    <row r="69" spans="1:2" x14ac:dyDescent="0.25">
      <c r="A69" s="4" t="s">
        <v>350</v>
      </c>
      <c r="B69" s="3">
        <v>3</v>
      </c>
    </row>
    <row r="70" spans="1:2" x14ac:dyDescent="0.25">
      <c r="A70" s="4" t="s">
        <v>351</v>
      </c>
      <c r="B70" s="3">
        <v>7</v>
      </c>
    </row>
    <row r="71" spans="1:2" x14ac:dyDescent="0.25">
      <c r="A71" s="4" t="s">
        <v>352</v>
      </c>
      <c r="B71" s="3">
        <v>2</v>
      </c>
    </row>
    <row r="72" spans="1:2" x14ac:dyDescent="0.25">
      <c r="A72" s="4" t="s">
        <v>354</v>
      </c>
      <c r="B72" s="3">
        <v>2</v>
      </c>
    </row>
    <row r="73" spans="1:2" x14ac:dyDescent="0.25">
      <c r="A73" s="4" t="s">
        <v>355</v>
      </c>
      <c r="B73" s="3">
        <v>3</v>
      </c>
    </row>
    <row r="74" spans="1:2" x14ac:dyDescent="0.25">
      <c r="A74" s="4" t="s">
        <v>356</v>
      </c>
      <c r="B74" s="3">
        <v>2</v>
      </c>
    </row>
    <row r="75" spans="1:2" x14ac:dyDescent="0.25">
      <c r="A75" s="4" t="s">
        <v>357</v>
      </c>
      <c r="B75" s="3">
        <v>8</v>
      </c>
    </row>
    <row r="76" spans="1:2" x14ac:dyDescent="0.25">
      <c r="A76" s="4" t="s">
        <v>358</v>
      </c>
      <c r="B76" s="3">
        <v>1</v>
      </c>
    </row>
    <row r="77" spans="1:2" x14ac:dyDescent="0.25">
      <c r="A77" s="4" t="s">
        <v>359</v>
      </c>
      <c r="B77" s="3">
        <v>1</v>
      </c>
    </row>
    <row r="78" spans="1:2" x14ac:dyDescent="0.25">
      <c r="A78" s="4" t="s">
        <v>360</v>
      </c>
      <c r="B78" s="3">
        <v>1</v>
      </c>
    </row>
    <row r="79" spans="1:2" x14ac:dyDescent="0.25">
      <c r="A79" s="4" t="s">
        <v>384</v>
      </c>
      <c r="B79" s="3">
        <v>2</v>
      </c>
    </row>
    <row r="80" spans="1:2" x14ac:dyDescent="0.25">
      <c r="A80" s="4" t="s">
        <v>412</v>
      </c>
      <c r="B80" s="3">
        <v>2</v>
      </c>
    </row>
    <row r="81" spans="1:2" x14ac:dyDescent="0.25">
      <c r="A81" s="4" t="s">
        <v>413</v>
      </c>
      <c r="B81" s="3">
        <v>5</v>
      </c>
    </row>
    <row r="82" spans="1:2" x14ac:dyDescent="0.25">
      <c r="A82" s="4" t="s">
        <v>390</v>
      </c>
      <c r="B82" s="3">
        <v>1</v>
      </c>
    </row>
    <row r="83" spans="1:2" x14ac:dyDescent="0.25">
      <c r="A83" s="4" t="s">
        <v>391</v>
      </c>
      <c r="B83" s="3">
        <v>1</v>
      </c>
    </row>
    <row r="84" spans="1:2" x14ac:dyDescent="0.25">
      <c r="A84" s="4" t="s">
        <v>392</v>
      </c>
      <c r="B84" s="3">
        <v>1</v>
      </c>
    </row>
    <row r="85" spans="1:2" x14ac:dyDescent="0.25">
      <c r="A85" s="4" t="s">
        <v>393</v>
      </c>
      <c r="B85" s="3">
        <v>1</v>
      </c>
    </row>
    <row r="86" spans="1:2" x14ac:dyDescent="0.25">
      <c r="A86" s="4" t="s">
        <v>394</v>
      </c>
      <c r="B86" s="3">
        <v>1</v>
      </c>
    </row>
    <row r="87" spans="1:2" x14ac:dyDescent="0.25">
      <c r="A87" s="4" t="s">
        <v>396</v>
      </c>
      <c r="B87" s="3">
        <v>9</v>
      </c>
    </row>
    <row r="88" spans="1:2" x14ac:dyDescent="0.25">
      <c r="A88" s="4" t="s">
        <v>397</v>
      </c>
      <c r="B88" s="3">
        <v>6</v>
      </c>
    </row>
    <row r="89" spans="1:2" x14ac:dyDescent="0.25">
      <c r="A89" s="4" t="s">
        <v>400</v>
      </c>
      <c r="B89" s="3">
        <v>1</v>
      </c>
    </row>
    <row r="90" spans="1:2" x14ac:dyDescent="0.25">
      <c r="A90" s="4" t="s">
        <v>401</v>
      </c>
      <c r="B90" s="3">
        <v>1</v>
      </c>
    </row>
    <row r="91" spans="1:2" x14ac:dyDescent="0.25">
      <c r="A91" s="4" t="s">
        <v>402</v>
      </c>
      <c r="B91" s="3">
        <v>1</v>
      </c>
    </row>
    <row r="92" spans="1:2" x14ac:dyDescent="0.25">
      <c r="A92" s="4" t="s">
        <v>403</v>
      </c>
      <c r="B92" s="3">
        <v>1</v>
      </c>
    </row>
    <row r="93" spans="1:2" x14ac:dyDescent="0.25">
      <c r="A93" s="4" t="s">
        <v>404</v>
      </c>
      <c r="B93" s="3">
        <v>1</v>
      </c>
    </row>
    <row r="94" spans="1:2" x14ac:dyDescent="0.25">
      <c r="A94" s="4" t="s">
        <v>405</v>
      </c>
      <c r="B94" s="3">
        <v>35</v>
      </c>
    </row>
    <row r="95" spans="1:2" x14ac:dyDescent="0.25">
      <c r="A95" s="4" t="s">
        <v>419</v>
      </c>
      <c r="B95" s="3">
        <v>1</v>
      </c>
    </row>
    <row r="96" spans="1:2" x14ac:dyDescent="0.25">
      <c r="A96" s="4" t="s">
        <v>420</v>
      </c>
      <c r="B96" s="3">
        <v>1</v>
      </c>
    </row>
    <row r="97" spans="1:2" x14ac:dyDescent="0.25">
      <c r="A97" s="4" t="s">
        <v>459</v>
      </c>
      <c r="B97" s="3">
        <v>1</v>
      </c>
    </row>
    <row r="98" spans="1:2" x14ac:dyDescent="0.25">
      <c r="A98" s="4" t="s">
        <v>423</v>
      </c>
      <c r="B98" s="3">
        <v>7</v>
      </c>
    </row>
    <row r="99" spans="1:2" x14ac:dyDescent="0.25">
      <c r="A99" s="4" t="s">
        <v>426</v>
      </c>
      <c r="B99" s="3">
        <v>6</v>
      </c>
    </row>
    <row r="100" spans="1:2" x14ac:dyDescent="0.25">
      <c r="A100" s="4" t="s">
        <v>428</v>
      </c>
      <c r="B100" s="3">
        <v>24</v>
      </c>
    </row>
    <row r="101" spans="1:2" x14ac:dyDescent="0.25">
      <c r="A101" s="4" t="s">
        <v>429</v>
      </c>
      <c r="B101" s="3">
        <v>7</v>
      </c>
    </row>
    <row r="102" spans="1:2" x14ac:dyDescent="0.25">
      <c r="A102" s="4" t="s">
        <v>430</v>
      </c>
      <c r="B102" s="3">
        <v>1</v>
      </c>
    </row>
    <row r="103" spans="1:2" x14ac:dyDescent="0.25">
      <c r="A103" s="4" t="s">
        <v>431</v>
      </c>
      <c r="B103" s="3">
        <v>1</v>
      </c>
    </row>
    <row r="104" spans="1:2" x14ac:dyDescent="0.25">
      <c r="A104" s="4" t="s">
        <v>434</v>
      </c>
      <c r="B104" s="3">
        <v>1</v>
      </c>
    </row>
    <row r="105" spans="1:2" x14ac:dyDescent="0.25">
      <c r="A105" s="4" t="s">
        <v>435</v>
      </c>
      <c r="B105" s="3">
        <v>7</v>
      </c>
    </row>
    <row r="106" spans="1:2" x14ac:dyDescent="0.25">
      <c r="A106" s="4" t="s">
        <v>437</v>
      </c>
      <c r="B106" s="3">
        <v>1</v>
      </c>
    </row>
    <row r="107" spans="1:2" x14ac:dyDescent="0.25">
      <c r="A107" s="4" t="s">
        <v>438</v>
      </c>
      <c r="B107" s="3">
        <v>5</v>
      </c>
    </row>
    <row r="108" spans="1:2" x14ac:dyDescent="0.25">
      <c r="A108" s="4" t="s">
        <v>439</v>
      </c>
      <c r="B108" s="3">
        <v>2</v>
      </c>
    </row>
    <row r="109" spans="1:2" x14ac:dyDescent="0.25">
      <c r="A109" s="4" t="s">
        <v>441</v>
      </c>
      <c r="B109" s="3">
        <v>2</v>
      </c>
    </row>
    <row r="110" spans="1:2" x14ac:dyDescent="0.25">
      <c r="A110" s="4" t="s">
        <v>443</v>
      </c>
      <c r="B110" s="3">
        <v>2</v>
      </c>
    </row>
    <row r="111" spans="1:2" x14ac:dyDescent="0.25">
      <c r="A111" s="4" t="s">
        <v>445</v>
      </c>
      <c r="B111" s="3">
        <v>2</v>
      </c>
    </row>
    <row r="112" spans="1:2" x14ac:dyDescent="0.25">
      <c r="A112" s="4" t="s">
        <v>449</v>
      </c>
      <c r="B112" s="3">
        <v>2</v>
      </c>
    </row>
    <row r="113" spans="1:2" x14ac:dyDescent="0.25">
      <c r="A113" s="4" t="s">
        <v>450</v>
      </c>
      <c r="B113" s="3">
        <v>2</v>
      </c>
    </row>
    <row r="114" spans="1:2" x14ac:dyDescent="0.25">
      <c r="A114" s="4" t="s">
        <v>451</v>
      </c>
      <c r="B114" s="3">
        <v>7</v>
      </c>
    </row>
    <row r="115" spans="1:2" x14ac:dyDescent="0.25">
      <c r="A115" s="4" t="s">
        <v>455</v>
      </c>
      <c r="B115" s="3">
        <v>7</v>
      </c>
    </row>
    <row r="116" spans="1:2" x14ac:dyDescent="0.25">
      <c r="A116" s="4" t="s">
        <v>456</v>
      </c>
      <c r="B116" s="3">
        <v>1</v>
      </c>
    </row>
    <row r="117" spans="1:2" x14ac:dyDescent="0.25">
      <c r="A117" s="4" t="s">
        <v>478</v>
      </c>
      <c r="B117" s="3">
        <v>1</v>
      </c>
    </row>
    <row r="118" spans="1:2" x14ac:dyDescent="0.25">
      <c r="A118" s="4" t="s">
        <v>480</v>
      </c>
      <c r="B118" s="3">
        <v>1</v>
      </c>
    </row>
    <row r="119" spans="1:2" x14ac:dyDescent="0.25">
      <c r="A119" s="4" t="s">
        <v>482</v>
      </c>
      <c r="B119" s="3">
        <v>2</v>
      </c>
    </row>
    <row r="120" spans="1:2" x14ac:dyDescent="0.25">
      <c r="A120" s="4" t="s">
        <v>483</v>
      </c>
      <c r="B120" s="3">
        <v>4</v>
      </c>
    </row>
    <row r="121" spans="1:2" x14ac:dyDescent="0.25">
      <c r="A121" s="4" t="s">
        <v>485</v>
      </c>
      <c r="B121" s="3">
        <v>3</v>
      </c>
    </row>
    <row r="122" spans="1:2" x14ac:dyDescent="0.25">
      <c r="A122" s="4" t="s">
        <v>486</v>
      </c>
      <c r="B122" s="3">
        <v>3</v>
      </c>
    </row>
    <row r="123" spans="1:2" x14ac:dyDescent="0.25">
      <c r="A123" s="4" t="s">
        <v>539</v>
      </c>
      <c r="B123" s="3">
        <v>1</v>
      </c>
    </row>
    <row r="124" spans="1:2" x14ac:dyDescent="0.25">
      <c r="A124" s="4" t="s">
        <v>540</v>
      </c>
      <c r="B124" s="3">
        <v>1</v>
      </c>
    </row>
    <row r="125" spans="1:2" x14ac:dyDescent="0.25">
      <c r="A125" s="4" t="s">
        <v>489</v>
      </c>
      <c r="B125" s="3">
        <v>1</v>
      </c>
    </row>
    <row r="126" spans="1:2" x14ac:dyDescent="0.25">
      <c r="A126" s="4" t="s">
        <v>541</v>
      </c>
      <c r="B126" s="3">
        <v>1</v>
      </c>
    </row>
    <row r="127" spans="1:2" x14ac:dyDescent="0.25">
      <c r="A127" s="4" t="s">
        <v>493</v>
      </c>
      <c r="B127" s="3">
        <v>1</v>
      </c>
    </row>
    <row r="128" spans="1:2" x14ac:dyDescent="0.25">
      <c r="A128" s="4" t="s">
        <v>495</v>
      </c>
      <c r="B128" s="3"/>
    </row>
    <row r="129" spans="1:2" x14ac:dyDescent="0.25">
      <c r="A129" s="4" t="s">
        <v>496</v>
      </c>
      <c r="B129" s="3"/>
    </row>
    <row r="130" spans="1:2" x14ac:dyDescent="0.25">
      <c r="A130" s="4" t="s">
        <v>497</v>
      </c>
      <c r="B130" s="3"/>
    </row>
    <row r="131" spans="1:2" x14ac:dyDescent="0.25">
      <c r="A131" s="4" t="s">
        <v>498</v>
      </c>
      <c r="B131" s="3"/>
    </row>
    <row r="132" spans="1:2" x14ac:dyDescent="0.25">
      <c r="A132" s="4" t="s">
        <v>499</v>
      </c>
      <c r="B132" s="3">
        <v>5</v>
      </c>
    </row>
    <row r="133" spans="1:2" x14ac:dyDescent="0.25">
      <c r="A133" s="4" t="s">
        <v>501</v>
      </c>
      <c r="B133" s="3">
        <v>5</v>
      </c>
    </row>
    <row r="134" spans="1:2" x14ac:dyDescent="0.25">
      <c r="A134" s="4" t="s">
        <v>502</v>
      </c>
      <c r="B134" s="3">
        <v>2</v>
      </c>
    </row>
    <row r="135" spans="1:2" x14ac:dyDescent="0.25">
      <c r="A135" s="4" t="s">
        <v>505</v>
      </c>
      <c r="B135" s="3">
        <v>1</v>
      </c>
    </row>
    <row r="136" spans="1:2" x14ac:dyDescent="0.25">
      <c r="A136" s="4" t="s">
        <v>506</v>
      </c>
      <c r="B136" s="3">
        <v>1</v>
      </c>
    </row>
    <row r="137" spans="1:2" x14ac:dyDescent="0.25">
      <c r="A137" s="4" t="s">
        <v>507</v>
      </c>
      <c r="B137" s="3">
        <v>3</v>
      </c>
    </row>
    <row r="138" spans="1:2" x14ac:dyDescent="0.25">
      <c r="A138" s="4" t="s">
        <v>508</v>
      </c>
      <c r="B138" s="3">
        <v>1</v>
      </c>
    </row>
    <row r="139" spans="1:2" x14ac:dyDescent="0.25">
      <c r="A139" s="4" t="s">
        <v>509</v>
      </c>
      <c r="B139" s="3"/>
    </row>
    <row r="140" spans="1:2" x14ac:dyDescent="0.25">
      <c r="A140" s="4" t="s">
        <v>510</v>
      </c>
      <c r="B140" s="3"/>
    </row>
    <row r="141" spans="1:2" x14ac:dyDescent="0.25">
      <c r="A141" s="4" t="s">
        <v>511</v>
      </c>
      <c r="B141" s="3"/>
    </row>
    <row r="142" spans="1:2" x14ac:dyDescent="0.25">
      <c r="A142" s="4" t="s">
        <v>512</v>
      </c>
      <c r="B142" s="3">
        <v>1</v>
      </c>
    </row>
    <row r="143" spans="1:2" x14ac:dyDescent="0.25">
      <c r="A143" s="4" t="s">
        <v>513</v>
      </c>
      <c r="B143" s="3"/>
    </row>
    <row r="144" spans="1:2" x14ac:dyDescent="0.25">
      <c r="A144" s="4" t="s">
        <v>518</v>
      </c>
      <c r="B144" s="3"/>
    </row>
    <row r="145" spans="1:2" x14ac:dyDescent="0.25">
      <c r="A145" s="4" t="s">
        <v>514</v>
      </c>
      <c r="B145" s="3"/>
    </row>
    <row r="146" spans="1:2" x14ac:dyDescent="0.25">
      <c r="A146" s="4" t="s">
        <v>520</v>
      </c>
      <c r="B146" s="3">
        <v>1</v>
      </c>
    </row>
    <row r="147" spans="1:2" x14ac:dyDescent="0.25">
      <c r="A147" s="4" t="s">
        <v>522</v>
      </c>
      <c r="B147" s="3">
        <v>1</v>
      </c>
    </row>
    <row r="148" spans="1:2" x14ac:dyDescent="0.25">
      <c r="A148" s="4" t="s">
        <v>523</v>
      </c>
      <c r="B148" s="3">
        <v>2</v>
      </c>
    </row>
    <row r="149" spans="1:2" x14ac:dyDescent="0.25">
      <c r="A149" s="4" t="s">
        <v>524</v>
      </c>
      <c r="B149" s="3">
        <v>1</v>
      </c>
    </row>
    <row r="150" spans="1:2" x14ac:dyDescent="0.25">
      <c r="A150" s="4" t="s">
        <v>525</v>
      </c>
      <c r="B150" s="3">
        <v>1</v>
      </c>
    </row>
    <row r="151" spans="1:2" x14ac:dyDescent="0.25">
      <c r="A151" s="4" t="s">
        <v>526</v>
      </c>
      <c r="B151" s="3">
        <v>2</v>
      </c>
    </row>
    <row r="152" spans="1:2" x14ac:dyDescent="0.25">
      <c r="A152" s="4" t="s">
        <v>527</v>
      </c>
      <c r="B152" s="3">
        <v>1</v>
      </c>
    </row>
    <row r="153" spans="1:2" x14ac:dyDescent="0.25">
      <c r="A153" s="4" t="s">
        <v>528</v>
      </c>
      <c r="B153" s="3">
        <v>2</v>
      </c>
    </row>
    <row r="154" spans="1:2" x14ac:dyDescent="0.25">
      <c r="A154" s="4" t="s">
        <v>529</v>
      </c>
      <c r="B154" s="3">
        <v>2</v>
      </c>
    </row>
    <row r="155" spans="1:2" x14ac:dyDescent="0.25">
      <c r="A155" s="4" t="s">
        <v>542</v>
      </c>
      <c r="B155" s="3">
        <v>2</v>
      </c>
    </row>
    <row r="156" spans="1:2" x14ac:dyDescent="0.25">
      <c r="A156" s="4" t="s">
        <v>543</v>
      </c>
      <c r="B156" s="3">
        <v>4</v>
      </c>
    </row>
    <row r="157" spans="1:2" x14ac:dyDescent="0.25">
      <c r="A157" s="4" t="s">
        <v>544</v>
      </c>
      <c r="B157" s="3">
        <v>2</v>
      </c>
    </row>
    <row r="158" spans="1:2" x14ac:dyDescent="0.25">
      <c r="A158" s="4" t="s">
        <v>545</v>
      </c>
      <c r="B158" s="3">
        <v>5</v>
      </c>
    </row>
    <row r="159" spans="1:2" x14ac:dyDescent="0.25">
      <c r="A159" s="4" t="s">
        <v>547</v>
      </c>
      <c r="B159" s="3">
        <v>12</v>
      </c>
    </row>
    <row r="160" spans="1:2" x14ac:dyDescent="0.25">
      <c r="A160" s="4" t="s">
        <v>548</v>
      </c>
      <c r="B160" s="3">
        <v>2</v>
      </c>
    </row>
    <row r="161" spans="1:2" x14ac:dyDescent="0.25">
      <c r="A161" s="4" t="s">
        <v>549</v>
      </c>
      <c r="B161" s="3">
        <v>3</v>
      </c>
    </row>
    <row r="162" spans="1:2" x14ac:dyDescent="0.25">
      <c r="A162" s="4" t="s">
        <v>552</v>
      </c>
      <c r="B162" s="3">
        <v>10</v>
      </c>
    </row>
    <row r="163" spans="1:2" x14ac:dyDescent="0.25">
      <c r="A163" s="4" t="s">
        <v>554</v>
      </c>
      <c r="B163" s="3">
        <v>1</v>
      </c>
    </row>
    <row r="164" spans="1:2" x14ac:dyDescent="0.25">
      <c r="A164" s="4" t="s">
        <v>556</v>
      </c>
      <c r="B164" s="3">
        <v>1</v>
      </c>
    </row>
    <row r="165" spans="1:2" x14ac:dyDescent="0.25">
      <c r="A165" s="4" t="s">
        <v>555</v>
      </c>
      <c r="B165" s="3">
        <v>1</v>
      </c>
    </row>
    <row r="166" spans="1:2" x14ac:dyDescent="0.25">
      <c r="A166" s="4" t="s">
        <v>557</v>
      </c>
      <c r="B166" s="3">
        <v>1</v>
      </c>
    </row>
    <row r="167" spans="1:2" x14ac:dyDescent="0.25">
      <c r="A167" s="4" t="s">
        <v>603</v>
      </c>
      <c r="B167" s="3">
        <v>1</v>
      </c>
    </row>
    <row r="168" spans="1:2" x14ac:dyDescent="0.25">
      <c r="A168" s="4" t="s">
        <v>604</v>
      </c>
      <c r="B168" s="3">
        <v>5</v>
      </c>
    </row>
    <row r="169" spans="1:2" x14ac:dyDescent="0.25">
      <c r="A169" s="4" t="s">
        <v>605</v>
      </c>
      <c r="B169" s="3">
        <v>5</v>
      </c>
    </row>
    <row r="170" spans="1:2" x14ac:dyDescent="0.25">
      <c r="A170" s="4" t="s">
        <v>610</v>
      </c>
      <c r="B170" s="3">
        <v>5</v>
      </c>
    </row>
    <row r="171" spans="1:2" x14ac:dyDescent="0.25">
      <c r="A171" s="4" t="s">
        <v>611</v>
      </c>
      <c r="B171" s="3">
        <v>3</v>
      </c>
    </row>
    <row r="172" spans="1:2" x14ac:dyDescent="0.25">
      <c r="A172" s="4" t="s">
        <v>612</v>
      </c>
      <c r="B172" s="3">
        <v>2</v>
      </c>
    </row>
    <row r="173" spans="1:2" x14ac:dyDescent="0.25">
      <c r="A173" s="4" t="s">
        <v>615</v>
      </c>
      <c r="B173" s="3">
        <v>1</v>
      </c>
    </row>
    <row r="174" spans="1:2" x14ac:dyDescent="0.25">
      <c r="A174" s="4" t="s">
        <v>617</v>
      </c>
      <c r="B174" s="3">
        <v>3</v>
      </c>
    </row>
    <row r="175" spans="1:2" x14ac:dyDescent="0.25">
      <c r="A175" s="4" t="s">
        <v>620</v>
      </c>
      <c r="B175" s="3">
        <v>1</v>
      </c>
    </row>
    <row r="176" spans="1:2" x14ac:dyDescent="0.25">
      <c r="A176" s="4" t="s">
        <v>621</v>
      </c>
      <c r="B176" s="3">
        <v>4</v>
      </c>
    </row>
    <row r="177" spans="1:2" x14ac:dyDescent="0.25">
      <c r="A177" s="4" t="s">
        <v>623</v>
      </c>
      <c r="B177" s="3">
        <v>1</v>
      </c>
    </row>
    <row r="178" spans="1:2" x14ac:dyDescent="0.25">
      <c r="A178" s="4" t="s">
        <v>624</v>
      </c>
      <c r="B178" s="3">
        <v>1</v>
      </c>
    </row>
    <row r="179" spans="1:2" x14ac:dyDescent="0.25">
      <c r="A179" s="4" t="s">
        <v>626</v>
      </c>
      <c r="B179" s="3">
        <v>1</v>
      </c>
    </row>
    <row r="180" spans="1:2" x14ac:dyDescent="0.25">
      <c r="A180" s="4" t="s">
        <v>627</v>
      </c>
      <c r="B180" s="3">
        <v>2</v>
      </c>
    </row>
    <row r="181" spans="1:2" x14ac:dyDescent="0.25">
      <c r="A181" s="4" t="s">
        <v>630</v>
      </c>
      <c r="B181" s="3">
        <v>6</v>
      </c>
    </row>
    <row r="182" spans="1:2" x14ac:dyDescent="0.25">
      <c r="A182" s="4" t="s">
        <v>632</v>
      </c>
      <c r="B182" s="3"/>
    </row>
    <row r="183" spans="1:2" x14ac:dyDescent="0.25">
      <c r="A183" s="4" t="s">
        <v>645</v>
      </c>
      <c r="B183" s="3">
        <v>2</v>
      </c>
    </row>
    <row r="184" spans="1:2" x14ac:dyDescent="0.25">
      <c r="A184" s="4" t="s">
        <v>646</v>
      </c>
      <c r="B184" s="3">
        <v>1</v>
      </c>
    </row>
    <row r="185" spans="1:2" x14ac:dyDescent="0.25">
      <c r="A185" s="4" t="s">
        <v>648</v>
      </c>
      <c r="B185" s="3">
        <v>5</v>
      </c>
    </row>
    <row r="186" spans="1:2" x14ac:dyDescent="0.25">
      <c r="A186" s="4" t="s">
        <v>651</v>
      </c>
      <c r="B186" s="3">
        <v>1</v>
      </c>
    </row>
    <row r="187" spans="1:2" x14ac:dyDescent="0.25">
      <c r="A187" s="4" t="s">
        <v>654</v>
      </c>
      <c r="B187" s="3">
        <v>1</v>
      </c>
    </row>
    <row r="188" spans="1:2" x14ac:dyDescent="0.25">
      <c r="A188" s="4" t="s">
        <v>656</v>
      </c>
      <c r="B188" s="3">
        <v>1</v>
      </c>
    </row>
    <row r="189" spans="1:2" x14ac:dyDescent="0.25">
      <c r="A189" s="4" t="s">
        <v>657</v>
      </c>
      <c r="B189" s="3">
        <v>1</v>
      </c>
    </row>
    <row r="190" spans="1:2" x14ac:dyDescent="0.25">
      <c r="A190" s="4" t="s">
        <v>658</v>
      </c>
      <c r="B190" s="3">
        <v>2</v>
      </c>
    </row>
    <row r="191" spans="1:2" x14ac:dyDescent="0.25">
      <c r="A191" s="4" t="s">
        <v>660</v>
      </c>
      <c r="B191" s="3">
        <v>1</v>
      </c>
    </row>
    <row r="192" spans="1:2" x14ac:dyDescent="0.25">
      <c r="A192" s="4" t="s">
        <v>661</v>
      </c>
      <c r="B192" s="3">
        <v>1</v>
      </c>
    </row>
    <row r="193" spans="1:2" x14ac:dyDescent="0.25">
      <c r="A193" s="4" t="s">
        <v>663</v>
      </c>
      <c r="B193" s="3">
        <v>1</v>
      </c>
    </row>
    <row r="194" spans="1:2" x14ac:dyDescent="0.25">
      <c r="A194" s="4" t="s">
        <v>683</v>
      </c>
      <c r="B194" s="3">
        <v>1</v>
      </c>
    </row>
    <row r="195" spans="1:2" x14ac:dyDescent="0.25">
      <c r="A195" s="4" t="s">
        <v>665</v>
      </c>
      <c r="B195" s="3">
        <v>1</v>
      </c>
    </row>
    <row r="196" spans="1:2" x14ac:dyDescent="0.25">
      <c r="A196" s="4" t="s">
        <v>668</v>
      </c>
      <c r="B196" s="3">
        <v>1</v>
      </c>
    </row>
    <row r="197" spans="1:2" x14ac:dyDescent="0.25">
      <c r="A197" s="4" t="s">
        <v>669</v>
      </c>
      <c r="B197" s="3"/>
    </row>
    <row r="198" spans="1:2" x14ac:dyDescent="0.25">
      <c r="A198" s="4" t="s">
        <v>670</v>
      </c>
      <c r="B198" s="3"/>
    </row>
    <row r="199" spans="1:2" x14ac:dyDescent="0.25">
      <c r="A199" s="4" t="s">
        <v>671</v>
      </c>
      <c r="B199" s="3"/>
    </row>
    <row r="200" spans="1:2" x14ac:dyDescent="0.25">
      <c r="A200" s="4" t="s">
        <v>672</v>
      </c>
      <c r="B200" s="3">
        <v>1</v>
      </c>
    </row>
    <row r="201" spans="1:2" x14ac:dyDescent="0.25">
      <c r="A201" s="4" t="s">
        <v>673</v>
      </c>
      <c r="B201" s="3">
        <v>1</v>
      </c>
    </row>
    <row r="202" spans="1:2" x14ac:dyDescent="0.25">
      <c r="A202" s="4" t="s">
        <v>675</v>
      </c>
      <c r="B202" s="3">
        <v>3</v>
      </c>
    </row>
    <row r="203" spans="1:2" x14ac:dyDescent="0.25">
      <c r="A203" s="4" t="s">
        <v>676</v>
      </c>
      <c r="B203" s="3">
        <v>21</v>
      </c>
    </row>
    <row r="204" spans="1:2" x14ac:dyDescent="0.25">
      <c r="A204" s="4" t="s">
        <v>679</v>
      </c>
      <c r="B204" s="3">
        <v>2</v>
      </c>
    </row>
    <row r="205" spans="1:2" x14ac:dyDescent="0.25">
      <c r="A205" s="4" t="s">
        <v>680</v>
      </c>
      <c r="B205" s="3">
        <v>6</v>
      </c>
    </row>
    <row r="206" spans="1:2" x14ac:dyDescent="0.25">
      <c r="A206" s="4" t="s">
        <v>746</v>
      </c>
      <c r="B206" s="3">
        <v>30</v>
      </c>
    </row>
    <row r="207" spans="1:2" x14ac:dyDescent="0.25">
      <c r="A207" s="4" t="s">
        <v>747</v>
      </c>
      <c r="B207" s="3">
        <v>5</v>
      </c>
    </row>
    <row r="208" spans="1:2" x14ac:dyDescent="0.25">
      <c r="A208" s="4" t="s">
        <v>729</v>
      </c>
      <c r="B208" s="3">
        <v>5</v>
      </c>
    </row>
    <row r="209" spans="1:2" x14ac:dyDescent="0.25">
      <c r="A209" s="4" t="s">
        <v>731</v>
      </c>
      <c r="B209" s="3">
        <v>3</v>
      </c>
    </row>
    <row r="210" spans="1:2" x14ac:dyDescent="0.25">
      <c r="A210" s="4" t="s">
        <v>745</v>
      </c>
      <c r="B210" s="3">
        <v>1</v>
      </c>
    </row>
    <row r="211" spans="1:2" x14ac:dyDescent="0.25">
      <c r="A211" s="4" t="s">
        <v>733</v>
      </c>
      <c r="B211" s="3">
        <v>1</v>
      </c>
    </row>
    <row r="212" spans="1:2" x14ac:dyDescent="0.25">
      <c r="A212" s="4" t="s">
        <v>734</v>
      </c>
      <c r="B212" s="3">
        <v>1</v>
      </c>
    </row>
    <row r="213" spans="1:2" x14ac:dyDescent="0.25">
      <c r="A213" s="4" t="s">
        <v>738</v>
      </c>
      <c r="B213" s="3">
        <v>2</v>
      </c>
    </row>
    <row r="214" spans="1:2" x14ac:dyDescent="0.25">
      <c r="A214" s="4" t="s">
        <v>742</v>
      </c>
      <c r="B214" s="3">
        <v>6</v>
      </c>
    </row>
    <row r="215" spans="1:2" x14ac:dyDescent="0.25">
      <c r="A215" s="4" t="s">
        <v>741</v>
      </c>
      <c r="B215" s="3">
        <v>2</v>
      </c>
    </row>
    <row r="216" spans="1:2" x14ac:dyDescent="0.25">
      <c r="A216" s="4" t="s">
        <v>775</v>
      </c>
      <c r="B216" s="3">
        <v>3</v>
      </c>
    </row>
    <row r="217" spans="1:2" x14ac:dyDescent="0.25">
      <c r="A217" s="4" t="s">
        <v>777</v>
      </c>
      <c r="B217" s="3">
        <v>1</v>
      </c>
    </row>
    <row r="218" spans="1:2" x14ac:dyDescent="0.25">
      <c r="A218" s="4" t="s">
        <v>779</v>
      </c>
      <c r="B218" s="3">
        <v>2</v>
      </c>
    </row>
    <row r="219" spans="1:2" x14ac:dyDescent="0.25">
      <c r="A219" s="4" t="s">
        <v>783</v>
      </c>
      <c r="B219" s="3">
        <v>1</v>
      </c>
    </row>
    <row r="220" spans="1:2" x14ac:dyDescent="0.25">
      <c r="A220" s="4" t="s">
        <v>784</v>
      </c>
      <c r="B220" s="3">
        <v>1</v>
      </c>
    </row>
    <row r="221" spans="1:2" x14ac:dyDescent="0.25">
      <c r="A221" s="4" t="s">
        <v>785</v>
      </c>
      <c r="B221" s="3">
        <v>1</v>
      </c>
    </row>
    <row r="222" spans="1:2" x14ac:dyDescent="0.25">
      <c r="A222" s="4" t="s">
        <v>786</v>
      </c>
      <c r="B222" s="3">
        <v>1</v>
      </c>
    </row>
    <row r="223" spans="1:2" x14ac:dyDescent="0.25">
      <c r="A223" s="4" t="s">
        <v>787</v>
      </c>
      <c r="B223" s="3">
        <v>1</v>
      </c>
    </row>
    <row r="224" spans="1:2" x14ac:dyDescent="0.25">
      <c r="A224" s="4" t="s">
        <v>789</v>
      </c>
      <c r="B224" s="3">
        <v>4</v>
      </c>
    </row>
    <row r="225" spans="1:2" x14ac:dyDescent="0.25">
      <c r="A225" s="4" t="s">
        <v>797</v>
      </c>
      <c r="B225" s="3">
        <v>1</v>
      </c>
    </row>
    <row r="226" spans="1:2" x14ac:dyDescent="0.25">
      <c r="A226" s="4" t="s">
        <v>790</v>
      </c>
      <c r="B226" s="3">
        <v>1</v>
      </c>
    </row>
    <row r="227" spans="1:2" x14ac:dyDescent="0.25">
      <c r="A227" s="4" t="s">
        <v>796</v>
      </c>
      <c r="B227" s="3">
        <v>1</v>
      </c>
    </row>
    <row r="228" spans="1:2" x14ac:dyDescent="0.25">
      <c r="A228" s="4" t="s">
        <v>792</v>
      </c>
      <c r="B228" s="3">
        <v>1</v>
      </c>
    </row>
    <row r="229" spans="1:2" x14ac:dyDescent="0.25">
      <c r="A229" s="4" t="s">
        <v>793</v>
      </c>
      <c r="B229" s="3">
        <v>1</v>
      </c>
    </row>
    <row r="230" spans="1:2" x14ac:dyDescent="0.25">
      <c r="A230" s="4" t="s">
        <v>794</v>
      </c>
      <c r="B230" s="3">
        <v>1</v>
      </c>
    </row>
    <row r="231" spans="1:2" x14ac:dyDescent="0.25">
      <c r="A231" s="4" t="s">
        <v>846</v>
      </c>
      <c r="B231" s="3">
        <v>3</v>
      </c>
    </row>
    <row r="232" spans="1:2" x14ac:dyDescent="0.25">
      <c r="A232" s="4" t="s">
        <v>875</v>
      </c>
      <c r="B232" s="3">
        <v>1</v>
      </c>
    </row>
    <row r="233" spans="1:2" x14ac:dyDescent="0.25">
      <c r="A233" s="4" t="s">
        <v>876</v>
      </c>
      <c r="B233" s="3">
        <v>2</v>
      </c>
    </row>
    <row r="234" spans="1:2" x14ac:dyDescent="0.25">
      <c r="A234" s="4" t="s">
        <v>877</v>
      </c>
      <c r="B234" s="3">
        <v>2</v>
      </c>
    </row>
    <row r="235" spans="1:2" x14ac:dyDescent="0.25">
      <c r="A235" s="4" t="s">
        <v>878</v>
      </c>
      <c r="B235" s="3">
        <v>3</v>
      </c>
    </row>
    <row r="236" spans="1:2" x14ac:dyDescent="0.25">
      <c r="A236" s="4" t="s">
        <v>879</v>
      </c>
      <c r="B236" s="3"/>
    </row>
    <row r="237" spans="1:2" x14ac:dyDescent="0.25">
      <c r="A237" s="4" t="s">
        <v>894</v>
      </c>
      <c r="B237" s="3">
        <v>10</v>
      </c>
    </row>
    <row r="238" spans="1:2" x14ac:dyDescent="0.25">
      <c r="A238" s="4" t="s">
        <v>895</v>
      </c>
      <c r="B238" s="3">
        <v>20</v>
      </c>
    </row>
    <row r="239" spans="1:2" x14ac:dyDescent="0.25">
      <c r="A239" s="4" t="s">
        <v>896</v>
      </c>
      <c r="B239" s="3">
        <v>2</v>
      </c>
    </row>
    <row r="240" spans="1:2" x14ac:dyDescent="0.25">
      <c r="A240" s="4" t="s">
        <v>898</v>
      </c>
      <c r="B240" s="3">
        <v>3</v>
      </c>
    </row>
    <row r="241" spans="1:2" x14ac:dyDescent="0.25">
      <c r="A241" s="4" t="s">
        <v>899</v>
      </c>
      <c r="B241" s="3">
        <v>2</v>
      </c>
    </row>
    <row r="242" spans="1:2" x14ac:dyDescent="0.25">
      <c r="A242" s="4" t="s">
        <v>901</v>
      </c>
      <c r="B242" s="3">
        <v>6</v>
      </c>
    </row>
    <row r="243" spans="1:2" x14ac:dyDescent="0.25">
      <c r="A243" s="4" t="s">
        <v>902</v>
      </c>
      <c r="B243" s="3">
        <v>1</v>
      </c>
    </row>
    <row r="244" spans="1:2" x14ac:dyDescent="0.25">
      <c r="A244" s="4" t="s">
        <v>903</v>
      </c>
      <c r="B244" s="3">
        <v>1</v>
      </c>
    </row>
    <row r="245" spans="1:2" x14ac:dyDescent="0.25">
      <c r="A245" s="4" t="s">
        <v>905</v>
      </c>
      <c r="B245" s="3">
        <v>1</v>
      </c>
    </row>
    <row r="246" spans="1:2" x14ac:dyDescent="0.25">
      <c r="A246" s="4" t="s">
        <v>906</v>
      </c>
      <c r="B246" s="3">
        <v>5</v>
      </c>
    </row>
    <row r="247" spans="1:2" x14ac:dyDescent="0.25">
      <c r="A247" s="4" t="s">
        <v>907</v>
      </c>
      <c r="B247" s="3">
        <v>1</v>
      </c>
    </row>
    <row r="248" spans="1:2" x14ac:dyDescent="0.25">
      <c r="A248" s="4" t="s">
        <v>908</v>
      </c>
      <c r="B248" s="3">
        <v>2</v>
      </c>
    </row>
    <row r="249" spans="1:2" x14ac:dyDescent="0.25">
      <c r="A249" s="4" t="s">
        <v>909</v>
      </c>
      <c r="B249" s="3">
        <v>1</v>
      </c>
    </row>
    <row r="250" spans="1:2" x14ac:dyDescent="0.25">
      <c r="A250" s="4" t="s">
        <v>911</v>
      </c>
      <c r="B250" s="3">
        <v>2</v>
      </c>
    </row>
    <row r="251" spans="1:2" x14ac:dyDescent="0.25">
      <c r="A251" s="4" t="s">
        <v>912</v>
      </c>
      <c r="B251" s="3">
        <v>3</v>
      </c>
    </row>
    <row r="252" spans="1:2" x14ac:dyDescent="0.25">
      <c r="A252" s="4" t="s">
        <v>914</v>
      </c>
      <c r="B252" s="3">
        <v>1</v>
      </c>
    </row>
    <row r="253" spans="1:2" x14ac:dyDescent="0.25">
      <c r="A253" s="4" t="s">
        <v>915</v>
      </c>
      <c r="B253" s="3">
        <v>2</v>
      </c>
    </row>
    <row r="254" spans="1:2" x14ac:dyDescent="0.25">
      <c r="A254" s="4" t="s">
        <v>919</v>
      </c>
      <c r="B254" s="3">
        <v>3</v>
      </c>
    </row>
    <row r="255" spans="1:2" x14ac:dyDescent="0.25">
      <c r="A255" s="4" t="s">
        <v>920</v>
      </c>
      <c r="B255" s="3">
        <v>2</v>
      </c>
    </row>
    <row r="256" spans="1:2" x14ac:dyDescent="0.25">
      <c r="A256" s="4" t="s">
        <v>921</v>
      </c>
      <c r="B256" s="3">
        <v>1</v>
      </c>
    </row>
    <row r="257" spans="1:2" x14ac:dyDescent="0.25">
      <c r="A257" s="4" t="s">
        <v>925</v>
      </c>
      <c r="B257" s="3">
        <v>1</v>
      </c>
    </row>
    <row r="258" spans="1:2" x14ac:dyDescent="0.25">
      <c r="A258" s="4" t="s">
        <v>928</v>
      </c>
      <c r="B258" s="3">
        <v>1</v>
      </c>
    </row>
    <row r="259" spans="1:2" x14ac:dyDescent="0.25">
      <c r="A259" s="4" t="s">
        <v>926</v>
      </c>
      <c r="B259" s="3">
        <v>1</v>
      </c>
    </row>
    <row r="260" spans="1:2" x14ac:dyDescent="0.25">
      <c r="A260" s="4" t="s">
        <v>929</v>
      </c>
      <c r="B260" s="3">
        <v>2</v>
      </c>
    </row>
    <row r="261" spans="1:2" x14ac:dyDescent="0.25">
      <c r="A261" s="4" t="s">
        <v>259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0" zoomScale="85" zoomScaleNormal="85" workbookViewId="0">
      <selection activeCell="C73" sqref="C73:C75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52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52" bestFit="1" customWidth="1"/>
    <col min="10" max="10" width="8.7109375" style="44" customWidth="1"/>
    <col min="11" max="13" width="14.28515625" style="186" bestFit="1" customWidth="1"/>
    <col min="14" max="14" width="11.5703125" style="186" bestFit="1" customWidth="1"/>
    <col min="15" max="15" width="14.28515625" style="186" bestFit="1" customWidth="1"/>
    <col min="16" max="16" width="13.28515625" style="186" bestFit="1" customWidth="1"/>
    <col min="17" max="17" width="14.28515625" style="186" bestFit="1" customWidth="1"/>
    <col min="18" max="22" width="9.140625" style="44"/>
    <col min="23" max="23" width="19.42578125" style="186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86" t="s">
        <v>39</v>
      </c>
      <c r="L1" s="186" t="s">
        <v>40</v>
      </c>
      <c r="M1" s="186" t="s">
        <v>41</v>
      </c>
      <c r="N1" s="186" t="s">
        <v>20</v>
      </c>
      <c r="O1" s="186" t="s">
        <v>42</v>
      </c>
      <c r="P1" s="186" t="s">
        <v>44</v>
      </c>
      <c r="Q1" s="186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44</v>
      </c>
      <c r="B2" s="40">
        <f ca="1">HYPERLINK("[NOTA_.XLSX]NOTA!c"&amp;PAJAK[[#This Row],[//]],IF(PAJAK[[#This Row],[//]]="","",INDEX(INDIRECT("NOTA["&amp;PAJAK[#Headers]&amp;"]"),PAJAK[[#This Row],[//]]-2)))</f>
        <v>9</v>
      </c>
      <c r="C2" s="40" t="str">
        <f ca="1">IF(PAJAK[[#This Row],[//]]="","",INDEX(INDIRECT("NOTA["&amp;PAJAK[#Headers]&amp;"]"),PAJAK[[#This Row],[//]]-2))</f>
        <v>KUN_0501_341-1</v>
      </c>
      <c r="D2" s="40" t="e">
        <f ca="1">MATCH(PAJAK[[#This Row],[ID]],[2]!Table1[ID],0)</f>
        <v>#REF!</v>
      </c>
      <c r="E2" s="41">
        <f ca="1">IF(PAJAK[[#This Row],[ID]]="","",COUNTIF(NOTA[ID_H],PAJAK[[#This Row],[ID]]))</f>
        <v>1</v>
      </c>
      <c r="F2" s="40" t="str">
        <f ca="1">IF(PAJAK[[#This Row],[//]]="","",INDEX(CONV[2],MATCH(INDEX(INDIRECT("NOTA["&amp;PAJAK[#Headers]&amp;"]"),PAJAK[[#This Row],[//]]-2),CONV[1],0),0))</f>
        <v>LIE ARMAND</v>
      </c>
      <c r="G2" s="42">
        <f ca="1">IF(PAJAK[[#This Row],[//]]="","",INDEX(NOTA[TGL_H],PAJAK[[#This Row],[//]]-2))</f>
        <v>44931</v>
      </c>
      <c r="H2" s="42">
        <f ca="1">IF(PAJAK[[#This Row],[//]]="","",INDEX(INDIRECT("NOTA["&amp;PAJAK[#Headers]&amp;"]"),PAJAK[[#This Row],[//]]-2))</f>
        <v>44928</v>
      </c>
      <c r="I2" s="41" t="str">
        <f ca="1">IF(PAJAK[[#This Row],[//]]="","",INDEX(INDIRECT("NOTA["&amp;PAJAK[#Headers]&amp;"]"),PAJAK[[#This Row],[//]]-2))</f>
        <v>005341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186">
        <f ca="1">IF(PAJAK[[#This Row],[//]]="","",SUMIF(NOTA[ID_H],PAJAK[[#This Row],[ID]],NOTA[JUMLAH]))</f>
        <v>3861000</v>
      </c>
      <c r="L2" s="186">
        <f ca="1">IF(PAJAK[[#This Row],[//]]="","",SUMIF(NOTA[ID_H],PAJAK[[#This Row],[ID]],NOTA[DISC]))</f>
        <v>0</v>
      </c>
      <c r="M2" s="186">
        <f ca="1">PAJAK[[#This Row],[SUB TOTAL]]-PAJAK[[#This Row],[DISKON]]</f>
        <v>3861000</v>
      </c>
      <c r="N2" s="186">
        <f ca="1">IF(PAJAK[[#This Row],[//]]="","",INDEX(INDIRECT("NOTA["&amp;PAJAK[#Headers]&amp;"]"),PAJAK[[#This Row],[//]]-2+PAJAK[[#This Row],[QB]]-1))</f>
        <v>0</v>
      </c>
      <c r="O2" s="186">
        <f ca="1">(PAJAK[[#This Row],[SUB T-DISC]]-PAJAK[[#This Row],[DISC DLL]])/111%</f>
        <v>3478378.3783783782</v>
      </c>
      <c r="P2" s="186">
        <f ca="1">PAJAK[[#This Row],[DPP]]*PAJAK[[#This Row],[PPN]]</f>
        <v>382621.6216216216</v>
      </c>
      <c r="Q2" s="186">
        <f ca="1">PAJAK[[#This Row],[DPP]]+PAJAK[[#This Row],[PPN 11%]]</f>
        <v>3861000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46</v>
      </c>
      <c r="B3" s="40">
        <f ca="1">HYPERLINK("[NOTA_.XLSX]NOTA!c"&amp;PAJAK[[#This Row],[//]],IF(PAJAK[[#This Row],[//]]="","",INDEX(INDIRECT("NOTA["&amp;PAJAK[#Headers]&amp;"]"),PAJAK[[#This Row],[//]]-2)))</f>
        <v>10</v>
      </c>
      <c r="C3" s="40" t="str">
        <f ca="1">IF(PAJAK[[#This Row],[//]]="","",INDEX(INDIRECT("NOTA["&amp;PAJAK[#Headers]&amp;"]"),PAJAK[[#This Row],[//]]-2))</f>
        <v>ATA_0501_053-5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5</v>
      </c>
      <c r="F3" s="40" t="str">
        <f ca="1">IF(PAJAK[[#This Row],[//]]="","",INDEX(CONV[2],MATCH(INDEX(INDIRECT("NOTA["&amp;PAJAK[#Headers]&amp;"]"),PAJAK[[#This Row],[//]]-2),CONV[1],0),0))</f>
        <v>PT ATALI MAKMUR</v>
      </c>
      <c r="G3" s="42">
        <f ca="1">IF(PAJAK[[#This Row],[//]]="","",INDEX(NOTA[TGL_H],PAJAK[[#This Row],[//]]-2))</f>
        <v>44931</v>
      </c>
      <c r="H3" s="42">
        <f ca="1">IF(PAJAK[[#This Row],[//]]="","",INDEX(INDIRECT("NOTA["&amp;PAJAK[#Headers]&amp;"]"),PAJAK[[#This Row],[//]]-2))</f>
        <v>44928</v>
      </c>
      <c r="I3" s="41" t="str">
        <f ca="1">IF(PAJAK[[#This Row],[//]]="","",INDEX(INDIRECT("NOTA["&amp;PAJAK[#Headers]&amp;"]"),PAJAK[[#This Row],[//]]-2))</f>
        <v>SA230100053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186">
        <f ca="1">IF(PAJAK[[#This Row],[//]]="","",SUMIF(NOTA[ID_H],PAJAK[[#This Row],[ID]],NOTA[JUMLAH]))</f>
        <v>26233200</v>
      </c>
      <c r="L3" s="186">
        <f ca="1">IF(PAJAK[[#This Row],[//]]="","",SUMIF(NOTA[ID_H],PAJAK[[#This Row],[ID]],NOTA[DISC]))</f>
        <v>4417875</v>
      </c>
      <c r="M3" s="186">
        <f ca="1">PAJAK[[#This Row],[SUB TOTAL]]-PAJAK[[#This Row],[DISKON]]</f>
        <v>21815325</v>
      </c>
      <c r="N3" s="186">
        <f ca="1">IF(PAJAK[[#This Row],[//]]="","",INDEX(INDIRECT("NOTA["&amp;PAJAK[#Headers]&amp;"]"),PAJAK[[#This Row],[//]]-2+PAJAK[[#This Row],[QB]]-1))</f>
        <v>323190</v>
      </c>
      <c r="O3" s="186">
        <f ca="1">(PAJAK[[#This Row],[SUB T-DISC]]-PAJAK[[#This Row],[DISC DLL]])/111%</f>
        <v>19362283.783783782</v>
      </c>
      <c r="P3" s="186">
        <f ca="1">PAJAK[[#This Row],[DPP]]*PAJAK[[#This Row],[PPN]]</f>
        <v>2129851.2162162159</v>
      </c>
      <c r="Q3" s="186">
        <f ca="1">PAJAK[[#This Row],[DPP]]+PAJAK[[#This Row],[PPN 11%]]</f>
        <v>21492135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52</v>
      </c>
      <c r="B4" s="153">
        <f ca="1">HYPERLINK("[NOTA_.XLSX]NOTA!c"&amp;PAJAK[[#This Row],[//]],IF(PAJAK[[#This Row],[//]]="","",INDEX(INDIRECT("NOTA["&amp;PAJAK[#Headers]&amp;"]"),PAJAK[[#This Row],[//]]-2)))</f>
        <v>11</v>
      </c>
      <c r="C4" s="44" t="str">
        <f ca="1">IF(PAJAK[[#This Row],[//]]="","",INDEX(INDIRECT("NOTA["&amp;PAJAK[#Headers]&amp;"]"),PAJAK[[#This Row],[//]]-2))</f>
        <v>KEN_0501_093-1</v>
      </c>
      <c r="D4" s="44" t="e">
        <f ca="1">MATCH(PAJAK[[#This Row],[ID]],[2]!Table1[ID],0)</f>
        <v>#REF!</v>
      </c>
      <c r="E4" s="152">
        <f ca="1">IF(PAJAK[[#This Row],[ID]]="","",COUNTIF(NOTA[ID_H],PAJAK[[#This Row],[ID]]))</f>
        <v>1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44931</v>
      </c>
      <c r="H4" s="42">
        <f ca="1">IF(PAJAK[[#This Row],[//]]="","",INDEX(INDIRECT("NOTA["&amp;PAJAK[#Headers]&amp;"]"),PAJAK[[#This Row],[//]]-2))</f>
        <v>44929</v>
      </c>
      <c r="I4" s="41" t="str">
        <f ca="1">IF(PAJAK[[#This Row],[//]]="","",INDEX(INDIRECT("NOTA["&amp;PAJAK[#Headers]&amp;"]"),PAJAK[[#This Row],[//]]-2))</f>
        <v>23010093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39295</v>
      </c>
      <c r="K4" s="186">
        <f ca="1">IF(PAJAK[[#This Row],[//]]="","",SUMIF(NOTA[ID_H],PAJAK[[#This Row],[ID]],NOTA[JUMLAH]))</f>
        <v>9300000</v>
      </c>
      <c r="L4" s="186">
        <f ca="1">IF(PAJAK[[#This Row],[//]]="","",SUMIF(NOTA[ID_H],PAJAK[[#This Row],[ID]],NOTA[DISC]))</f>
        <v>1581000</v>
      </c>
      <c r="M4" s="186">
        <f ca="1">PAJAK[[#This Row],[SUB TOTAL]]-PAJAK[[#This Row],[DISKON]]</f>
        <v>7719000</v>
      </c>
      <c r="N4" s="186">
        <f ca="1">IF(PAJAK[[#This Row],[//]]="","",INDEX(INDIRECT("NOTA["&amp;PAJAK[#Headers]&amp;"]"),PAJAK[[#This Row],[//]]-2+PAJAK[[#This Row],[QB]]-1))</f>
        <v>0</v>
      </c>
      <c r="O4" s="186">
        <f ca="1">(PAJAK[[#This Row],[SUB T-DISC]]-PAJAK[[#This Row],[DISC DLL]])/111%</f>
        <v>6954054.0540540535</v>
      </c>
      <c r="P4" s="186">
        <f ca="1">PAJAK[[#This Row],[DPP]]*PAJAK[[#This Row],[PPN]]</f>
        <v>764945.94594594592</v>
      </c>
      <c r="Q4" s="186">
        <f ca="1">PAJAK[[#This Row],[DPP]]+PAJAK[[#This Row],[PPN 11%]]</f>
        <v>7718999.9999999991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153">
        <f ca="1">HYPERLINK("[NOTA_.XLSX]NOTA!c"&amp;PAJAK[[#This Row],[//]],IF(PAJAK[[#This Row],[//]]="","",INDEX(INDIRECT("NOTA["&amp;PAJAK[#Headers]&amp;"]"),PAJAK[[#This Row],[//]]-2)))</f>
        <v>12</v>
      </c>
      <c r="C5" s="44" t="str">
        <f ca="1">IF(PAJAK[[#This Row],[//]]="","",INDEX(INDIRECT("NOTA["&amp;PAJAK[#Headers]&amp;"]"),PAJAK[[#This Row],[//]]-2))</f>
        <v>KEN_0501_016-10</v>
      </c>
      <c r="D5" s="44" t="e">
        <f ca="1">MATCH(PAJAK[[#This Row],[ID]],[2]!Table1[ID],0)</f>
        <v>#REF!</v>
      </c>
      <c r="E5" s="152">
        <f ca="1">IF(PAJAK[[#This Row],[ID]]="","",COUNTIF(NOTA[ID_H],PAJAK[[#This Row],[ID]]))</f>
        <v>10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44931</v>
      </c>
      <c r="H5" s="42">
        <f ca="1">IF(PAJAK[[#This Row],[//]]="","",INDEX(INDIRECT("NOTA["&amp;PAJAK[#Headers]&amp;"]"),PAJAK[[#This Row],[//]]-2))</f>
        <v>44928</v>
      </c>
      <c r="I5" s="41" t="str">
        <f ca="1">IF(PAJAK[[#This Row],[//]]="","",INDEX(INDIRECT("NOTA["&amp;PAJAK[#Headers]&amp;"]"),PAJAK[[#This Row],[//]]-2))</f>
        <v>23010016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39250</v>
      </c>
      <c r="K5" s="186">
        <f ca="1">IF(PAJAK[[#This Row],[//]]="","",SUMIF(NOTA[ID_H],PAJAK[[#This Row],[ID]],NOTA[JUMLAH]))</f>
        <v>38728800</v>
      </c>
      <c r="L5" s="186">
        <f ca="1">IF(PAJAK[[#This Row],[//]]="","",SUMIF(NOTA[ID_H],PAJAK[[#This Row],[ID]],NOTA[DISC]))</f>
        <v>6583896</v>
      </c>
      <c r="M5" s="186">
        <f ca="1">PAJAK[[#This Row],[SUB TOTAL]]-PAJAK[[#This Row],[DISKON]]</f>
        <v>32144904</v>
      </c>
      <c r="N5" s="186">
        <f ca="1">IF(PAJAK[[#This Row],[//]]="","",INDEX(INDIRECT("NOTA["&amp;PAJAK[#Headers]&amp;"]"),PAJAK[[#This Row],[//]]-2+PAJAK[[#This Row],[QB]]-1))</f>
        <v>0</v>
      </c>
      <c r="O5" s="186">
        <f ca="1">(PAJAK[[#This Row],[SUB T-DISC]]-PAJAK[[#This Row],[DISC DLL]])/111%</f>
        <v>28959372.97297297</v>
      </c>
      <c r="P5" s="186">
        <f ca="1">PAJAK[[#This Row],[DPP]]*PAJAK[[#This Row],[PPN]]</f>
        <v>3185531.0270270268</v>
      </c>
      <c r="Q5" s="186">
        <f ca="1">PAJAK[[#This Row],[DPP]]+PAJAK[[#This Row],[PPN 11%]]</f>
        <v>32144903.999999996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65</v>
      </c>
      <c r="B6" s="154">
        <f ca="1">HYPERLINK("[NOTA_.XLSX]NOTA!c"&amp;PAJAK[[#This Row],[//]],IF(PAJAK[[#This Row],[//]]="","",INDEX(INDIRECT("NOTA["&amp;PAJAK[#Headers]&amp;"]"),PAJAK[[#This Row],[//]]-2)))</f>
        <v>13</v>
      </c>
      <c r="C6" s="40" t="str">
        <f ca="1">IF(PAJAK[[#This Row],[//]]="","",INDEX(INDIRECT("NOTA["&amp;PAJAK[#Headers]&amp;"]"),PAJAK[[#This Row],[//]]-2))</f>
        <v>KEN_0501_019-8</v>
      </c>
      <c r="D6" s="40" t="e">
        <f ca="1">MATCH(PAJAK[[#This Row],[ID]],[2]!Table1[ID],0)</f>
        <v>#REF!</v>
      </c>
      <c r="E6" s="41">
        <f ca="1">IF(PAJAK[[#This Row],[ID]]="","",COUNTIF(NOTA[ID_H],PAJAK[[#This Row],[ID]]))</f>
        <v>8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44931</v>
      </c>
      <c r="H6" s="42">
        <f ca="1">IF(PAJAK[[#This Row],[//]]="","",INDEX(INDIRECT("NOTA["&amp;PAJAK[#Headers]&amp;"]"),PAJAK[[#This Row],[//]]-2))</f>
        <v>44928</v>
      </c>
      <c r="I6" s="41" t="str">
        <f ca="1">IF(PAJAK[[#This Row],[//]]="","",INDEX(INDIRECT("NOTA["&amp;PAJAK[#Headers]&amp;"]"),PAJAK[[#This Row],[//]]-2))</f>
        <v>23010019</v>
      </c>
      <c r="J6" s="40" t="str">
        <f ca="1">IF(OR(PAJAK[[#This Row],[//]]="",INDEX(INDIRECT("NOTA["&amp;PAJAK[#Headers]&amp;"]"),PAJAK[[#This Row],[//]]-2)=""),"",INDEX(INDIRECT("NOTA["&amp;PAJAK[#Headers]&amp;"]"),PAJAK[[#This Row],[//]]-2))</f>
        <v/>
      </c>
      <c r="K6" s="186">
        <f ca="1">IF(PAJAK[[#This Row],[//]]="","",SUMIF(NOTA[ID_H],PAJAK[[#This Row],[ID]],NOTA[JUMLAH]))</f>
        <v>64896000</v>
      </c>
      <c r="L6" s="186">
        <f ca="1">IF(PAJAK[[#This Row],[//]]="","",SUMIF(NOTA[ID_H],PAJAK[[#This Row],[ID]],NOTA[DISC]))</f>
        <v>11032320</v>
      </c>
      <c r="M6" s="186">
        <f ca="1">PAJAK[[#This Row],[SUB TOTAL]]-PAJAK[[#This Row],[DISKON]]</f>
        <v>53863680</v>
      </c>
      <c r="N6" s="186">
        <f ca="1">IF(PAJAK[[#This Row],[//]]="","",INDEX(INDIRECT("NOTA["&amp;PAJAK[#Headers]&amp;"]"),PAJAK[[#This Row],[//]]-2+PAJAK[[#This Row],[QB]]-1))</f>
        <v>0</v>
      </c>
      <c r="O6" s="186">
        <f ca="1">(PAJAK[[#This Row],[SUB T-DISC]]-PAJAK[[#This Row],[DISC DLL]])/111%</f>
        <v>48525837.83783783</v>
      </c>
      <c r="P6" s="186">
        <f ca="1">PAJAK[[#This Row],[DPP]]*PAJAK[[#This Row],[PPN]]</f>
        <v>5337842.1621621614</v>
      </c>
      <c r="Q6" s="186">
        <f ca="1">PAJAK[[#This Row],[DPP]]+PAJAK[[#This Row],[PPN 11%]]</f>
        <v>53863679.999999993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113</v>
      </c>
      <c r="B7" s="153">
        <f ca="1">HYPERLINK("[NOTA_.XLSX]NOTA!c"&amp;PAJAK[[#This Row],[//]],IF(PAJAK[[#This Row],[//]]="","",INDEX(INDIRECT("NOTA["&amp;PAJAK[#Headers]&amp;"]"),PAJAK[[#This Row],[//]]-2)))</f>
        <v>26</v>
      </c>
      <c r="C7" s="44" t="str">
        <f ca="1">IF(PAJAK[[#This Row],[//]]="","",INDEX(INDIRECT("NOTA["&amp;PAJAK[#Headers]&amp;"]"),PAJAK[[#This Row],[//]]-2))</f>
        <v>ATA_0701_214-9</v>
      </c>
      <c r="D7" s="44" t="e">
        <f ca="1">MATCH(PAJAK[[#This Row],[ID]],[2]!Table1[ID],0)</f>
        <v>#REF!</v>
      </c>
      <c r="E7" s="152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44933</v>
      </c>
      <c r="H7" s="42">
        <f ca="1">IF(PAJAK[[#This Row],[//]]="","",INDEX(INDIRECT("NOTA["&amp;PAJAK[#Headers]&amp;"]"),PAJAK[[#This Row],[//]]-2))</f>
        <v>44931</v>
      </c>
      <c r="I7" s="41" t="str">
        <f ca="1">IF(PAJAK[[#This Row],[//]]="","",INDEX(INDIRECT("NOTA["&amp;PAJAK[#Headers]&amp;"]"),PAJAK[[#This Row],[//]]-2))</f>
        <v>SA230100214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86">
        <f ca="1">IF(PAJAK[[#This Row],[//]]="","",SUMIF(NOTA[ID_H],PAJAK[[#This Row],[ID]],NOTA[JUMLAH]))</f>
        <v>14866600</v>
      </c>
      <c r="L7" s="186">
        <f ca="1">IF(PAJAK[[#This Row],[//]]="","",SUMIF(NOTA[ID_H],PAJAK[[#This Row],[ID]],NOTA[DISC]))</f>
        <v>2506059.75</v>
      </c>
      <c r="M7" s="186">
        <f ca="1">PAJAK[[#This Row],[SUB TOTAL]]-PAJAK[[#This Row],[DISKON]]</f>
        <v>12360540.25</v>
      </c>
      <c r="N7" s="186">
        <f ca="1">IF(PAJAK[[#This Row],[//]]="","",INDEX(INDIRECT("NOTA["&amp;PAJAK[#Headers]&amp;"]"),PAJAK[[#This Row],[//]]-2+PAJAK[[#This Row],[QB]]-1))</f>
        <v>96444</v>
      </c>
      <c r="O7" s="186">
        <f ca="1">(PAJAK[[#This Row],[SUB T-DISC]]-PAJAK[[#This Row],[DISC DLL]])/111%</f>
        <v>11048735.36036036</v>
      </c>
      <c r="P7" s="186">
        <f ca="1">PAJAK[[#This Row],[DPP]]*PAJAK[[#This Row],[PPN]]</f>
        <v>1215360.8896396395</v>
      </c>
      <c r="Q7" s="186">
        <f ca="1">PAJAK[[#This Row],[DPP]]+PAJAK[[#This Row],[PPN 11%]]</f>
        <v>12264096.25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123</v>
      </c>
      <c r="B8" s="153">
        <f ca="1">HYPERLINK("[NOTA_.XLSX]NOTA!c"&amp;PAJAK[[#This Row],[//]],IF(PAJAK[[#This Row],[//]]="","",INDEX(INDIRECT("NOTA["&amp;PAJAK[#Headers]&amp;"]"),PAJAK[[#This Row],[//]]-2)))</f>
        <v>27</v>
      </c>
      <c r="C8" s="44" t="str">
        <f ca="1">IF(PAJAK[[#This Row],[//]]="","",INDEX(INDIRECT("NOTA["&amp;PAJAK[#Headers]&amp;"]"),PAJAK[[#This Row],[//]]-2))</f>
        <v>ATA_0701_135-2</v>
      </c>
      <c r="D8" s="44" t="e">
        <f ca="1">MATCH(PAJAK[[#This Row],[ID]],[2]!Table1[ID],0)</f>
        <v>#REF!</v>
      </c>
      <c r="E8" s="152">
        <f ca="1">IF(PAJAK[[#This Row],[ID]]="","",COUNTIF(NOTA[ID_H],PAJAK[[#This Row],[ID]]))</f>
        <v>2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44933</v>
      </c>
      <c r="H8" s="42">
        <f ca="1">IF(PAJAK[[#This Row],[//]]="","",INDEX(INDIRECT("NOTA["&amp;PAJAK[#Headers]&amp;"]"),PAJAK[[#This Row],[//]]-2))</f>
        <v>44930</v>
      </c>
      <c r="I8" s="41" t="str">
        <f ca="1">IF(PAJAK[[#This Row],[//]]="","",INDEX(INDIRECT("NOTA["&amp;PAJAK[#Headers]&amp;"]"),PAJAK[[#This Row],[//]]-2))</f>
        <v>SA230100135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86">
        <f ca="1">IF(PAJAK[[#This Row],[//]]="","",SUMIF(NOTA[ID_H],PAJAK[[#This Row],[ID]],NOTA[JUMLAH]))</f>
        <v>7655000</v>
      </c>
      <c r="L8" s="186">
        <f ca="1">IF(PAJAK[[#This Row],[//]]="","",SUMIF(NOTA[ID_H],PAJAK[[#This Row],[ID]],NOTA[DISC]))</f>
        <v>1291781.25</v>
      </c>
      <c r="M8" s="186">
        <f ca="1">PAJAK[[#This Row],[SUB TOTAL]]-PAJAK[[#This Row],[DISKON]]</f>
        <v>6363218.75</v>
      </c>
      <c r="N8" s="186">
        <f ca="1">IF(PAJAK[[#This Row],[//]]="","",INDEX(INDIRECT("NOTA["&amp;PAJAK[#Headers]&amp;"]"),PAJAK[[#This Row],[//]]-2+PAJAK[[#This Row],[QB]]-1))</f>
        <v>0</v>
      </c>
      <c r="O8" s="186">
        <f ca="1">(PAJAK[[#This Row],[SUB T-DISC]]-PAJAK[[#This Row],[DISC DLL]])/111%</f>
        <v>5732629.5045045037</v>
      </c>
      <c r="P8" s="186">
        <f ca="1">PAJAK[[#This Row],[DPP]]*PAJAK[[#This Row],[PPN]]</f>
        <v>630589.24549549539</v>
      </c>
      <c r="Q8" s="186">
        <f ca="1">PAJAK[[#This Row],[DPP]]+PAJAK[[#This Row],[PPN 11%]]</f>
        <v>6363218.7499999991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126</v>
      </c>
      <c r="B9" s="153">
        <f ca="1">HYPERLINK("[NOTA_.XLSX]NOTA!c"&amp;PAJAK[[#This Row],[//]],IF(PAJAK[[#This Row],[//]]="","",INDEX(INDIRECT("NOTA["&amp;PAJAK[#Headers]&amp;"]"),PAJAK[[#This Row],[//]]-2)))</f>
        <v>28</v>
      </c>
      <c r="C9" s="44" t="str">
        <f ca="1">IF(PAJAK[[#This Row],[//]]="","",INDEX(INDIRECT("NOTA["&amp;PAJAK[#Headers]&amp;"]"),PAJAK[[#This Row],[//]]-2))</f>
        <v>ATA_0701_107-4</v>
      </c>
      <c r="D9" s="44" t="e">
        <f ca="1">MATCH(PAJAK[[#This Row],[ID]],[2]!Table1[ID],0)</f>
        <v>#REF!</v>
      </c>
      <c r="E9" s="152">
        <f ca="1">IF(PAJAK[[#This Row],[ID]]="","",COUNTIF(NOTA[ID_H],PAJAK[[#This Row],[ID]]))</f>
        <v>4</v>
      </c>
      <c r="F9" s="40" t="str">
        <f ca="1">IF(PAJAK[[#This Row],[//]]="","",INDEX(CONV[2],MATCH(INDEX(INDIRECT("NOTA["&amp;PAJAK[#Headers]&amp;"]"),PAJAK[[#This Row],[//]]-2),CONV[1],0),0))</f>
        <v>PT ATALI MAKMUR</v>
      </c>
      <c r="G9" s="42">
        <f ca="1">IF(PAJAK[[#This Row],[//]]="","",INDEX(NOTA[TGL_H],PAJAK[[#This Row],[//]]-2))</f>
        <v>44933</v>
      </c>
      <c r="H9" s="42">
        <f ca="1">IF(PAJAK[[#This Row],[//]]="","",INDEX(INDIRECT("NOTA["&amp;PAJAK[#Headers]&amp;"]"),PAJAK[[#This Row],[//]]-2))</f>
        <v>44564</v>
      </c>
      <c r="I9" s="41" t="str">
        <f ca="1">IF(PAJAK[[#This Row],[//]]="","",INDEX(INDIRECT("NOTA["&amp;PAJAK[#Headers]&amp;"]"),PAJAK[[#This Row],[//]]-2))</f>
        <v>SA230100107</v>
      </c>
      <c r="J9" s="40" t="str">
        <f ca="1">IF(OR(PAJAK[[#This Row],[//]]="",INDEX(INDIRECT("NOTA["&amp;PAJAK[#Headers]&amp;"]"),PAJAK[[#This Row],[//]]-2)=""),"",INDEX(INDIRECT("NOTA["&amp;PAJAK[#Headers]&amp;"]"),PAJAK[[#This Row],[//]]-2))</f>
        <v/>
      </c>
      <c r="K9" s="186">
        <f ca="1">IF(PAJAK[[#This Row],[//]]="","",SUMIF(NOTA[ID_H],PAJAK[[#This Row],[ID]],NOTA[JUMLAH]))</f>
        <v>27790000</v>
      </c>
      <c r="L9" s="186">
        <f ca="1">IF(PAJAK[[#This Row],[//]]="","",SUMIF(NOTA[ID_H],PAJAK[[#This Row],[ID]],NOTA[DISC]))</f>
        <v>4689562.5</v>
      </c>
      <c r="M9" s="186">
        <f ca="1">PAJAK[[#This Row],[SUB TOTAL]]-PAJAK[[#This Row],[DISKON]]</f>
        <v>23100437.5</v>
      </c>
      <c r="N9" s="186">
        <f ca="1">IF(PAJAK[[#This Row],[//]]="","",INDEX(INDIRECT("NOTA["&amp;PAJAK[#Headers]&amp;"]"),PAJAK[[#This Row],[//]]-2+PAJAK[[#This Row],[QB]]-1))</f>
        <v>0</v>
      </c>
      <c r="O9" s="186">
        <f ca="1">(PAJAK[[#This Row],[SUB T-DISC]]-PAJAK[[#This Row],[DISC DLL]])/111%</f>
        <v>20811204.954954952</v>
      </c>
      <c r="P9" s="186">
        <f ca="1">PAJAK[[#This Row],[DPP]]*PAJAK[[#This Row],[PPN]]</f>
        <v>2289232.5450450447</v>
      </c>
      <c r="Q9" s="186">
        <f ca="1">PAJAK[[#This Row],[DPP]]+PAJAK[[#This Row],[PPN 11%]]</f>
        <v>23100437.499999996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158</v>
      </c>
      <c r="B10" s="153">
        <f ca="1">HYPERLINK("[NOTA_.XLSX]NOTA!c"&amp;PAJAK[[#This Row],[//]],IF(PAJAK[[#This Row],[//]]="","",INDEX(INDIRECT("NOTA["&amp;PAJAK[#Headers]&amp;"]"),PAJAK[[#This Row],[//]]-2)))</f>
        <v>36</v>
      </c>
      <c r="C10" s="44" t="str">
        <f ca="1">IF(PAJAK[[#This Row],[//]]="","",INDEX(INDIRECT("NOTA["&amp;PAJAK[#Headers]&amp;"]"),PAJAK[[#This Row],[//]]-2))</f>
        <v>KEN_0901_463-6</v>
      </c>
      <c r="D10" s="44" t="e">
        <f ca="1">MATCH(PAJAK[[#This Row],[ID]],[2]!Table1[ID],0)</f>
        <v>#REF!</v>
      </c>
      <c r="E10" s="152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44935</v>
      </c>
      <c r="H10" s="42">
        <f ca="1">IF(PAJAK[[#This Row],[//]]="","",INDEX(INDIRECT("NOTA["&amp;PAJAK[#Headers]&amp;"]"),PAJAK[[#This Row],[//]]-2))</f>
        <v>44933</v>
      </c>
      <c r="I10" s="41" t="str">
        <f ca="1">IF(PAJAK[[#This Row],[//]]="","",INDEX(INDIRECT("NOTA["&amp;PAJAK[#Headers]&amp;"]"),PAJAK[[#This Row],[//]]-2))</f>
        <v>23010463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39404</v>
      </c>
      <c r="K10" s="186">
        <f ca="1">IF(PAJAK[[#This Row],[//]]="","",SUMIF(NOTA[ID_H],PAJAK[[#This Row],[ID]],NOTA[JUMLAH]))</f>
        <v>62796800</v>
      </c>
      <c r="L10" s="186">
        <f ca="1">IF(PAJAK[[#This Row],[//]]="","",SUMIF(NOTA[ID_H],PAJAK[[#This Row],[ID]],NOTA[DISC]))</f>
        <v>10675456</v>
      </c>
      <c r="M10" s="186">
        <f ca="1">PAJAK[[#This Row],[SUB TOTAL]]-PAJAK[[#This Row],[DISKON]]</f>
        <v>52121344</v>
      </c>
      <c r="N10" s="186">
        <f ca="1">IF(PAJAK[[#This Row],[//]]="","",INDEX(INDIRECT("NOTA["&amp;PAJAK[#Headers]&amp;"]"),PAJAK[[#This Row],[//]]-2+PAJAK[[#This Row],[QB]]-1))</f>
        <v>0</v>
      </c>
      <c r="O10" s="186">
        <f ca="1">(PAJAK[[#This Row],[SUB T-DISC]]-PAJAK[[#This Row],[DISC DLL]])/111%</f>
        <v>46956165.765765764</v>
      </c>
      <c r="P10" s="186">
        <f ca="1">PAJAK[[#This Row],[DPP]]*PAJAK[[#This Row],[PPN]]</f>
        <v>5165178.2342342343</v>
      </c>
      <c r="Q10" s="186">
        <f ca="1">PAJAK[[#This Row],[DPP]]+PAJAK[[#This Row],[PPN 11%]]</f>
        <v>52121344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165</v>
      </c>
      <c r="B11" s="153">
        <f ca="1">HYPERLINK("[NOTA_.XLSX]NOTA!c"&amp;PAJAK[[#This Row],[//]],IF(PAJAK[[#This Row],[//]]="","",INDEX(INDIRECT("NOTA["&amp;PAJAK[#Headers]&amp;"]"),PAJAK[[#This Row],[//]]-2)))</f>
        <v>37</v>
      </c>
      <c r="C11" s="44" t="str">
        <f ca="1">IF(PAJAK[[#This Row],[//]]="","",INDEX(INDIRECT("NOTA["&amp;PAJAK[#Headers]&amp;"]"),PAJAK[[#This Row],[//]]-2))</f>
        <v>KEN_0901_446-10</v>
      </c>
      <c r="D11" s="44" t="e">
        <f ca="1">MATCH(PAJAK[[#This Row],[ID]],[2]!Table1[ID],0)</f>
        <v>#REF!</v>
      </c>
      <c r="E11" s="152">
        <f ca="1">IF(PAJAK[[#This Row],[ID]]="","",COUNTIF(NOTA[ID_H],PAJAK[[#This Row],[ID]]))</f>
        <v>10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44935</v>
      </c>
      <c r="H11" s="42">
        <f ca="1">IF(PAJAK[[#This Row],[//]]="","",INDEX(INDIRECT("NOTA["&amp;PAJAK[#Headers]&amp;"]"),PAJAK[[#This Row],[//]]-2))</f>
        <v>44933</v>
      </c>
      <c r="I11" s="41" t="str">
        <f ca="1">IF(PAJAK[[#This Row],[//]]="","",INDEX(INDIRECT("NOTA["&amp;PAJAK[#Headers]&amp;"]"),PAJAK[[#This Row],[//]]-2))</f>
        <v>23010446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39399</v>
      </c>
      <c r="K11" s="186">
        <f ca="1">IF(PAJAK[[#This Row],[//]]="","",SUMIF(NOTA[ID_H],PAJAK[[#This Row],[ID]],NOTA[JUMLAH]))</f>
        <v>68415200</v>
      </c>
      <c r="L11" s="186">
        <f ca="1">IF(PAJAK[[#This Row],[//]]="","",SUMIF(NOTA[ID_H],PAJAK[[#This Row],[ID]],NOTA[DISC]))</f>
        <v>11630584</v>
      </c>
      <c r="M11" s="186">
        <f ca="1">PAJAK[[#This Row],[SUB TOTAL]]-PAJAK[[#This Row],[DISKON]]</f>
        <v>56784616</v>
      </c>
      <c r="N11" s="186">
        <f ca="1">IF(PAJAK[[#This Row],[//]]="","",INDEX(INDIRECT("NOTA["&amp;PAJAK[#Headers]&amp;"]"),PAJAK[[#This Row],[//]]-2+PAJAK[[#This Row],[QB]]-1))</f>
        <v>0</v>
      </c>
      <c r="O11" s="186">
        <f ca="1">(PAJAK[[#This Row],[SUB T-DISC]]-PAJAK[[#This Row],[DISC DLL]])/111%</f>
        <v>51157311.711711705</v>
      </c>
      <c r="P11" s="186">
        <f ca="1">PAJAK[[#This Row],[DPP]]*PAJAK[[#This Row],[PPN]]</f>
        <v>5627304.2882882878</v>
      </c>
      <c r="Q11" s="186">
        <f ca="1">PAJAK[[#This Row],[DPP]]+PAJAK[[#This Row],[PPN 11%]]</f>
        <v>56784615.999999993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176</v>
      </c>
      <c r="B12" s="153">
        <f ca="1">HYPERLINK("[NOTA_.XLSX]NOTA!c"&amp;PAJAK[[#This Row],[//]],IF(PAJAK[[#This Row],[//]]="","",INDEX(INDIRECT("NOTA["&amp;PAJAK[#Headers]&amp;"]"),PAJAK[[#This Row],[//]]-2)))</f>
        <v>38</v>
      </c>
      <c r="C12" s="44" t="str">
        <f ca="1">IF(PAJAK[[#This Row],[//]]="","",INDEX(INDIRECT("NOTA["&amp;PAJAK[#Headers]&amp;"]"),PAJAK[[#This Row],[//]]-2))</f>
        <v>KEN_0901_447-9</v>
      </c>
      <c r="D12" s="44" t="e">
        <f ca="1">MATCH(PAJAK[[#This Row],[ID]],[2]!Table1[ID],0)</f>
        <v>#REF!</v>
      </c>
      <c r="E12" s="152">
        <f ca="1">IF(PAJAK[[#This Row],[ID]]="","",COUNTIF(NOTA[ID_H],PAJAK[[#This Row],[ID]]))</f>
        <v>9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44935</v>
      </c>
      <c r="H12" s="42">
        <f ca="1">IF(PAJAK[[#This Row],[//]]="","",INDEX(INDIRECT("NOTA["&amp;PAJAK[#Headers]&amp;"]"),PAJAK[[#This Row],[//]]-2))</f>
        <v>44933</v>
      </c>
      <c r="I12" s="41" t="str">
        <f ca="1">IF(PAJAK[[#This Row],[//]]="","",INDEX(INDIRECT("NOTA["&amp;PAJAK[#Headers]&amp;"]"),PAJAK[[#This Row],[//]]-2))</f>
        <v>23010447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39400</v>
      </c>
      <c r="K12" s="186">
        <f ca="1">IF(PAJAK[[#This Row],[//]]="","",SUMIF(NOTA[ID_H],PAJAK[[#This Row],[ID]],NOTA[JUMLAH]))</f>
        <v>18692200</v>
      </c>
      <c r="L12" s="186">
        <f ca="1">IF(PAJAK[[#This Row],[//]]="","",SUMIF(NOTA[ID_H],PAJAK[[#This Row],[ID]],NOTA[DISC]))</f>
        <v>3177674</v>
      </c>
      <c r="M12" s="186">
        <f ca="1">PAJAK[[#This Row],[SUB TOTAL]]-PAJAK[[#This Row],[DISKON]]</f>
        <v>15514526</v>
      </c>
      <c r="N12" s="186">
        <f ca="1">IF(PAJAK[[#This Row],[//]]="","",INDEX(INDIRECT("NOTA["&amp;PAJAK[#Headers]&amp;"]"),PAJAK[[#This Row],[//]]-2+PAJAK[[#This Row],[QB]]-1))</f>
        <v>0</v>
      </c>
      <c r="O12" s="186">
        <f ca="1">(PAJAK[[#This Row],[SUB T-DISC]]-PAJAK[[#This Row],[DISC DLL]])/111%</f>
        <v>13977050.450450448</v>
      </c>
      <c r="P12" s="186">
        <f ca="1">PAJAK[[#This Row],[DPP]]*PAJAK[[#This Row],[PPN]]</f>
        <v>1537475.5495495494</v>
      </c>
      <c r="Q12" s="186">
        <f ca="1">PAJAK[[#This Row],[DPP]]+PAJAK[[#This Row],[PPN 11%]]</f>
        <v>15514525.999999998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186</v>
      </c>
      <c r="B13" s="153">
        <f ca="1">HYPERLINK("[NOTA_.XLSX]NOTA!c"&amp;PAJAK[[#This Row],[//]],IF(PAJAK[[#This Row],[//]]="","",INDEX(INDIRECT("NOTA["&amp;PAJAK[#Headers]&amp;"]"),PAJAK[[#This Row],[//]]-2)))</f>
        <v>39</v>
      </c>
      <c r="C13" s="44" t="str">
        <f ca="1">IF(PAJAK[[#This Row],[//]]="","",INDEX(INDIRECT("NOTA["&amp;PAJAK[#Headers]&amp;"]"),PAJAK[[#This Row],[//]]-2))</f>
        <v>KEN_0901_462-10</v>
      </c>
      <c r="D13" s="44" t="e">
        <f ca="1">MATCH(PAJAK[[#This Row],[ID]],[2]!Table1[ID],0)</f>
        <v>#REF!</v>
      </c>
      <c r="E13" s="152">
        <f ca="1">IF(PAJAK[[#This Row],[ID]]="","",COUNTIF(NOTA[ID_H],PAJAK[[#This Row],[ID]]))</f>
        <v>10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44935</v>
      </c>
      <c r="H13" s="42">
        <f ca="1">IF(PAJAK[[#This Row],[//]]="","",INDEX(INDIRECT("NOTA["&amp;PAJAK[#Headers]&amp;"]"),PAJAK[[#This Row],[//]]-2))</f>
        <v>44933</v>
      </c>
      <c r="I13" s="41" t="str">
        <f ca="1">IF(PAJAK[[#This Row],[//]]="","",INDEX(INDIRECT("NOTA["&amp;PAJAK[#Headers]&amp;"]"),PAJAK[[#This Row],[//]]-2))</f>
        <v>23010462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39403</v>
      </c>
      <c r="K13" s="186">
        <f ca="1">IF(PAJAK[[#This Row],[//]]="","",SUMIF(NOTA[ID_H],PAJAK[[#This Row],[ID]],NOTA[JUMLAH]))</f>
        <v>21766600</v>
      </c>
      <c r="L13" s="186">
        <f ca="1">IF(PAJAK[[#This Row],[//]]="","",SUMIF(NOTA[ID_H],PAJAK[[#This Row],[ID]],NOTA[DISC]))</f>
        <v>3700322</v>
      </c>
      <c r="M13" s="186">
        <f ca="1">PAJAK[[#This Row],[SUB TOTAL]]-PAJAK[[#This Row],[DISKON]]</f>
        <v>18066278</v>
      </c>
      <c r="N13" s="186">
        <f ca="1">IF(PAJAK[[#This Row],[//]]="","",INDEX(INDIRECT("NOTA["&amp;PAJAK[#Headers]&amp;"]"),PAJAK[[#This Row],[//]]-2+PAJAK[[#This Row],[QB]]-1))</f>
        <v>0</v>
      </c>
      <c r="O13" s="186">
        <f ca="1">(PAJAK[[#This Row],[SUB T-DISC]]-PAJAK[[#This Row],[DISC DLL]])/111%</f>
        <v>16275926.126126125</v>
      </c>
      <c r="P13" s="186">
        <f ca="1">PAJAK[[#This Row],[DPP]]*PAJAK[[#This Row],[PPN]]</f>
        <v>1790351.8738738738</v>
      </c>
      <c r="Q13" s="186">
        <f ca="1">PAJAK[[#This Row],[DPP]]+PAJAK[[#This Row],[PPN 11%]]</f>
        <v>18066278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197</v>
      </c>
      <c r="B14" s="153">
        <f ca="1">HYPERLINK("[NOTA_.XLSX]NOTA!c"&amp;PAJAK[[#This Row],[//]],IF(PAJAK[[#This Row],[//]]="","",INDEX(INDIRECT("NOTA["&amp;PAJAK[#Headers]&amp;"]"),PAJAK[[#This Row],[//]]-2)))</f>
        <v>40</v>
      </c>
      <c r="C14" s="44" t="str">
        <f ca="1">IF(PAJAK[[#This Row],[//]]="","",INDEX(INDIRECT("NOTA["&amp;PAJAK[#Headers]&amp;"]"),PAJAK[[#This Row],[//]]-2))</f>
        <v>KEN_0901_132-3</v>
      </c>
      <c r="D14" s="44" t="e">
        <f ca="1">MATCH(PAJAK[[#This Row],[ID]],[2]!Table1[ID],0)</f>
        <v>#REF!</v>
      </c>
      <c r="E14" s="152">
        <f ca="1">IF(PAJAK[[#This Row],[ID]]="","",COUNTIF(NOTA[ID_H],PAJAK[[#This Row],[ID]]))</f>
        <v>3</v>
      </c>
      <c r="F14" s="40" t="str">
        <f ca="1">IF(PAJAK[[#This Row],[//]]="","",INDEX(CONV[2],MATCH(INDEX(INDIRECT("NOTA["&amp;PAJAK[#Headers]&amp;"]"),PAJAK[[#This Row],[//]]-2),CONV[1],0),0))</f>
        <v>PT KENKO SINAR INDONESIA</v>
      </c>
      <c r="G14" s="42">
        <f ca="1">IF(PAJAK[[#This Row],[//]]="","",INDEX(NOTA[TGL_H],PAJAK[[#This Row],[//]]-2))</f>
        <v>44935</v>
      </c>
      <c r="H14" s="42">
        <f ca="1">IF(PAJAK[[#This Row],[//]]="","",INDEX(INDIRECT("NOTA["&amp;PAJAK[#Headers]&amp;"]"),PAJAK[[#This Row],[//]]-2))</f>
        <v>44930</v>
      </c>
      <c r="I14" s="41" t="str">
        <f ca="1">IF(PAJAK[[#This Row],[//]]="","",INDEX(INDIRECT("NOTA["&amp;PAJAK[#Headers]&amp;"]"),PAJAK[[#This Row],[//]]-2))</f>
        <v>23010132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>SA 39304</v>
      </c>
      <c r="K14" s="186">
        <f ca="1">IF(PAJAK[[#This Row],[//]]="","",SUMIF(NOTA[ID_H],PAJAK[[#This Row],[ID]],NOTA[JUMLAH]))</f>
        <v>46848000</v>
      </c>
      <c r="L14" s="186">
        <f ca="1">IF(PAJAK[[#This Row],[//]]="","",SUMIF(NOTA[ID_H],PAJAK[[#This Row],[ID]],NOTA[DISC]))</f>
        <v>7964160</v>
      </c>
      <c r="M14" s="186">
        <f ca="1">PAJAK[[#This Row],[SUB TOTAL]]-PAJAK[[#This Row],[DISKON]]</f>
        <v>38883840</v>
      </c>
      <c r="N14" s="186">
        <f ca="1">IF(PAJAK[[#This Row],[//]]="","",INDEX(INDIRECT("NOTA["&amp;PAJAK[#Headers]&amp;"]"),PAJAK[[#This Row],[//]]-2+PAJAK[[#This Row],[QB]]-1))</f>
        <v>0</v>
      </c>
      <c r="O14" s="186">
        <f ca="1">(PAJAK[[#This Row],[SUB T-DISC]]-PAJAK[[#This Row],[DISC DLL]])/111%</f>
        <v>35030486.486486487</v>
      </c>
      <c r="P14" s="186">
        <f ca="1">PAJAK[[#This Row],[DPP]]*PAJAK[[#This Row],[PPN]]</f>
        <v>3853353.5135135134</v>
      </c>
      <c r="Q14" s="186">
        <f ca="1">PAJAK[[#This Row],[DPP]]+PAJAK[[#This Row],[PPN 11%]]</f>
        <v>38883840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201</v>
      </c>
      <c r="B15" s="153">
        <f ca="1">HYPERLINK("[NOTA_.XLSX]NOTA!c"&amp;PAJAK[[#This Row],[//]],IF(PAJAK[[#This Row],[//]]="","",INDEX(INDIRECT("NOTA["&amp;PAJAK[#Headers]&amp;"]"),PAJAK[[#This Row],[//]]-2)))</f>
        <v>41</v>
      </c>
      <c r="C15" s="44" t="str">
        <f ca="1">IF(PAJAK[[#This Row],[//]]="","",INDEX(INDIRECT("NOTA["&amp;PAJAK[#Headers]&amp;"]"),PAJAK[[#This Row],[//]]-2))</f>
        <v>KEN_0901_152-9</v>
      </c>
      <c r="D15" s="44" t="e">
        <f ca="1">MATCH(PAJAK[[#This Row],[ID]],[2]!Table1[ID],0)</f>
        <v>#REF!</v>
      </c>
      <c r="E15" s="152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44935</v>
      </c>
      <c r="H15" s="42">
        <f ca="1">IF(PAJAK[[#This Row],[//]]="","",INDEX(INDIRECT("NOTA["&amp;PAJAK[#Headers]&amp;"]"),PAJAK[[#This Row],[//]]-2))</f>
        <v>44930</v>
      </c>
      <c r="I15" s="41" t="str">
        <f ca="1">IF(PAJAK[[#This Row],[//]]="","",INDEX(INDIRECT("NOTA["&amp;PAJAK[#Headers]&amp;"]"),PAJAK[[#This Row],[//]]-2))</f>
        <v>23010152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39327</v>
      </c>
      <c r="K15" s="186">
        <f ca="1">IF(PAJAK[[#This Row],[//]]="","",SUMIF(NOTA[ID_H],PAJAK[[#This Row],[ID]],NOTA[JUMLAH]))</f>
        <v>38163200</v>
      </c>
      <c r="L15" s="186">
        <f ca="1">IF(PAJAK[[#This Row],[//]]="","",SUMIF(NOTA[ID_H],PAJAK[[#This Row],[ID]],NOTA[DISC]))</f>
        <v>6487744</v>
      </c>
      <c r="M15" s="186">
        <f ca="1">PAJAK[[#This Row],[SUB TOTAL]]-PAJAK[[#This Row],[DISKON]]</f>
        <v>31675456</v>
      </c>
      <c r="N15" s="186">
        <f ca="1">IF(PAJAK[[#This Row],[//]]="","",INDEX(INDIRECT("NOTA["&amp;PAJAK[#Headers]&amp;"]"),PAJAK[[#This Row],[//]]-2+PAJAK[[#This Row],[QB]]-1))</f>
        <v>0</v>
      </c>
      <c r="O15" s="186">
        <f ca="1">(PAJAK[[#This Row],[SUB T-DISC]]-PAJAK[[#This Row],[DISC DLL]])/111%</f>
        <v>28536446.846846845</v>
      </c>
      <c r="P15" s="186">
        <f ca="1">PAJAK[[#This Row],[DPP]]*PAJAK[[#This Row],[PPN]]</f>
        <v>3139009.1531531531</v>
      </c>
      <c r="Q15" s="186">
        <f ca="1">PAJAK[[#This Row],[DPP]]+PAJAK[[#This Row],[PPN 11%]]</f>
        <v>31675456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211</v>
      </c>
      <c r="B16" s="153">
        <f ca="1">HYPERLINK("[NOTA_.XLSX]NOTA!c"&amp;PAJAK[[#This Row],[//]],IF(PAJAK[[#This Row],[//]]="","",INDEX(INDIRECT("NOTA["&amp;PAJAK[#Headers]&amp;"]"),PAJAK[[#This Row],[//]]-2)))</f>
        <v>42</v>
      </c>
      <c r="C16" s="44" t="str">
        <f ca="1">IF(PAJAK[[#This Row],[//]]="","",INDEX(INDIRECT("NOTA["&amp;PAJAK[#Headers]&amp;"]"),PAJAK[[#This Row],[//]]-2))</f>
        <v>KEN_0901_249-1</v>
      </c>
      <c r="D16" s="44" t="e">
        <f ca="1">MATCH(PAJAK[[#This Row],[ID]],[2]!Table1[ID],0)</f>
        <v>#REF!</v>
      </c>
      <c r="E16" s="152">
        <f ca="1">IF(PAJAK[[#This Row],[ID]]="","",COUNTIF(NOTA[ID_H],PAJAK[[#This Row],[ID]]))</f>
        <v>1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44935</v>
      </c>
      <c r="H16" s="42">
        <f ca="1">IF(PAJAK[[#This Row],[//]]="","",INDEX(INDIRECT("NOTA["&amp;PAJAK[#Headers]&amp;"]"),PAJAK[[#This Row],[//]]-2))</f>
        <v>44931</v>
      </c>
      <c r="I16" s="41" t="str">
        <f ca="1">IF(PAJAK[[#This Row],[//]]="","",INDEX(INDIRECT("NOTA["&amp;PAJAK[#Headers]&amp;"]"),PAJAK[[#This Row],[//]]-2))</f>
        <v>23010249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39358</v>
      </c>
      <c r="K16" s="186">
        <f ca="1">IF(PAJAK[[#This Row],[//]]="","",SUMIF(NOTA[ID_H],PAJAK[[#This Row],[ID]],NOTA[JUMLAH]))</f>
        <v>10854000</v>
      </c>
      <c r="L16" s="186">
        <f ca="1">IF(PAJAK[[#This Row],[//]]="","",SUMIF(NOTA[ID_H],PAJAK[[#This Row],[ID]],NOTA[DISC]))</f>
        <v>1845180.0000000002</v>
      </c>
      <c r="M16" s="186">
        <f ca="1">PAJAK[[#This Row],[SUB TOTAL]]-PAJAK[[#This Row],[DISKON]]</f>
        <v>9008820</v>
      </c>
      <c r="N16" s="186">
        <f ca="1">IF(PAJAK[[#This Row],[//]]="","",INDEX(INDIRECT("NOTA["&amp;PAJAK[#Headers]&amp;"]"),PAJAK[[#This Row],[//]]-2+PAJAK[[#This Row],[QB]]-1))</f>
        <v>0</v>
      </c>
      <c r="O16" s="186">
        <f ca="1">(PAJAK[[#This Row],[SUB T-DISC]]-PAJAK[[#This Row],[DISC DLL]])/111%</f>
        <v>8116054.0540540535</v>
      </c>
      <c r="P16" s="186">
        <f ca="1">PAJAK[[#This Row],[DPP]]*PAJAK[[#This Row],[PPN]]</f>
        <v>892765.94594594592</v>
      </c>
      <c r="Q16" s="186">
        <f ca="1">PAJAK[[#This Row],[DPP]]+PAJAK[[#This Row],[PPN 11%]]</f>
        <v>9008820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213</v>
      </c>
      <c r="B17" s="153">
        <f ca="1">HYPERLINK("[NOTA_.XLSX]NOTA!c"&amp;PAJAK[[#This Row],[//]],IF(PAJAK[[#This Row],[//]]="","",INDEX(INDIRECT("NOTA["&amp;PAJAK[#Headers]&amp;"]"),PAJAK[[#This Row],[//]]-2)))</f>
        <v>43</v>
      </c>
      <c r="C17" s="44" t="str">
        <f ca="1">IF(PAJAK[[#This Row],[//]]="","",INDEX(INDIRECT("NOTA["&amp;PAJAK[#Headers]&amp;"]"),PAJAK[[#This Row],[//]]-2))</f>
        <v>KEN_0901_211-7</v>
      </c>
      <c r="D17" s="44" t="e">
        <f ca="1">MATCH(PAJAK[[#This Row],[ID]],[2]!Table1[ID],0)</f>
        <v>#REF!</v>
      </c>
      <c r="E17" s="152">
        <f ca="1">IF(PAJAK[[#This Row],[ID]]="","",COUNTIF(NOTA[ID_H],PAJAK[[#This Row],[ID]]))</f>
        <v>7</v>
      </c>
      <c r="F17" s="40" t="str">
        <f ca="1">IF(PAJAK[[#This Row],[//]]="","",INDEX(CONV[2],MATCH(INDEX(INDIRECT("NOTA["&amp;PAJAK[#Headers]&amp;"]"),PAJAK[[#This Row],[//]]-2),CONV[1],0),0))</f>
        <v>PT KENKO SINAR INDONESIA</v>
      </c>
      <c r="G17" s="42">
        <f ca="1">IF(PAJAK[[#This Row],[//]]="","",INDEX(NOTA[TGL_H],PAJAK[[#This Row],[//]]-2))</f>
        <v>44935</v>
      </c>
      <c r="H17" s="42">
        <f ca="1">IF(PAJAK[[#This Row],[//]]="","",INDEX(INDIRECT("NOTA["&amp;PAJAK[#Headers]&amp;"]"),PAJAK[[#This Row],[//]]-2))</f>
        <v>44931</v>
      </c>
      <c r="I17" s="41" t="str">
        <f ca="1">IF(PAJAK[[#This Row],[//]]="","",INDEX(INDIRECT("NOTA["&amp;PAJAK[#Headers]&amp;"]"),PAJAK[[#This Row],[//]]-2))</f>
        <v>23010211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>SA 39328</v>
      </c>
      <c r="K17" s="186">
        <f ca="1">IF(PAJAK[[#This Row],[//]]="","",SUMIF(NOTA[ID_H],PAJAK[[#This Row],[ID]],NOTA[JUMLAH]))</f>
        <v>25041600</v>
      </c>
      <c r="L17" s="186">
        <f ca="1">IF(PAJAK[[#This Row],[//]]="","",SUMIF(NOTA[ID_H],PAJAK[[#This Row],[ID]],NOTA[DISC]))</f>
        <v>4257072</v>
      </c>
      <c r="M17" s="186">
        <f ca="1">PAJAK[[#This Row],[SUB TOTAL]]-PAJAK[[#This Row],[DISKON]]</f>
        <v>20784528</v>
      </c>
      <c r="N17" s="186">
        <f ca="1">IF(PAJAK[[#This Row],[//]]="","",INDEX(INDIRECT("NOTA["&amp;PAJAK[#Headers]&amp;"]"),PAJAK[[#This Row],[//]]-2+PAJAK[[#This Row],[QB]]-1))</f>
        <v>0</v>
      </c>
      <c r="O17" s="186">
        <f ca="1">(PAJAK[[#This Row],[SUB T-DISC]]-PAJAK[[#This Row],[DISC DLL]])/111%</f>
        <v>18724800</v>
      </c>
      <c r="P17" s="186">
        <f ca="1">PAJAK[[#This Row],[DPP]]*PAJAK[[#This Row],[PPN]]</f>
        <v>2059728</v>
      </c>
      <c r="Q17" s="186">
        <f ca="1">PAJAK[[#This Row],[DPP]]+PAJAK[[#This Row],[PPN 11%]]</f>
        <v>20784528</v>
      </c>
      <c r="R17" s="43" t="str">
        <f ca="1">IF(ISNUMBER(PAJAK[[#This Row],[//]]),PPN,"")</f>
        <v>11%</v>
      </c>
    </row>
    <row r="18" spans="1:18" x14ac:dyDescent="0.25">
      <c r="A18" s="44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221</v>
      </c>
      <c r="B18" s="153">
        <f ca="1">HYPERLINK("[NOTA_.XLSX]NOTA!c"&amp;PAJAK[[#This Row],[//]],IF(PAJAK[[#This Row],[//]]="","",INDEX(INDIRECT("NOTA["&amp;PAJAK[#Headers]&amp;"]"),PAJAK[[#This Row],[//]]-2)))</f>
        <v>44</v>
      </c>
      <c r="C18" s="44" t="str">
        <f ca="1">IF(PAJAK[[#This Row],[//]]="","",INDEX(INDIRECT("NOTA["&amp;PAJAK[#Headers]&amp;"]"),PAJAK[[#This Row],[//]]-2))</f>
        <v>KEN_0901_343-4</v>
      </c>
      <c r="D18" s="44" t="e">
        <f ca="1">MATCH(PAJAK[[#This Row],[ID]],[2]!Table1[ID],0)</f>
        <v>#REF!</v>
      </c>
      <c r="E18" s="152">
        <f ca="1">IF(PAJAK[[#This Row],[ID]]="","",COUNTIF(NOTA[ID_H],PAJAK[[#This Row],[ID]]))</f>
        <v>4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44935</v>
      </c>
      <c r="H18" s="42">
        <f ca="1">IF(PAJAK[[#This Row],[//]]="","",INDEX(INDIRECT("NOTA["&amp;PAJAK[#Headers]&amp;"]"),PAJAK[[#This Row],[//]]-2))</f>
        <v>44932</v>
      </c>
      <c r="I18" s="41" t="str">
        <f ca="1">IF(PAJAK[[#This Row],[//]]="","",INDEX(INDIRECT("NOTA["&amp;PAJAK[#Headers]&amp;"]"),PAJAK[[#This Row],[//]]-2))</f>
        <v>23010343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39372</v>
      </c>
      <c r="K18" s="186">
        <f ca="1">IF(PAJAK[[#This Row],[//]]="","",SUMIF(NOTA[ID_H],PAJAK[[#This Row],[ID]],NOTA[JUMLAH]))</f>
        <v>29440800</v>
      </c>
      <c r="L18" s="186">
        <f ca="1">IF(PAJAK[[#This Row],[//]]="","",SUMIF(NOTA[ID_H],PAJAK[[#This Row],[ID]],NOTA[DISC]))</f>
        <v>5004936.0000000009</v>
      </c>
      <c r="M18" s="186">
        <f ca="1">PAJAK[[#This Row],[SUB TOTAL]]-PAJAK[[#This Row],[DISKON]]</f>
        <v>24435864</v>
      </c>
      <c r="N18" s="186">
        <f ca="1">IF(PAJAK[[#This Row],[//]]="","",INDEX(INDIRECT("NOTA["&amp;PAJAK[#Headers]&amp;"]"),PAJAK[[#This Row],[//]]-2+PAJAK[[#This Row],[QB]]-1))</f>
        <v>0</v>
      </c>
      <c r="O18" s="186">
        <f ca="1">(PAJAK[[#This Row],[SUB T-DISC]]-PAJAK[[#This Row],[DISC DLL]])/111%</f>
        <v>22014291.891891889</v>
      </c>
      <c r="P18" s="186">
        <f ca="1">PAJAK[[#This Row],[DPP]]*PAJAK[[#This Row],[PPN]]</f>
        <v>2421572.1081081079</v>
      </c>
      <c r="Q18" s="186">
        <f ca="1">PAJAK[[#This Row],[DPP]]+PAJAK[[#This Row],[PPN 11%]]</f>
        <v>24435863.999999996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226</v>
      </c>
      <c r="B19" s="153">
        <f ca="1">HYPERLINK("[NOTA_.XLSX]NOTA!c"&amp;PAJAK[[#This Row],[//]],IF(PAJAK[[#This Row],[//]]="","",INDEX(INDIRECT("NOTA["&amp;PAJAK[#Headers]&amp;"]"),PAJAK[[#This Row],[//]]-2)))</f>
        <v>45</v>
      </c>
      <c r="C19" s="44" t="str">
        <f ca="1">IF(PAJAK[[#This Row],[//]]="","",INDEX(INDIRECT("NOTA["&amp;PAJAK[#Headers]&amp;"]"),PAJAK[[#This Row],[//]]-2))</f>
        <v>KEN_0901_336-10</v>
      </c>
      <c r="D19" s="44" t="e">
        <f ca="1">MATCH(PAJAK[[#This Row],[ID]],[2]!Table1[ID],0)</f>
        <v>#REF!</v>
      </c>
      <c r="E19" s="152">
        <f ca="1">IF(PAJAK[[#This Row],[ID]]="","",COUNTIF(NOTA[ID_H],PAJAK[[#This Row],[ID]]))</f>
        <v>10</v>
      </c>
      <c r="F19" s="40" t="str">
        <f ca="1">IF(PAJAK[[#This Row],[//]]="","",INDEX(CONV[2],MATCH(INDEX(INDIRECT("NOTA["&amp;PAJAK[#Headers]&amp;"]"),PAJAK[[#This Row],[//]]-2),CONV[1],0),0))</f>
        <v>PT KENKO SINAR INDONESIA</v>
      </c>
      <c r="G19" s="42">
        <f ca="1">IF(PAJAK[[#This Row],[//]]="","",INDEX(NOTA[TGL_H],PAJAK[[#This Row],[//]]-2))</f>
        <v>44935</v>
      </c>
      <c r="H19" s="42">
        <f ca="1">IF(PAJAK[[#This Row],[//]]="","",INDEX(INDIRECT("NOTA["&amp;PAJAK[#Headers]&amp;"]"),PAJAK[[#This Row],[//]]-2))</f>
        <v>44932</v>
      </c>
      <c r="I19" s="41" t="str">
        <f ca="1">IF(PAJAK[[#This Row],[//]]="","",INDEX(INDIRECT("NOTA["&amp;PAJAK[#Headers]&amp;"]"),PAJAK[[#This Row],[//]]-2))</f>
        <v>23010336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>SA 39358</v>
      </c>
      <c r="K19" s="186">
        <f ca="1">IF(PAJAK[[#This Row],[//]]="","",SUMIF(NOTA[ID_H],PAJAK[[#This Row],[ID]],NOTA[JUMLAH]))</f>
        <v>49284000</v>
      </c>
      <c r="L19" s="186">
        <f ca="1">IF(PAJAK[[#This Row],[//]]="","",SUMIF(NOTA[ID_H],PAJAK[[#This Row],[ID]],NOTA[DISC]))</f>
        <v>8378280</v>
      </c>
      <c r="M19" s="186">
        <f ca="1">PAJAK[[#This Row],[SUB TOTAL]]-PAJAK[[#This Row],[DISKON]]</f>
        <v>40905720</v>
      </c>
      <c r="N19" s="186">
        <f ca="1">IF(PAJAK[[#This Row],[//]]="","",INDEX(INDIRECT("NOTA["&amp;PAJAK[#Headers]&amp;"]"),PAJAK[[#This Row],[//]]-2+PAJAK[[#This Row],[QB]]-1))</f>
        <v>0</v>
      </c>
      <c r="O19" s="186">
        <f ca="1">(PAJAK[[#This Row],[SUB T-DISC]]-PAJAK[[#This Row],[DISC DLL]])/111%</f>
        <v>36852000</v>
      </c>
      <c r="P19" s="186">
        <f ca="1">PAJAK[[#This Row],[DPP]]*PAJAK[[#This Row],[PPN]]</f>
        <v>4053720</v>
      </c>
      <c r="Q19" s="186">
        <f ca="1">PAJAK[[#This Row],[DPP]]+PAJAK[[#This Row],[PPN 11%]]</f>
        <v>40905720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253</v>
      </c>
      <c r="B20" s="153">
        <f ca="1">HYPERLINK("[NOTA_.XLSX]NOTA!c"&amp;PAJAK[[#This Row],[//]],IF(PAJAK[[#This Row],[//]]="","",INDEX(INDIRECT("NOTA["&amp;PAJAK[#Headers]&amp;"]"),PAJAK[[#This Row],[//]]-2)))</f>
        <v>52</v>
      </c>
      <c r="C20" s="44" t="str">
        <f ca="1">IF(PAJAK[[#This Row],[//]]="","",INDEX(INDIRECT("NOTA["&amp;PAJAK[#Headers]&amp;"]"),PAJAK[[#This Row],[//]]-2))</f>
        <v>ATA_1101_292-8</v>
      </c>
      <c r="D20" s="44" t="e">
        <f ca="1">MATCH(PAJAK[[#This Row],[ID]],[2]!Table1[ID],0)</f>
        <v>#REF!</v>
      </c>
      <c r="E20" s="152">
        <f ca="1">IF(PAJAK[[#This Row],[ID]]="","",COUNTIF(NOTA[ID_H],PAJAK[[#This Row],[ID]]))</f>
        <v>8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44937</v>
      </c>
      <c r="H20" s="42">
        <f ca="1">IF(PAJAK[[#This Row],[//]]="","",INDEX(INDIRECT("NOTA["&amp;PAJAK[#Headers]&amp;"]"),PAJAK[[#This Row],[//]]-2))</f>
        <v>44932</v>
      </c>
      <c r="I20" s="41" t="str">
        <f ca="1">IF(PAJAK[[#This Row],[//]]="","",INDEX(INDIRECT("NOTA["&amp;PAJAK[#Headers]&amp;"]"),PAJAK[[#This Row],[//]]-2))</f>
        <v>SA230100292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186">
        <f ca="1">IF(PAJAK[[#This Row],[//]]="","",SUMIF(NOTA[ID_H],PAJAK[[#This Row],[ID]],NOTA[JUMLAH]))</f>
        <v>11177800</v>
      </c>
      <c r="L20" s="186">
        <f ca="1">IF(PAJAK[[#This Row],[//]]="","",SUMIF(NOTA[ID_H],PAJAK[[#This Row],[ID]],NOTA[DISC]))</f>
        <v>1884315.75</v>
      </c>
      <c r="M20" s="186">
        <f ca="1">PAJAK[[#This Row],[SUB TOTAL]]-PAJAK[[#This Row],[DISKON]]</f>
        <v>9293484.25</v>
      </c>
      <c r="N20" s="186">
        <f ca="1">IF(PAJAK[[#This Row],[//]]="","",INDEX(INDIRECT("NOTA["&amp;PAJAK[#Headers]&amp;"]"),PAJAK[[#This Row],[//]]-2+PAJAK[[#This Row],[QB]]-1))</f>
        <v>69768</v>
      </c>
      <c r="O20" s="186">
        <f ca="1">(PAJAK[[#This Row],[SUB T-DISC]]-PAJAK[[#This Row],[DISC DLL]])/111%</f>
        <v>8309654.2792792786</v>
      </c>
      <c r="P20" s="186">
        <f ca="1">PAJAK[[#This Row],[DPP]]*PAJAK[[#This Row],[PPN]]</f>
        <v>914061.97072072059</v>
      </c>
      <c r="Q20" s="186">
        <f ca="1">PAJAK[[#This Row],[DPP]]+PAJAK[[#This Row],[PPN 11%]]</f>
        <v>9223716.25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262</v>
      </c>
      <c r="B21" s="153">
        <f ca="1">HYPERLINK("[NOTA_.XLSX]NOTA!c"&amp;PAJAK[[#This Row],[//]],IF(PAJAK[[#This Row],[//]]="","",INDEX(INDIRECT("NOTA["&amp;PAJAK[#Headers]&amp;"]"),PAJAK[[#This Row],[//]]-2)))</f>
        <v>53</v>
      </c>
      <c r="C21" s="44" t="str">
        <f ca="1">IF(PAJAK[[#This Row],[//]]="","",INDEX(INDIRECT("NOTA["&amp;PAJAK[#Headers]&amp;"]"),PAJAK[[#This Row],[//]]-2))</f>
        <v>ATA_1101_352-10</v>
      </c>
      <c r="D21" s="44" t="e">
        <f ca="1">MATCH(PAJAK[[#This Row],[ID]],[2]!Table1[ID],0)</f>
        <v>#REF!</v>
      </c>
      <c r="E21" s="152">
        <f ca="1">IF(PAJAK[[#This Row],[ID]]="","",COUNTIF(NOTA[ID_H],PAJAK[[#This Row],[ID]]))</f>
        <v>10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44937</v>
      </c>
      <c r="H21" s="42">
        <f ca="1">IF(PAJAK[[#This Row],[//]]="","",INDEX(INDIRECT("NOTA["&amp;PAJAK[#Headers]&amp;"]"),PAJAK[[#This Row],[//]]-2))</f>
        <v>44932</v>
      </c>
      <c r="I21" s="41" t="str">
        <f ca="1">IF(PAJAK[[#This Row],[//]]="","",INDEX(INDIRECT("NOTA["&amp;PAJAK[#Headers]&amp;"]"),PAJAK[[#This Row],[//]]-2))</f>
        <v>SA230100352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186">
        <f ca="1">IF(PAJAK[[#This Row],[//]]="","",SUMIF(NOTA[ID_H],PAJAK[[#This Row],[ID]],NOTA[JUMLAH]))</f>
        <v>24200200</v>
      </c>
      <c r="L21" s="186">
        <f ca="1">IF(PAJAK[[#This Row],[//]]="","",SUMIF(NOTA[ID_H],PAJAK[[#This Row],[ID]],NOTA[DISC]))</f>
        <v>4082586.75</v>
      </c>
      <c r="M21" s="186">
        <f ca="1">PAJAK[[#This Row],[SUB TOTAL]]-PAJAK[[#This Row],[DISKON]]</f>
        <v>20117613.25</v>
      </c>
      <c r="N21" s="186">
        <f ca="1">IF(PAJAK[[#This Row],[//]]="","",INDEX(INDIRECT("NOTA["&amp;PAJAK[#Headers]&amp;"]"),PAJAK[[#This Row],[//]]-2+PAJAK[[#This Row],[QB]]-1))</f>
        <v>43092</v>
      </c>
      <c r="O21" s="186">
        <f ca="1">(PAJAK[[#This Row],[SUB T-DISC]]-PAJAK[[#This Row],[DISC DLL]])/111%</f>
        <v>18085154.279279277</v>
      </c>
      <c r="P21" s="186">
        <f ca="1">PAJAK[[#This Row],[DPP]]*PAJAK[[#This Row],[PPN]]</f>
        <v>1989366.9707207205</v>
      </c>
      <c r="Q21" s="186">
        <f ca="1">PAJAK[[#This Row],[DPP]]+PAJAK[[#This Row],[PPN 11%]]</f>
        <v>20074521.249999996</v>
      </c>
      <c r="R21" s="43" t="str">
        <f ca="1">IF(ISNUMBER(PAJAK[[#This Row],[//]]),PPN,"")</f>
        <v>11%</v>
      </c>
    </row>
    <row r="22" spans="1:18" x14ac:dyDescent="0.25">
      <c r="A22" s="44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273</v>
      </c>
      <c r="B22" s="153">
        <f ca="1">HYPERLINK("[NOTA_.XLSX]NOTA!c"&amp;PAJAK[[#This Row],[//]],IF(PAJAK[[#This Row],[//]]="","",INDEX(INDIRECT("NOTA["&amp;PAJAK[#Headers]&amp;"]"),PAJAK[[#This Row],[//]]-2)))</f>
        <v>54</v>
      </c>
      <c r="C22" s="44" t="str">
        <f ca="1">IF(PAJAK[[#This Row],[//]]="","",INDEX(INDIRECT("NOTA["&amp;PAJAK[#Headers]&amp;"]"),PAJAK[[#This Row],[//]]-2))</f>
        <v>ATA_1101_291-11</v>
      </c>
      <c r="D22" s="44" t="e">
        <f ca="1">MATCH(PAJAK[[#This Row],[ID]],[2]!Table1[ID],0)</f>
        <v>#REF!</v>
      </c>
      <c r="E22" s="152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ATALI MAKMUR</v>
      </c>
      <c r="G22" s="42">
        <f ca="1">IF(PAJAK[[#This Row],[//]]="","",INDEX(NOTA[TGL_H],PAJAK[[#This Row],[//]]-2))</f>
        <v>44937</v>
      </c>
      <c r="H22" s="42">
        <f ca="1">IF(PAJAK[[#This Row],[//]]="","",INDEX(INDIRECT("NOTA["&amp;PAJAK[#Headers]&amp;"]"),PAJAK[[#This Row],[//]]-2))</f>
        <v>44932</v>
      </c>
      <c r="I22" s="41" t="str">
        <f ca="1">IF(PAJAK[[#This Row],[//]]="","",INDEX(INDIRECT("NOTA["&amp;PAJAK[#Headers]&amp;"]"),PAJAK[[#This Row],[//]]-2))</f>
        <v>SA230100291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186">
        <f ca="1">IF(PAJAK[[#This Row],[//]]="","",SUMIF(NOTA[ID_H],PAJAK[[#This Row],[ID]],NOTA[JUMLAH]))</f>
        <v>23740500</v>
      </c>
      <c r="L22" s="186">
        <f ca="1">IF(PAJAK[[#This Row],[//]]="","",SUMIF(NOTA[ID_H],PAJAK[[#This Row],[ID]],NOTA[DISC]))</f>
        <v>4006209.375</v>
      </c>
      <c r="M22" s="186">
        <f ca="1">PAJAK[[#This Row],[SUB TOTAL]]-PAJAK[[#This Row],[DISKON]]</f>
        <v>19734290.625</v>
      </c>
      <c r="N22" s="186">
        <f ca="1">IF(PAJAK[[#This Row],[//]]="","",INDEX(INDIRECT("NOTA["&amp;PAJAK[#Headers]&amp;"]"),PAJAK[[#This Row],[//]]-2+PAJAK[[#This Row],[QB]]-1))</f>
        <v>0</v>
      </c>
      <c r="O22" s="186">
        <f ca="1">(PAJAK[[#This Row],[SUB T-DISC]]-PAJAK[[#This Row],[DISC DLL]])/111%</f>
        <v>17778640.202702701</v>
      </c>
      <c r="P22" s="186">
        <f ca="1">PAJAK[[#This Row],[DPP]]*PAJAK[[#This Row],[PPN]]</f>
        <v>1955650.422297297</v>
      </c>
      <c r="Q22" s="186">
        <f ca="1">PAJAK[[#This Row],[DPP]]+PAJAK[[#This Row],[PPN 11%]]</f>
        <v>19734290.625</v>
      </c>
      <c r="R22" s="43" t="str">
        <f ca="1">IF(ISNUMBER(PAJAK[[#This Row],[//]]),PPN,"")</f>
        <v>11%</v>
      </c>
    </row>
    <row r="23" spans="1:18" x14ac:dyDescent="0.25">
      <c r="A23" s="44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285</v>
      </c>
      <c r="B23" s="153">
        <f ca="1">HYPERLINK("[NOTA_.XLSX]NOTA!c"&amp;PAJAK[[#This Row],[//]],IF(PAJAK[[#This Row],[//]]="","",INDEX(INDIRECT("NOTA["&amp;PAJAK[#Headers]&amp;"]"),PAJAK[[#This Row],[//]]-2)))</f>
        <v>55</v>
      </c>
      <c r="C23" s="44" t="str">
        <f ca="1">IF(PAJAK[[#This Row],[//]]="","",INDEX(INDIRECT("NOTA["&amp;PAJAK[#Headers]&amp;"]"),PAJAK[[#This Row],[//]]-2))</f>
        <v>KAL_1101_066-3</v>
      </c>
      <c r="D23" s="44" t="e">
        <f ca="1">MATCH(PAJAK[[#This Row],[ID]],[2]!Table1[ID],0)</f>
        <v>#REF!</v>
      </c>
      <c r="E23" s="152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KALINDO SUKSES</v>
      </c>
      <c r="G23" s="42">
        <f ca="1">IF(PAJAK[[#This Row],[//]]="","",INDEX(NOTA[TGL_H],PAJAK[[#This Row],[//]]-2))</f>
        <v>44937</v>
      </c>
      <c r="H23" s="42">
        <f ca="1">IF(PAJAK[[#This Row],[//]]="","",INDEX(INDIRECT("NOTA["&amp;PAJAK[#Headers]&amp;"]"),PAJAK[[#This Row],[//]]-2))</f>
        <v>44932</v>
      </c>
      <c r="I23" s="41" t="str">
        <f ca="1">IF(PAJAK[[#This Row],[//]]="","",INDEX(INDIRECT("NOTA["&amp;PAJAK[#Headers]&amp;"]"),PAJAK[[#This Row],[//]]-2))</f>
        <v>SN23010066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/>
      </c>
      <c r="K23" s="186">
        <f ca="1">IF(PAJAK[[#This Row],[//]]="","",SUMIF(NOTA[ID_H],PAJAK[[#This Row],[ID]],NOTA[JUMLAH]))</f>
        <v>30080000</v>
      </c>
      <c r="L23" s="186">
        <f ca="1">IF(PAJAK[[#This Row],[//]]="","",SUMIF(NOTA[ID_H],PAJAK[[#This Row],[ID]],NOTA[DISC]))</f>
        <v>6392000</v>
      </c>
      <c r="M23" s="186">
        <f ca="1">PAJAK[[#This Row],[SUB TOTAL]]-PAJAK[[#This Row],[DISKON]]</f>
        <v>23688000</v>
      </c>
      <c r="N23" s="186">
        <f ca="1">IF(PAJAK[[#This Row],[//]]="","",INDEX(INDIRECT("NOTA["&amp;PAJAK[#Headers]&amp;"]"),PAJAK[[#This Row],[//]]-2+PAJAK[[#This Row],[QB]]-1))</f>
        <v>0</v>
      </c>
      <c r="O23" s="186">
        <f ca="1">(PAJAK[[#This Row],[SUB T-DISC]]-PAJAK[[#This Row],[DISC DLL]])/111%</f>
        <v>21340540.540540539</v>
      </c>
      <c r="P23" s="186">
        <f ca="1">PAJAK[[#This Row],[DPP]]*PAJAK[[#This Row],[PPN]]</f>
        <v>2347459.4594594594</v>
      </c>
      <c r="Q23" s="186">
        <f ca="1">PAJAK[[#This Row],[DPP]]+PAJAK[[#This Row],[PPN 11%]]</f>
        <v>23688000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289</v>
      </c>
      <c r="B24" s="153">
        <f ca="1">HYPERLINK("[NOTA_.XLSX]NOTA!c"&amp;PAJAK[[#This Row],[//]],IF(PAJAK[[#This Row],[//]]="","",INDEX(INDIRECT("NOTA["&amp;PAJAK[#Headers]&amp;"]"),PAJAK[[#This Row],[//]]-2)))</f>
        <v>56</v>
      </c>
      <c r="C24" s="44" t="str">
        <f ca="1">IF(PAJAK[[#This Row],[//]]="","",INDEX(INDIRECT("NOTA["&amp;PAJAK[#Headers]&amp;"]"),PAJAK[[#This Row],[//]]-2))</f>
        <v>ATA_1101_433-7</v>
      </c>
      <c r="D24" s="44" t="e">
        <f ca="1">MATCH(PAJAK[[#This Row],[ID]],[2]!Table1[ID],0)</f>
        <v>#REF!</v>
      </c>
      <c r="E24" s="152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ATALI MAKMUR</v>
      </c>
      <c r="G24" s="42">
        <f ca="1">IF(PAJAK[[#This Row],[//]]="","",INDEX(NOTA[TGL_H],PAJAK[[#This Row],[//]]-2))</f>
        <v>44937</v>
      </c>
      <c r="H24" s="42">
        <f ca="1">IF(PAJAK[[#This Row],[//]]="","",INDEX(INDIRECT("NOTA["&amp;PAJAK[#Headers]&amp;"]"),PAJAK[[#This Row],[//]]-2))</f>
        <v>44933</v>
      </c>
      <c r="I24" s="41" t="str">
        <f ca="1">IF(PAJAK[[#This Row],[//]]="","",INDEX(INDIRECT("NOTA["&amp;PAJAK[#Headers]&amp;"]"),PAJAK[[#This Row],[//]]-2))</f>
        <v>SA230100433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/>
      </c>
      <c r="K24" s="186">
        <f ca="1">IF(PAJAK[[#This Row],[//]]="","",SUMIF(NOTA[ID_H],PAJAK[[#This Row],[ID]],NOTA[JUMLAH]))</f>
        <v>38340000</v>
      </c>
      <c r="L24" s="186">
        <f ca="1">IF(PAJAK[[#This Row],[//]]="","",SUMIF(NOTA[ID_H],PAJAK[[#This Row],[ID]],NOTA[DISC]))</f>
        <v>6469875</v>
      </c>
      <c r="M24" s="186">
        <f ca="1">PAJAK[[#This Row],[SUB TOTAL]]-PAJAK[[#This Row],[DISKON]]</f>
        <v>31870125</v>
      </c>
      <c r="N24" s="186">
        <f ca="1">IF(PAJAK[[#This Row],[//]]="","",INDEX(INDIRECT("NOTA["&amp;PAJAK[#Headers]&amp;"]"),PAJAK[[#This Row],[//]]-2+PAJAK[[#This Row],[QB]]-1))</f>
        <v>0</v>
      </c>
      <c r="O24" s="186">
        <f ca="1">(PAJAK[[#This Row],[SUB T-DISC]]-PAJAK[[#This Row],[DISC DLL]])/111%</f>
        <v>28711824.324324321</v>
      </c>
      <c r="P24" s="186">
        <f ca="1">PAJAK[[#This Row],[DPP]]*PAJAK[[#This Row],[PPN]]</f>
        <v>3158300.6756756753</v>
      </c>
      <c r="Q24" s="186">
        <f ca="1">PAJAK[[#This Row],[DPP]]+PAJAK[[#This Row],[PPN 11%]]</f>
        <v>31870124.999999996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297</v>
      </c>
      <c r="B25" s="40">
        <f ca="1">HYPERLINK("[NOTA_.XLSX]NOTA!c"&amp;PAJAK[[#This Row],[//]],IF(PAJAK[[#This Row],[//]]="","",INDEX(INDIRECT("NOTA["&amp;PAJAK[#Headers]&amp;"]"),PAJAK[[#This Row],[//]]-2)))</f>
        <v>57</v>
      </c>
      <c r="C25" s="40" t="str">
        <f ca="1">IF(PAJAK[[#This Row],[//]]="","",INDEX(INDIRECT("NOTA["&amp;PAJAK[#Headers]&amp;"]"),PAJAK[[#This Row],[//]]-2))</f>
        <v>KEN_1101_542-9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9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44937</v>
      </c>
      <c r="H25" s="42">
        <f ca="1">IF(PAJAK[[#This Row],[//]]="","",INDEX(INDIRECT("NOTA["&amp;PAJAK[#Headers]&amp;"]"),PAJAK[[#This Row],[//]]-2))</f>
        <v>44935</v>
      </c>
      <c r="I25" s="41" t="str">
        <f ca="1">IF(PAJAK[[#This Row],[//]]="","",INDEX(INDIRECT("NOTA["&amp;PAJAK[#Headers]&amp;"]"),PAJAK[[#This Row],[//]]-2))</f>
        <v>23010542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39419</v>
      </c>
      <c r="K25" s="186">
        <f ca="1">IF(PAJAK[[#This Row],[//]]="","",SUMIF(NOTA[ID_H],PAJAK[[#This Row],[ID]],NOTA[JUMLAH]))</f>
        <v>66351200</v>
      </c>
      <c r="L25" s="186">
        <f ca="1">IF(PAJAK[[#This Row],[//]]="","",SUMIF(NOTA[ID_H],PAJAK[[#This Row],[ID]],NOTA[DISC]))</f>
        <v>11279704</v>
      </c>
      <c r="M25" s="186">
        <f ca="1">PAJAK[[#This Row],[SUB TOTAL]]-PAJAK[[#This Row],[DISKON]]</f>
        <v>55071496</v>
      </c>
      <c r="N25" s="186">
        <f ca="1">IF(PAJAK[[#This Row],[//]]="","",INDEX(INDIRECT("NOTA["&amp;PAJAK[#Headers]&amp;"]"),PAJAK[[#This Row],[//]]-2+PAJAK[[#This Row],[QB]]-1))</f>
        <v>0</v>
      </c>
      <c r="O25" s="186">
        <f ca="1">(PAJAK[[#This Row],[SUB T-DISC]]-PAJAK[[#This Row],[DISC DLL]])/111%</f>
        <v>49613960.360360354</v>
      </c>
      <c r="P25" s="186">
        <f ca="1">PAJAK[[#This Row],[DPP]]*PAJAK[[#This Row],[PPN]]</f>
        <v>5457535.6396396393</v>
      </c>
      <c r="Q25" s="186">
        <f ca="1">PAJAK[[#This Row],[DPP]]+PAJAK[[#This Row],[PPN 11%]]</f>
        <v>55071495.999999993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307</v>
      </c>
      <c r="B26" s="153">
        <f ca="1">HYPERLINK("[NOTA_.XLSX]NOTA!c"&amp;PAJAK[[#This Row],[//]],IF(PAJAK[[#This Row],[//]]="","",INDEX(INDIRECT("NOTA["&amp;PAJAK[#Headers]&amp;"]"),PAJAK[[#This Row],[//]]-2)))</f>
        <v>58</v>
      </c>
      <c r="C26" s="44" t="str">
        <f ca="1">IF(PAJAK[[#This Row],[//]]="","",INDEX(INDIRECT("NOTA["&amp;PAJAK[#Headers]&amp;"]"),PAJAK[[#This Row],[//]]-2))</f>
        <v>KEN_1101_528-2</v>
      </c>
      <c r="D26" s="44" t="e">
        <f ca="1">MATCH(PAJAK[[#This Row],[ID]],[2]!Table1[ID],0)</f>
        <v>#REF!</v>
      </c>
      <c r="E26" s="152">
        <f ca="1">IF(PAJAK[[#This Row],[ID]]="","",COUNTIF(NOTA[ID_H],PAJAK[[#This Row],[ID]]))</f>
        <v>2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44937</v>
      </c>
      <c r="H26" s="42">
        <f ca="1">IF(PAJAK[[#This Row],[//]]="","",INDEX(INDIRECT("NOTA["&amp;PAJAK[#Headers]&amp;"]"),PAJAK[[#This Row],[//]]-2))</f>
        <v>44935</v>
      </c>
      <c r="I26" s="41" t="str">
        <f ca="1">IF(PAJAK[[#This Row],[//]]="","",INDEX(INDIRECT("NOTA["&amp;PAJAK[#Headers]&amp;"]"),PAJAK[[#This Row],[//]]-2))</f>
        <v>23010528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39409</v>
      </c>
      <c r="K26" s="186">
        <f ca="1">IF(PAJAK[[#This Row],[//]]="","",SUMIF(NOTA[ID_H],PAJAK[[#This Row],[ID]],NOTA[JUMLAH]))</f>
        <v>11064000</v>
      </c>
      <c r="L26" s="186">
        <f ca="1">IF(PAJAK[[#This Row],[//]]="","",SUMIF(NOTA[ID_H],PAJAK[[#This Row],[ID]],NOTA[DISC]))</f>
        <v>1880880.0000000002</v>
      </c>
      <c r="M26" s="186">
        <f ca="1">PAJAK[[#This Row],[SUB TOTAL]]-PAJAK[[#This Row],[DISKON]]</f>
        <v>9183120</v>
      </c>
      <c r="N26" s="186">
        <f ca="1">IF(PAJAK[[#This Row],[//]]="","",INDEX(INDIRECT("NOTA["&amp;PAJAK[#Headers]&amp;"]"),PAJAK[[#This Row],[//]]-2+PAJAK[[#This Row],[QB]]-1))</f>
        <v>0</v>
      </c>
      <c r="O26" s="186">
        <f ca="1">(PAJAK[[#This Row],[SUB T-DISC]]-PAJAK[[#This Row],[DISC DLL]])/111%</f>
        <v>8273081.0810810803</v>
      </c>
      <c r="P26" s="186">
        <f ca="1">PAJAK[[#This Row],[DPP]]*PAJAK[[#This Row],[PPN]]</f>
        <v>910038.91891891882</v>
      </c>
      <c r="Q26" s="186">
        <f ca="1">PAJAK[[#This Row],[DPP]]+PAJAK[[#This Row],[PPN 11%]]</f>
        <v>9183120</v>
      </c>
      <c r="R26" s="43" t="str">
        <f ca="1">IF(ISNUMBER(PAJAK[[#This Row],[//]]),PPN,"")</f>
        <v>11%</v>
      </c>
    </row>
    <row r="27" spans="1:18" x14ac:dyDescent="0.25">
      <c r="A27" s="40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323</v>
      </c>
      <c r="B27" s="40">
        <f ca="1">HYPERLINK("[NOTA_.XLSX]NOTA!c"&amp;PAJAK[[#This Row],[//]],IF(PAJAK[[#This Row],[//]]="","",INDEX(INDIRECT("NOTA["&amp;PAJAK[#Headers]&amp;"]"),PAJAK[[#This Row],[//]]-2)))</f>
        <v>65</v>
      </c>
      <c r="C27" s="40" t="str">
        <f ca="1">IF(PAJAK[[#This Row],[//]]="","",INDEX(INDIRECT("NOTA["&amp;PAJAK[#Headers]&amp;"]"),PAJAK[[#This Row],[//]]-2))</f>
        <v>ATA_1201_431-11</v>
      </c>
      <c r="D27" s="40" t="e">
        <f ca="1">MATCH(PAJAK[[#This Row],[ID]],[2]!Table1[ID],0)</f>
        <v>#REF!</v>
      </c>
      <c r="E27" s="41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44938</v>
      </c>
      <c r="H27" s="42">
        <f ca="1">IF(PAJAK[[#This Row],[//]]="","",INDEX(INDIRECT("NOTA["&amp;PAJAK[#Headers]&amp;"]"),PAJAK[[#This Row],[//]]-2))</f>
        <v>44933</v>
      </c>
      <c r="I27" s="41" t="str">
        <f ca="1">IF(PAJAK[[#This Row],[//]]="","",INDEX(INDIRECT("NOTA["&amp;PAJAK[#Headers]&amp;"]"),PAJAK[[#This Row],[//]]-2))</f>
        <v>SA230100431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186">
        <f ca="1">IF(PAJAK[[#This Row],[//]]="","",SUMIF(NOTA[ID_H],PAJAK[[#This Row],[ID]],NOTA[JUMLAH]))</f>
        <v>69385000</v>
      </c>
      <c r="L27" s="186">
        <f ca="1">IF(PAJAK[[#This Row],[//]]="","",SUMIF(NOTA[ID_H],PAJAK[[#This Row],[ID]],NOTA[DISC]))</f>
        <v>11708718.75</v>
      </c>
      <c r="M27" s="186">
        <f ca="1">PAJAK[[#This Row],[SUB TOTAL]]-PAJAK[[#This Row],[DISKON]]</f>
        <v>57676281.25</v>
      </c>
      <c r="N27" s="186">
        <f ca="1">IF(PAJAK[[#This Row],[//]]="","",INDEX(INDIRECT("NOTA["&amp;PAJAK[#Headers]&amp;"]"),PAJAK[[#This Row],[//]]-2+PAJAK[[#This Row],[QB]]-1))</f>
        <v>0</v>
      </c>
      <c r="O27" s="186">
        <f ca="1">(PAJAK[[#This Row],[SUB T-DISC]]-PAJAK[[#This Row],[DISC DLL]])/111%</f>
        <v>51960613.738738731</v>
      </c>
      <c r="P27" s="186">
        <f ca="1">PAJAK[[#This Row],[DPP]]*PAJAK[[#This Row],[PPN]]</f>
        <v>5715667.5112612601</v>
      </c>
      <c r="Q27" s="186">
        <f ca="1">PAJAK[[#This Row],[DPP]]+PAJAK[[#This Row],[PPN 11%]]</f>
        <v>57676281.249999993</v>
      </c>
      <c r="R27" s="43" t="str">
        <f ca="1">IF(ISNUMBER(PAJAK[[#This Row],[//]]),PPN,"")</f>
        <v>11%</v>
      </c>
    </row>
    <row r="28" spans="1:18" x14ac:dyDescent="0.25">
      <c r="A28" s="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335</v>
      </c>
      <c r="B28" s="40">
        <f ca="1">HYPERLINK("[NOTA_.XLSX]NOTA!c"&amp;PAJAK[[#This Row],[//]],IF(PAJAK[[#This Row],[//]]="","",INDEX(INDIRECT("NOTA["&amp;PAJAK[#Headers]&amp;"]"),PAJAK[[#This Row],[//]]-2)))</f>
        <v>66</v>
      </c>
      <c r="C28" s="40" t="str">
        <f ca="1">IF(PAJAK[[#This Row],[//]]="","",INDEX(INDIRECT("NOTA["&amp;PAJAK[#Headers]&amp;"]"),PAJAK[[#This Row],[//]]-2))</f>
        <v>ATA_1201_432-9</v>
      </c>
      <c r="D28" s="40" t="e">
        <f ca="1">MATCH(PAJAK[[#This Row],[ID]],[2]!Table1[ID],0)</f>
        <v>#REF!</v>
      </c>
      <c r="E28" s="41">
        <f ca="1">IF(PAJAK[[#This Row],[ID]]="","",COUNTIF(NOTA[ID_H],PAJAK[[#This Row],[ID]]))</f>
        <v>9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44938</v>
      </c>
      <c r="H28" s="42">
        <f ca="1">IF(PAJAK[[#This Row],[//]]="","",INDEX(INDIRECT("NOTA["&amp;PAJAK[#Headers]&amp;"]"),PAJAK[[#This Row],[//]]-2))</f>
        <v>44933</v>
      </c>
      <c r="I28" s="41" t="str">
        <f ca="1">IF(PAJAK[[#This Row],[//]]="","",INDEX(INDIRECT("NOTA["&amp;PAJAK[#Headers]&amp;"]"),PAJAK[[#This Row],[//]]-2))</f>
        <v>SA230100432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186">
        <f ca="1">IF(PAJAK[[#This Row],[//]]="","",SUMIF(NOTA[ID_H],PAJAK[[#This Row],[ID]],NOTA[JUMLAH]))</f>
        <v>23601600</v>
      </c>
      <c r="L28" s="186">
        <f ca="1">IF(PAJAK[[#This Row],[//]]="","",SUMIF(NOTA[ID_H],PAJAK[[#This Row],[ID]],NOTA[DISC]))</f>
        <v>3982770</v>
      </c>
      <c r="M28" s="186">
        <f ca="1">PAJAK[[#This Row],[SUB TOTAL]]-PAJAK[[#This Row],[DISKON]]</f>
        <v>19618830</v>
      </c>
      <c r="N28" s="186">
        <f ca="1">IF(PAJAK[[#This Row],[//]]="","",INDEX(INDIRECT("NOTA["&amp;PAJAK[#Headers]&amp;"]"),PAJAK[[#This Row],[//]]-2+PAJAK[[#This Row],[QB]]-1))</f>
        <v>0</v>
      </c>
      <c r="O28" s="186">
        <f ca="1">(PAJAK[[#This Row],[SUB T-DISC]]-PAJAK[[#This Row],[DISC DLL]])/111%</f>
        <v>17674621.62162162</v>
      </c>
      <c r="P28" s="186">
        <f ca="1">PAJAK[[#This Row],[DPP]]*PAJAK[[#This Row],[PPN]]</f>
        <v>1944208.3783783782</v>
      </c>
      <c r="Q28" s="186">
        <f ca="1">PAJAK[[#This Row],[DPP]]+PAJAK[[#This Row],[PPN 11%]]</f>
        <v>19618830</v>
      </c>
      <c r="R28" s="43" t="str">
        <f ca="1">IF(ISNUMBER(PAJAK[[#This Row],[//]]),PPN,"")</f>
        <v>11%</v>
      </c>
    </row>
    <row r="29" spans="1:18" x14ac:dyDescent="0.25">
      <c r="A29" s="4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345</v>
      </c>
      <c r="B29" s="40">
        <f ca="1">HYPERLINK("[NOTA_.XLSX]NOTA!c"&amp;PAJAK[[#This Row],[//]],IF(PAJAK[[#This Row],[//]]="","",INDEX(INDIRECT("NOTA["&amp;PAJAK[#Headers]&amp;"]"),PAJAK[[#This Row],[//]]-2)))</f>
        <v>67</v>
      </c>
      <c r="C29" s="40" t="str">
        <f ca="1">IF(PAJAK[[#This Row],[//]]="","",INDEX(INDIRECT("NOTA["&amp;PAJAK[#Headers]&amp;"]"),PAJAK[[#This Row],[//]]-2))</f>
        <v>KAL_1201_093-11</v>
      </c>
      <c r="D29" s="40" t="e">
        <f ca="1">MATCH(PAJAK[[#This Row],[ID]],[2]!Table1[ID],0)</f>
        <v>#REF!</v>
      </c>
      <c r="E29" s="41">
        <f ca="1">IF(PAJAK[[#This Row],[ID]]="","",COUNTIF(NOTA[ID_H],PAJAK[[#This Row],[ID]]))</f>
        <v>11</v>
      </c>
      <c r="F29" s="40" t="str">
        <f ca="1">IF(PAJAK[[#This Row],[//]]="","",INDEX(CONV[2],MATCH(INDEX(INDIRECT("NOTA["&amp;PAJAK[#Headers]&amp;"]"),PAJAK[[#This Row],[//]]-2),CONV[1],0),0))</f>
        <v>PT KALINDO SUKSES</v>
      </c>
      <c r="G29" s="42">
        <f ca="1">IF(PAJAK[[#This Row],[//]]="","",INDEX(NOTA[TGL_H],PAJAK[[#This Row],[//]]-2))</f>
        <v>44938</v>
      </c>
      <c r="H29" s="42">
        <f ca="1">IF(PAJAK[[#This Row],[//]]="","",INDEX(INDIRECT("NOTA["&amp;PAJAK[#Headers]&amp;"]"),PAJAK[[#This Row],[//]]-2))</f>
        <v>44935</v>
      </c>
      <c r="I29" s="41" t="str">
        <f ca="1">IF(PAJAK[[#This Row],[//]]="","",INDEX(INDIRECT("NOTA["&amp;PAJAK[#Headers]&amp;"]"),PAJAK[[#This Row],[//]]-2))</f>
        <v>SN23010093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186">
        <f ca="1">IF(PAJAK[[#This Row],[//]]="","",SUMIF(NOTA[ID_H],PAJAK[[#This Row],[ID]],NOTA[JUMLAH]))</f>
        <v>39800000</v>
      </c>
      <c r="L29" s="186">
        <f ca="1">IF(PAJAK[[#This Row],[//]]="","",SUMIF(NOTA[ID_H],PAJAK[[#This Row],[ID]],NOTA[DISC]))</f>
        <v>7521250</v>
      </c>
      <c r="M29" s="186">
        <f ca="1">PAJAK[[#This Row],[SUB TOTAL]]-PAJAK[[#This Row],[DISKON]]</f>
        <v>32278750</v>
      </c>
      <c r="N29" s="186">
        <f ca="1">IF(PAJAK[[#This Row],[//]]="","",INDEX(INDIRECT("NOTA["&amp;PAJAK[#Headers]&amp;"]"),PAJAK[[#This Row],[//]]-2+PAJAK[[#This Row],[QB]]-1))</f>
        <v>0</v>
      </c>
      <c r="O29" s="186">
        <f ca="1">(PAJAK[[#This Row],[SUB T-DISC]]-PAJAK[[#This Row],[DISC DLL]])/111%</f>
        <v>29079954.954954952</v>
      </c>
      <c r="P29" s="186">
        <f ca="1">PAJAK[[#This Row],[DPP]]*PAJAK[[#This Row],[PPN]]</f>
        <v>3198795.0450450447</v>
      </c>
      <c r="Q29" s="186">
        <f ca="1">PAJAK[[#This Row],[DPP]]+PAJAK[[#This Row],[PPN 11%]]</f>
        <v>32278749.999999996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357</v>
      </c>
      <c r="B30" s="153">
        <f ca="1">HYPERLINK("[NOTA_.XLSX]NOTA!c"&amp;PAJAK[[#This Row],[//]],IF(PAJAK[[#This Row],[//]]="","",INDEX(INDIRECT("NOTA["&amp;PAJAK[#Headers]&amp;"]"),PAJAK[[#This Row],[//]]-2)))</f>
        <v>68</v>
      </c>
      <c r="C30" s="44" t="str">
        <f ca="1">IF(PAJAK[[#This Row],[//]]="","",INDEX(INDIRECT("NOTA["&amp;PAJAK[#Headers]&amp;"]"),PAJAK[[#This Row],[//]]-2))</f>
        <v>KAL_1201_094-1</v>
      </c>
      <c r="D30" s="44" t="e">
        <f ca="1">MATCH(PAJAK[[#This Row],[ID]],[2]!Table1[ID],0)</f>
        <v>#REF!</v>
      </c>
      <c r="E30" s="152">
        <f ca="1">IF(PAJAK[[#This Row],[ID]]="","",COUNTIF(NOTA[ID_H],PAJAK[[#This Row],[ID]]))</f>
        <v>1</v>
      </c>
      <c r="F30" s="40" t="str">
        <f ca="1">IF(PAJAK[[#This Row],[//]]="","",INDEX(CONV[2],MATCH(INDEX(INDIRECT("NOTA["&amp;PAJAK[#Headers]&amp;"]"),PAJAK[[#This Row],[//]]-2),CONV[1],0),0))</f>
        <v>PT KALINDO SUKSES</v>
      </c>
      <c r="G30" s="42">
        <f ca="1">IF(PAJAK[[#This Row],[//]]="","",INDEX(NOTA[TGL_H],PAJAK[[#This Row],[//]]-2))</f>
        <v>44938</v>
      </c>
      <c r="H30" s="42">
        <f ca="1">IF(PAJAK[[#This Row],[//]]="","",INDEX(INDIRECT("NOTA["&amp;PAJAK[#Headers]&amp;"]"),PAJAK[[#This Row],[//]]-2))</f>
        <v>44935</v>
      </c>
      <c r="I30" s="41" t="str">
        <f ca="1">IF(PAJAK[[#This Row],[//]]="","",INDEX(INDIRECT("NOTA["&amp;PAJAK[#Headers]&amp;"]"),PAJAK[[#This Row],[//]]-2))</f>
        <v>SN23010094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186">
        <f ca="1">IF(PAJAK[[#This Row],[//]]="","",SUMIF(NOTA[ID_H],PAJAK[[#This Row],[ID]],NOTA[JUMLAH]))</f>
        <v>4740000</v>
      </c>
      <c r="L30" s="186">
        <f ca="1">IF(PAJAK[[#This Row],[//]]="","",SUMIF(NOTA[ID_H],PAJAK[[#This Row],[ID]],NOTA[DISC]))</f>
        <v>799875</v>
      </c>
      <c r="M30" s="186">
        <f ca="1">PAJAK[[#This Row],[SUB TOTAL]]-PAJAK[[#This Row],[DISKON]]</f>
        <v>3940125</v>
      </c>
      <c r="N30" s="186">
        <f ca="1">IF(PAJAK[[#This Row],[//]]="","",INDEX(INDIRECT("NOTA["&amp;PAJAK[#Headers]&amp;"]"),PAJAK[[#This Row],[//]]-2+PAJAK[[#This Row],[QB]]-1))</f>
        <v>0</v>
      </c>
      <c r="O30" s="186">
        <f ca="1">(PAJAK[[#This Row],[SUB T-DISC]]-PAJAK[[#This Row],[DISC DLL]])/111%</f>
        <v>3549662.1621621619</v>
      </c>
      <c r="P30" s="186">
        <f ca="1">PAJAK[[#This Row],[DPP]]*PAJAK[[#This Row],[PPN]]</f>
        <v>390462.83783783781</v>
      </c>
      <c r="Q30" s="186">
        <f ca="1">PAJAK[[#This Row],[DPP]]+PAJAK[[#This Row],[PPN 11%]]</f>
        <v>3940124.9999999995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359</v>
      </c>
      <c r="B31" s="153">
        <f ca="1">HYPERLINK("[NOTA_.XLSX]NOTA!c"&amp;PAJAK[[#This Row],[//]],IF(PAJAK[[#This Row],[//]]="","",INDEX(INDIRECT("NOTA["&amp;PAJAK[#Headers]&amp;"]"),PAJAK[[#This Row],[//]]-2)))</f>
        <v>69</v>
      </c>
      <c r="C31" s="44" t="str">
        <f ca="1">IF(PAJAK[[#This Row],[//]]="","",INDEX(INDIRECT("NOTA["&amp;PAJAK[#Headers]&amp;"]"),PAJAK[[#This Row],[//]]-2))</f>
        <v>KEN_1201_574-10</v>
      </c>
      <c r="D31" s="44" t="e">
        <f ca="1">MATCH(PAJAK[[#This Row],[ID]],[2]!Table1[ID],0)</f>
        <v>#REF!</v>
      </c>
      <c r="E31" s="152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44938</v>
      </c>
      <c r="H31" s="42">
        <f ca="1">IF(PAJAK[[#This Row],[//]]="","",INDEX(INDIRECT("NOTA["&amp;PAJAK[#Headers]&amp;"]"),PAJAK[[#This Row],[//]]-2))</f>
        <v>44936</v>
      </c>
      <c r="I31" s="41" t="str">
        <f ca="1">IF(PAJAK[[#This Row],[//]]="","",INDEX(INDIRECT("NOTA["&amp;PAJAK[#Headers]&amp;"]"),PAJAK[[#This Row],[//]]-2))</f>
        <v>23010574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39427</v>
      </c>
      <c r="K31" s="186">
        <f ca="1">IF(PAJAK[[#This Row],[//]]="","",SUMIF(NOTA[ID_H],PAJAK[[#This Row],[ID]],NOTA[JUMLAH]))</f>
        <v>19532000</v>
      </c>
      <c r="L31" s="186">
        <f ca="1">IF(PAJAK[[#This Row],[//]]="","",SUMIF(NOTA[ID_H],PAJAK[[#This Row],[ID]],NOTA[DISC]))</f>
        <v>3320440</v>
      </c>
      <c r="M31" s="186">
        <f ca="1">PAJAK[[#This Row],[SUB TOTAL]]-PAJAK[[#This Row],[DISKON]]</f>
        <v>16211560</v>
      </c>
      <c r="N31" s="186">
        <f ca="1">IF(PAJAK[[#This Row],[//]]="","",INDEX(INDIRECT("NOTA["&amp;PAJAK[#Headers]&amp;"]"),PAJAK[[#This Row],[//]]-2+PAJAK[[#This Row],[QB]]-1))</f>
        <v>0</v>
      </c>
      <c r="O31" s="186">
        <f ca="1">(PAJAK[[#This Row],[SUB T-DISC]]-PAJAK[[#This Row],[DISC DLL]])/111%</f>
        <v>14605009.009009007</v>
      </c>
      <c r="P31" s="186">
        <f ca="1">PAJAK[[#This Row],[DPP]]*PAJAK[[#This Row],[PPN]]</f>
        <v>1606550.9909909908</v>
      </c>
      <c r="Q31" s="186">
        <f ca="1">PAJAK[[#This Row],[DPP]]+PAJAK[[#This Row],[PPN 11%]]</f>
        <v>16211559.999999998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370</v>
      </c>
      <c r="B32" s="153">
        <f ca="1">HYPERLINK("[NOTA_.XLSX]NOTA!c"&amp;PAJAK[[#This Row],[//]],IF(PAJAK[[#This Row],[//]]="","",INDEX(INDIRECT("NOTA["&amp;PAJAK[#Headers]&amp;"]"),PAJAK[[#This Row],[//]]-2)))</f>
        <v>70</v>
      </c>
      <c r="C32" s="44" t="str">
        <f ca="1">IF(PAJAK[[#This Row],[//]]="","",INDEX(INDIRECT("NOTA["&amp;PAJAK[#Headers]&amp;"]"),PAJAK[[#This Row],[//]]-2))</f>
        <v>KEN_1201_575-2</v>
      </c>
      <c r="D32" s="44" t="e">
        <f ca="1">MATCH(PAJAK[[#This Row],[ID]],[2]!Table1[ID],0)</f>
        <v>#REF!</v>
      </c>
      <c r="E32" s="152">
        <f ca="1">IF(PAJAK[[#This Row],[ID]]="","",COUNTIF(NOTA[ID_H],PAJAK[[#This Row],[ID]]))</f>
        <v>2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44938</v>
      </c>
      <c r="H32" s="42">
        <f ca="1">IF(PAJAK[[#This Row],[//]]="","",INDEX(INDIRECT("NOTA["&amp;PAJAK[#Headers]&amp;"]"),PAJAK[[#This Row],[//]]-2))</f>
        <v>44936</v>
      </c>
      <c r="I32" s="41" t="str">
        <f ca="1">IF(PAJAK[[#This Row],[//]]="","",INDEX(INDIRECT("NOTA["&amp;PAJAK[#Headers]&amp;"]"),PAJAK[[#This Row],[//]]-2))</f>
        <v>23010575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39433</v>
      </c>
      <c r="K32" s="186">
        <f ca="1">IF(PAJAK[[#This Row],[//]]="","",SUMIF(NOTA[ID_H],PAJAK[[#This Row],[ID]],NOTA[JUMLAH]))</f>
        <v>8280000</v>
      </c>
      <c r="L32" s="186">
        <f ca="1">IF(PAJAK[[#This Row],[//]]="","",SUMIF(NOTA[ID_H],PAJAK[[#This Row],[ID]],NOTA[DISC]))</f>
        <v>1407600</v>
      </c>
      <c r="M32" s="186">
        <f ca="1">PAJAK[[#This Row],[SUB TOTAL]]-PAJAK[[#This Row],[DISKON]]</f>
        <v>6872400</v>
      </c>
      <c r="N32" s="186">
        <f ca="1">IF(PAJAK[[#This Row],[//]]="","",INDEX(INDIRECT("NOTA["&amp;PAJAK[#Headers]&amp;"]"),PAJAK[[#This Row],[//]]-2+PAJAK[[#This Row],[QB]]-1))</f>
        <v>0</v>
      </c>
      <c r="O32" s="186">
        <f ca="1">(PAJAK[[#This Row],[SUB T-DISC]]-PAJAK[[#This Row],[DISC DLL]])/111%</f>
        <v>6191351.3513513505</v>
      </c>
      <c r="P32" s="186">
        <f ca="1">PAJAK[[#This Row],[DPP]]*PAJAK[[#This Row],[PPN]]</f>
        <v>681048.64864864852</v>
      </c>
      <c r="Q32" s="186">
        <f ca="1">PAJAK[[#This Row],[DPP]]+PAJAK[[#This Row],[PPN 11%]]</f>
        <v>6872399.9999999991</v>
      </c>
      <c r="R32" s="43" t="str">
        <f ca="1">IF(ISNUMBER(PAJAK[[#This Row],[//]]),PPN,"")</f>
        <v>11%</v>
      </c>
    </row>
    <row r="33" spans="1:18" x14ac:dyDescent="0.25">
      <c r="A33" s="4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375</v>
      </c>
      <c r="B33" s="154">
        <f ca="1">HYPERLINK("[NOTA_.XLSX]NOTA!c"&amp;PAJAK[[#This Row],[//]],IF(PAJAK[[#This Row],[//]]="","",INDEX(INDIRECT("NOTA["&amp;PAJAK[#Headers]&amp;"]"),PAJAK[[#This Row],[//]]-2)))</f>
        <v>72</v>
      </c>
      <c r="C33" s="40" t="str">
        <f ca="1">IF(PAJAK[[#This Row],[//]]="","",INDEX(INDIRECT("NOTA["&amp;PAJAK[#Headers]&amp;"]"),PAJAK[[#This Row],[//]]-2))</f>
        <v>KEN_1201_-4</v>
      </c>
      <c r="D33" s="40" t="e">
        <f ca="1">MATCH(PAJAK[[#This Row],[ID]],[2]!Table1[ID],0)</f>
        <v>#REF!</v>
      </c>
      <c r="E33" s="41">
        <f ca="1">IF(PAJAK[[#This Row],[ID]]="","",COUNTIF(NOTA[ID_H],PAJAK[[#This Row],[ID]]))</f>
        <v>4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44938</v>
      </c>
      <c r="H33" s="42">
        <f ca="1">IF(PAJAK[[#This Row],[//]]="","",INDEX(INDIRECT("NOTA["&amp;PAJAK[#Headers]&amp;"]"),PAJAK[[#This Row],[//]]-2))</f>
        <v>0</v>
      </c>
      <c r="I33" s="41">
        <f ca="1">IF(PAJAK[[#This Row],[//]]="","",INDEX(INDIRECT("NOTA["&amp;PAJAK[#Headers]&amp;"]"),PAJAK[[#This Row],[//]]-2))</f>
        <v>0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/>
      </c>
      <c r="K33" s="186">
        <f ca="1">IF(PAJAK[[#This Row],[//]]="","",SUMIF(NOTA[ID_H],PAJAK[[#This Row],[ID]],NOTA[JUMLAH]))</f>
        <v>27621600</v>
      </c>
      <c r="L33" s="186">
        <f ca="1">IF(PAJAK[[#This Row],[//]]="","",SUMIF(NOTA[ID_H],PAJAK[[#This Row],[ID]],NOTA[DISC]))</f>
        <v>4695672</v>
      </c>
      <c r="M33" s="186">
        <f ca="1">PAJAK[[#This Row],[SUB TOTAL]]-PAJAK[[#This Row],[DISKON]]</f>
        <v>22925928</v>
      </c>
      <c r="N33" s="186">
        <f ca="1">IF(PAJAK[[#This Row],[//]]="","",INDEX(INDIRECT("NOTA["&amp;PAJAK[#Headers]&amp;"]"),PAJAK[[#This Row],[//]]-2+PAJAK[[#This Row],[QB]]-1))</f>
        <v>0</v>
      </c>
      <c r="O33" s="186">
        <f ca="1">(PAJAK[[#This Row],[SUB T-DISC]]-PAJAK[[#This Row],[DISC DLL]])/111%</f>
        <v>20653989.189189188</v>
      </c>
      <c r="P33" s="186">
        <f ca="1">PAJAK[[#This Row],[DPP]]*PAJAK[[#This Row],[PPN]]</f>
        <v>2271938.8108108109</v>
      </c>
      <c r="Q33" s="186">
        <f ca="1">PAJAK[[#This Row],[DPP]]+PAJAK[[#This Row],[PPN 11%]]</f>
        <v>22925928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380</v>
      </c>
      <c r="B34" s="153">
        <f ca="1">HYPERLINK("[NOTA_.XLSX]NOTA!c"&amp;PAJAK[[#This Row],[//]],IF(PAJAK[[#This Row],[//]]="","",INDEX(INDIRECT("NOTA["&amp;PAJAK[#Headers]&amp;"]"),PAJAK[[#This Row],[//]]-2)))</f>
        <v>73</v>
      </c>
      <c r="C34" s="44" t="str">
        <f ca="1">IF(PAJAK[[#This Row],[//]]="","",INDEX(INDIRECT("NOTA["&amp;PAJAK[#Headers]&amp;"]"),PAJAK[[#This Row],[//]]-2))</f>
        <v>KEN_1201_775-4</v>
      </c>
      <c r="D34" s="44" t="e">
        <f ca="1">MATCH(PAJAK[[#This Row],[ID]],[2]!Table1[ID],0)</f>
        <v>#REF!</v>
      </c>
      <c r="E34" s="152">
        <f ca="1">IF(PAJAK[[#This Row],[ID]]="","",COUNTIF(NOTA[ID_H],PAJAK[[#This Row],[ID]]))</f>
        <v>4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44938</v>
      </c>
      <c r="H34" s="42">
        <f ca="1">IF(PAJAK[[#This Row],[//]]="","",INDEX(INDIRECT("NOTA["&amp;PAJAK[#Headers]&amp;"]"),PAJAK[[#This Row],[//]]-2))</f>
        <v>44938</v>
      </c>
      <c r="I34" s="41" t="str">
        <f ca="1">IF(PAJAK[[#This Row],[//]]="","",INDEX(INDIRECT("NOTA["&amp;PAJAK[#Headers]&amp;"]"),PAJAK[[#This Row],[//]]-2))</f>
        <v>23010775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39467</v>
      </c>
      <c r="K34" s="186">
        <f ca="1">IF(PAJAK[[#This Row],[//]]="","",SUMIF(NOTA[ID_H],PAJAK[[#This Row],[ID]],NOTA[JUMLAH]))</f>
        <v>30225600</v>
      </c>
      <c r="L34" s="186">
        <f ca="1">IF(PAJAK[[#This Row],[//]]="","",SUMIF(NOTA[ID_H],PAJAK[[#This Row],[ID]],NOTA[DISC]))</f>
        <v>5138352</v>
      </c>
      <c r="M34" s="186">
        <f ca="1">PAJAK[[#This Row],[SUB TOTAL]]-PAJAK[[#This Row],[DISKON]]</f>
        <v>25087248</v>
      </c>
      <c r="N34" s="186">
        <f ca="1">IF(PAJAK[[#This Row],[//]]="","",INDEX(INDIRECT("NOTA["&amp;PAJAK[#Headers]&amp;"]"),PAJAK[[#This Row],[//]]-2+PAJAK[[#This Row],[QB]]-1))</f>
        <v>0</v>
      </c>
      <c r="O34" s="186">
        <f ca="1">(PAJAK[[#This Row],[SUB T-DISC]]-PAJAK[[#This Row],[DISC DLL]])/111%</f>
        <v>22601124.324324321</v>
      </c>
      <c r="P34" s="186">
        <f ca="1">PAJAK[[#This Row],[DPP]]*PAJAK[[#This Row],[PPN]]</f>
        <v>2486123.6756756753</v>
      </c>
      <c r="Q34" s="186">
        <f ca="1">PAJAK[[#This Row],[DPP]]+PAJAK[[#This Row],[PPN 11%]]</f>
        <v>25087247.999999996</v>
      </c>
      <c r="R34" s="43" t="str">
        <f ca="1">IF(ISNUMBER(PAJAK[[#This Row],[//]]),PPN,"")</f>
        <v>11%</v>
      </c>
    </row>
    <row r="35" spans="1:18" x14ac:dyDescent="0.25">
      <c r="A35" s="40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385</v>
      </c>
      <c r="B35" s="154">
        <f ca="1">HYPERLINK("[NOTA_.XLSX]NOTA!c"&amp;PAJAK[[#This Row],[//]],IF(PAJAK[[#This Row],[//]]="","",INDEX(INDIRECT("NOTA["&amp;PAJAK[#Headers]&amp;"]"),PAJAK[[#This Row],[//]]-2)))</f>
        <v>74</v>
      </c>
      <c r="C35" s="40" t="str">
        <f ca="1">IF(PAJAK[[#This Row],[//]]="","",INDEX(INDIRECT("NOTA["&amp;PAJAK[#Headers]&amp;"]"),PAJAK[[#This Row],[//]]-2))</f>
        <v>ATA_1401_612-1</v>
      </c>
      <c r="D35" s="40" t="e">
        <f ca="1">MATCH(PAJAK[[#This Row],[ID]],[2]!Table1[ID],0)</f>
        <v>#REF!</v>
      </c>
      <c r="E35" s="41">
        <f ca="1">IF(PAJAK[[#This Row],[ID]]="","",COUNTIF(NOTA[ID_H],PAJAK[[#This Row],[ID]]))</f>
        <v>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44940</v>
      </c>
      <c r="H35" s="42">
        <f ca="1">IF(PAJAK[[#This Row],[//]]="","",INDEX(INDIRECT("NOTA["&amp;PAJAK[#Headers]&amp;"]"),PAJAK[[#This Row],[//]]-2))</f>
        <v>44937</v>
      </c>
      <c r="I35" s="41" t="str">
        <f ca="1">IF(PAJAK[[#This Row],[//]]="","",INDEX(INDIRECT("NOTA["&amp;PAJAK[#Headers]&amp;"]"),PAJAK[[#This Row],[//]]-2))</f>
        <v>SA230100612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186">
        <f ca="1">IF(PAJAK[[#This Row],[//]]="","",SUMIF(NOTA[ID_H],PAJAK[[#This Row],[ID]],NOTA[JUMLAH]))</f>
        <v>34560000</v>
      </c>
      <c r="L35" s="186">
        <f ca="1">IF(PAJAK[[#This Row],[//]]="","",SUMIF(NOTA[ID_H],PAJAK[[#This Row],[ID]],NOTA[DISC]))</f>
        <v>5832000</v>
      </c>
      <c r="M35" s="186">
        <f ca="1">PAJAK[[#This Row],[SUB TOTAL]]-PAJAK[[#This Row],[DISKON]]</f>
        <v>28728000</v>
      </c>
      <c r="N35" s="186">
        <f ca="1">IF(PAJAK[[#This Row],[//]]="","",INDEX(INDIRECT("NOTA["&amp;PAJAK[#Headers]&amp;"]"),PAJAK[[#This Row],[//]]-2+PAJAK[[#This Row],[QB]]-1))</f>
        <v>0</v>
      </c>
      <c r="O35" s="186">
        <f ca="1">(PAJAK[[#This Row],[SUB T-DISC]]-PAJAK[[#This Row],[DISC DLL]])/111%</f>
        <v>25881081.081081077</v>
      </c>
      <c r="P35" s="186">
        <f ca="1">PAJAK[[#This Row],[DPP]]*PAJAK[[#This Row],[PPN]]</f>
        <v>2846918.9189189184</v>
      </c>
      <c r="Q35" s="186">
        <f ca="1">PAJAK[[#This Row],[DPP]]+PAJAK[[#This Row],[PPN 11%]]</f>
        <v>28727999.999999996</v>
      </c>
      <c r="R35" s="43" t="str">
        <f ca="1">IF(ISNUMBER(PAJAK[[#This Row],[//]]),PPN,"")</f>
        <v>11%</v>
      </c>
    </row>
    <row r="36" spans="1:18" x14ac:dyDescent="0.25">
      <c r="A36" s="4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387</v>
      </c>
      <c r="B36" s="40">
        <f ca="1">HYPERLINK("[NOTA_.XLSX]NOTA!c"&amp;PAJAK[[#This Row],[//]],IF(PAJAK[[#This Row],[//]]="","",INDEX(INDIRECT("NOTA["&amp;PAJAK[#Headers]&amp;"]"),PAJAK[[#This Row],[//]]-2)))</f>
        <v>75</v>
      </c>
      <c r="C36" s="40" t="str">
        <f ca="1">IF(PAJAK[[#This Row],[//]]="","",INDEX(INDIRECT("NOTA["&amp;PAJAK[#Headers]&amp;"]"),PAJAK[[#This Row],[//]]-2))</f>
        <v>99J_1401_523-4</v>
      </c>
      <c r="D36" s="40" t="e">
        <f ca="1">MATCH(PAJAK[[#This Row],[ID]],[2]!Table1[ID],0)</f>
        <v>#REF!</v>
      </c>
      <c r="E36" s="41">
        <f ca="1">IF(PAJAK[[#This Row],[ID]]="","",COUNTIF(NOTA[ID_H],PAJAK[[#This Row],[ID]]))</f>
        <v>4</v>
      </c>
      <c r="F36" s="40" t="str">
        <f ca="1">IF(PAJAK[[#This Row],[//]]="","",INDEX(CONV[2],MATCH(INDEX(INDIRECT("NOTA["&amp;PAJAK[#Headers]&amp;"]"),PAJAK[[#This Row],[//]]-2),CONV[1],0),0))</f>
        <v>PT SEMBILAN-SEMBILAN JAYA UTAMA</v>
      </c>
      <c r="G36" s="42">
        <f ca="1">IF(PAJAK[[#This Row],[//]]="","",INDEX(NOTA[TGL_H],PAJAK[[#This Row],[//]]-2))</f>
        <v>44940</v>
      </c>
      <c r="H36" s="42">
        <f ca="1">IF(PAJAK[[#This Row],[//]]="","",INDEX(INDIRECT("NOTA["&amp;PAJAK[#Headers]&amp;"]"),PAJAK[[#This Row],[//]]-2))</f>
        <v>44938</v>
      </c>
      <c r="I36" s="41" t="str">
        <f ca="1">IF(PAJAK[[#This Row],[//]]="","",INDEX(INDIRECT("NOTA["&amp;PAJAK[#Headers]&amp;"]"),PAJAK[[#This Row],[//]]-2))</f>
        <v>JUA325/23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186">
        <f ca="1">IF(PAJAK[[#This Row],[//]]="","",SUMIF(NOTA[ID_H],PAJAK[[#This Row],[ID]],NOTA[JUMLAH]))</f>
        <v>8760000</v>
      </c>
      <c r="L36" s="186">
        <f ca="1">IF(PAJAK[[#This Row],[//]]="","",SUMIF(NOTA[ID_H],PAJAK[[#This Row],[ID]],NOTA[DISC]))</f>
        <v>0</v>
      </c>
      <c r="M36" s="186">
        <f ca="1">PAJAK[[#This Row],[SUB TOTAL]]-PAJAK[[#This Row],[DISKON]]</f>
        <v>8760000</v>
      </c>
      <c r="N36" s="186">
        <f ca="1">IF(PAJAK[[#This Row],[//]]="","",INDEX(INDIRECT("NOTA["&amp;PAJAK[#Headers]&amp;"]"),PAJAK[[#This Row],[//]]-2+PAJAK[[#This Row],[QB]]-1))</f>
        <v>0</v>
      </c>
      <c r="O36" s="186">
        <f ca="1">(PAJAK[[#This Row],[SUB T-DISC]]-PAJAK[[#This Row],[DISC DLL]])/111%</f>
        <v>7891891.8918918911</v>
      </c>
      <c r="P36" s="186">
        <f ca="1">PAJAK[[#This Row],[DPP]]*PAJAK[[#This Row],[PPN]]</f>
        <v>868108.10810810805</v>
      </c>
      <c r="Q36" s="186">
        <f ca="1">PAJAK[[#This Row],[DPP]]+PAJAK[[#This Row],[PPN 11%]]</f>
        <v>8760000</v>
      </c>
      <c r="R36" s="43" t="str">
        <f ca="1">IF(ISNUMBER(PAJAK[[#This Row],[//]]),PPN,"")</f>
        <v>11%</v>
      </c>
    </row>
    <row r="37" spans="1:18" x14ac:dyDescent="0.25">
      <c r="A37" s="40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436</v>
      </c>
      <c r="B37" s="40">
        <f ca="1">HYPERLINK("[NOTA_.XLSX]NOTA!c"&amp;PAJAK[[#This Row],[//]],IF(PAJAK[[#This Row],[//]]="","",INDEX(INDIRECT("NOTA["&amp;PAJAK[#Headers]&amp;"]"),PAJAK[[#This Row],[//]]-2)))</f>
        <v>81</v>
      </c>
      <c r="C37" s="40" t="str">
        <f ca="1">IF(PAJAK[[#This Row],[//]]="","",INDEX(INDIRECT("NOTA["&amp;PAJAK[#Headers]&amp;"]"),PAJAK[[#This Row],[//]]-2))</f>
        <v>KEN_1601_870-4</v>
      </c>
      <c r="D37" s="40" t="e">
        <f ca="1">MATCH(PAJAK[[#This Row],[ID]],[2]!Table1[ID],0)</f>
        <v>#REF!</v>
      </c>
      <c r="E37" s="41">
        <f ca="1">IF(PAJAK[[#This Row],[ID]]="","",COUNTIF(NOTA[ID_H],PAJAK[[#This Row],[ID]]))</f>
        <v>4</v>
      </c>
      <c r="F37" s="40" t="str">
        <f ca="1">IF(PAJAK[[#This Row],[//]]="","",INDEX(CONV[2],MATCH(INDEX(INDIRECT("NOTA["&amp;PAJAK[#Headers]&amp;"]"),PAJAK[[#This Row],[//]]-2),CONV[1],0),0))</f>
        <v>PT KENKO SINAR INDONESIA</v>
      </c>
      <c r="G37" s="42">
        <f ca="1">IF(PAJAK[[#This Row],[//]]="","",INDEX(NOTA[TGL_H],PAJAK[[#This Row],[//]]-2))</f>
        <v>44942</v>
      </c>
      <c r="H37" s="42">
        <f ca="1">IF(PAJAK[[#This Row],[//]]="","",INDEX(INDIRECT("NOTA["&amp;PAJAK[#Headers]&amp;"]"),PAJAK[[#This Row],[//]]-2))</f>
        <v>44939</v>
      </c>
      <c r="I37" s="41" t="str">
        <f ca="1">IF(PAJAK[[#This Row],[//]]="","",INDEX(INDIRECT("NOTA["&amp;PAJAK[#Headers]&amp;"]"),PAJAK[[#This Row],[//]]-2))</f>
        <v>23010870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>SA 39502</v>
      </c>
      <c r="K37" s="186">
        <f ca="1">IF(PAJAK[[#This Row],[//]]="","",SUMIF(NOTA[ID_H],PAJAK[[#This Row],[ID]],NOTA[JUMLAH]))</f>
        <v>67809600</v>
      </c>
      <c r="L37" s="186">
        <f ca="1">IF(PAJAK[[#This Row],[//]]="","",SUMIF(NOTA[ID_H],PAJAK[[#This Row],[ID]],NOTA[DISC]))</f>
        <v>11527632</v>
      </c>
      <c r="M37" s="186">
        <f ca="1">PAJAK[[#This Row],[SUB TOTAL]]-PAJAK[[#This Row],[DISKON]]</f>
        <v>56281968</v>
      </c>
      <c r="N37" s="186">
        <f ca="1">IF(PAJAK[[#This Row],[//]]="","",INDEX(INDIRECT("NOTA["&amp;PAJAK[#Headers]&amp;"]"),PAJAK[[#This Row],[//]]-2+PAJAK[[#This Row],[QB]]-1))</f>
        <v>0</v>
      </c>
      <c r="O37" s="186">
        <f ca="1">(PAJAK[[#This Row],[SUB T-DISC]]-PAJAK[[#This Row],[DISC DLL]])/111%</f>
        <v>50704475.675675668</v>
      </c>
      <c r="P37" s="186">
        <f ca="1">PAJAK[[#This Row],[DPP]]*PAJAK[[#This Row],[PPN]]</f>
        <v>5577492.3243243238</v>
      </c>
      <c r="Q37" s="186">
        <f ca="1">PAJAK[[#This Row],[DPP]]+PAJAK[[#This Row],[PPN 11%]]</f>
        <v>56281967.999999993</v>
      </c>
      <c r="R37" s="43" t="str">
        <f ca="1">IF(ISNUMBER(PAJAK[[#This Row],[//]]),PPN,"")</f>
        <v>11%</v>
      </c>
    </row>
    <row r="38" spans="1:18" x14ac:dyDescent="0.25">
      <c r="A38" s="40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441</v>
      </c>
      <c r="B38" s="154">
        <f ca="1">HYPERLINK("[NOTA_.XLSX]NOTA!c"&amp;PAJAK[[#This Row],[//]],IF(PAJAK[[#This Row],[//]]="","",INDEX(INDIRECT("NOTA["&amp;PAJAK[#Headers]&amp;"]"),PAJAK[[#This Row],[//]]-2)))</f>
        <v>82</v>
      </c>
      <c r="C38" s="40" t="str">
        <f ca="1">IF(PAJAK[[#This Row],[//]]="","",INDEX(INDIRECT("NOTA["&amp;PAJAK[#Headers]&amp;"]"),PAJAK[[#This Row],[//]]-2))</f>
        <v>KEN_1601_988-4</v>
      </c>
      <c r="D38" s="40" t="e">
        <f ca="1">MATCH(PAJAK[[#This Row],[ID]],[2]!Table1[ID],0)</f>
        <v>#REF!</v>
      </c>
      <c r="E38" s="41">
        <f ca="1">IF(PAJAK[[#This Row],[ID]]="","",COUNTIF(NOTA[ID_H],PAJAK[[#This Row],[ID]]))</f>
        <v>4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44942</v>
      </c>
      <c r="H38" s="42">
        <f ca="1">IF(PAJAK[[#This Row],[//]]="","",INDEX(INDIRECT("NOTA["&amp;PAJAK[#Headers]&amp;"]"),PAJAK[[#This Row],[//]]-2))</f>
        <v>44940</v>
      </c>
      <c r="I38" s="41" t="str">
        <f ca="1">IF(PAJAK[[#This Row],[//]]="","",INDEX(INDIRECT("NOTA["&amp;PAJAK[#Headers]&amp;"]"),PAJAK[[#This Row],[//]]-2))</f>
        <v>23010988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39526</v>
      </c>
      <c r="K38" s="186">
        <f ca="1">IF(PAJAK[[#This Row],[//]]="","",SUMIF(NOTA[ID_H],PAJAK[[#This Row],[ID]],NOTA[JUMLAH]))</f>
        <v>37649400</v>
      </c>
      <c r="L38" s="186">
        <f ca="1">IF(PAJAK[[#This Row],[//]]="","",SUMIF(NOTA[ID_H],PAJAK[[#This Row],[ID]],NOTA[DISC]))</f>
        <v>6400398</v>
      </c>
      <c r="M38" s="186">
        <f ca="1">PAJAK[[#This Row],[SUB TOTAL]]-PAJAK[[#This Row],[DISKON]]</f>
        <v>31249002</v>
      </c>
      <c r="N38" s="186">
        <f ca="1">IF(PAJAK[[#This Row],[//]]="","",INDEX(INDIRECT("NOTA["&amp;PAJAK[#Headers]&amp;"]"),PAJAK[[#This Row],[//]]-2+PAJAK[[#This Row],[QB]]-1))</f>
        <v>0</v>
      </c>
      <c r="O38" s="186">
        <f ca="1">(PAJAK[[#This Row],[SUB T-DISC]]-PAJAK[[#This Row],[DISC DLL]])/111%</f>
        <v>28152254.054054052</v>
      </c>
      <c r="P38" s="186">
        <f ca="1">PAJAK[[#This Row],[DPP]]*PAJAK[[#This Row],[PPN]]</f>
        <v>3096747.9459459456</v>
      </c>
      <c r="Q38" s="186">
        <f ca="1">PAJAK[[#This Row],[DPP]]+PAJAK[[#This Row],[PPN 11%]]</f>
        <v>31249001.999999996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446</v>
      </c>
      <c r="B39" s="153">
        <f ca="1">HYPERLINK("[NOTA_.XLSX]NOTA!c"&amp;PAJAK[[#This Row],[//]],IF(PAJAK[[#This Row],[//]]="","",INDEX(INDIRECT("NOTA["&amp;PAJAK[#Headers]&amp;"]"),PAJAK[[#This Row],[//]]-2)))</f>
        <v>83</v>
      </c>
      <c r="C39" s="44" t="str">
        <f ca="1">IF(PAJAK[[#This Row],[//]]="","",INDEX(INDIRECT("NOTA["&amp;PAJAK[#Headers]&amp;"]"),PAJAK[[#This Row],[//]]-2))</f>
        <v>ATA_1601_770-2</v>
      </c>
      <c r="D39" s="44" t="e">
        <f ca="1">MATCH(PAJAK[[#This Row],[ID]],[2]!Table1[ID],0)</f>
        <v>#REF!</v>
      </c>
      <c r="E39" s="152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ATALI MAKMUR</v>
      </c>
      <c r="G39" s="42">
        <f ca="1">IF(PAJAK[[#This Row],[//]]="","",INDEX(NOTA[TGL_H],PAJAK[[#This Row],[//]]-2))</f>
        <v>44942</v>
      </c>
      <c r="H39" s="42">
        <f ca="1">IF(PAJAK[[#This Row],[//]]="","",INDEX(INDIRECT("NOTA["&amp;PAJAK[#Headers]&amp;"]"),PAJAK[[#This Row],[//]]-2))</f>
        <v>44938</v>
      </c>
      <c r="I39" s="41" t="str">
        <f ca="1">IF(PAJAK[[#This Row],[//]]="","",INDEX(INDIRECT("NOTA["&amp;PAJAK[#Headers]&amp;"]"),PAJAK[[#This Row],[//]]-2))</f>
        <v>SA230100770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/>
      </c>
      <c r="K39" s="186">
        <f ca="1">IF(PAJAK[[#This Row],[//]]="","",SUMIF(NOTA[ID_H],PAJAK[[#This Row],[ID]],NOTA[JUMLAH]))</f>
        <v>2852800</v>
      </c>
      <c r="L39" s="186">
        <f ca="1">IF(PAJAK[[#This Row],[//]]="","",SUMIF(NOTA[ID_H],PAJAK[[#This Row],[ID]],NOTA[DISC]))</f>
        <v>481410</v>
      </c>
      <c r="M39" s="186">
        <f ca="1">PAJAK[[#This Row],[SUB TOTAL]]-PAJAK[[#This Row],[DISKON]]</f>
        <v>2371390</v>
      </c>
      <c r="N39" s="186">
        <f ca="1">IF(PAJAK[[#This Row],[//]]="","",INDEX(INDIRECT("NOTA["&amp;PAJAK[#Headers]&amp;"]"),PAJAK[[#This Row],[//]]-2+PAJAK[[#This Row],[QB]]-1))</f>
        <v>0</v>
      </c>
      <c r="O39" s="186">
        <f ca="1">(PAJAK[[#This Row],[SUB T-DISC]]-PAJAK[[#This Row],[DISC DLL]])/111%</f>
        <v>2136387.387387387</v>
      </c>
      <c r="P39" s="186">
        <f ca="1">PAJAK[[#This Row],[DPP]]*PAJAK[[#This Row],[PPN]]</f>
        <v>235002.61261261257</v>
      </c>
      <c r="Q39" s="186">
        <f ca="1">PAJAK[[#This Row],[DPP]]+PAJAK[[#This Row],[PPN 11%]]</f>
        <v>2371389.9999999995</v>
      </c>
      <c r="R39" s="43" t="str">
        <f ca="1">IF(ISNUMBER(PAJAK[[#This Row],[//]]),PPN,"")</f>
        <v>11%</v>
      </c>
    </row>
    <row r="40" spans="1:18" x14ac:dyDescent="0.25">
      <c r="A40" s="44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449</v>
      </c>
      <c r="B40" s="153">
        <f ca="1">HYPERLINK("[NOTA_.XLSX]NOTA!c"&amp;PAJAK[[#This Row],[//]],IF(PAJAK[[#This Row],[//]]="","",INDEX(INDIRECT("NOTA["&amp;PAJAK[#Headers]&amp;"]"),PAJAK[[#This Row],[//]]-2)))</f>
        <v>84</v>
      </c>
      <c r="C40" s="44" t="str">
        <f ca="1">IF(PAJAK[[#This Row],[//]]="","",INDEX(INDIRECT("NOTA["&amp;PAJAK[#Headers]&amp;"]"),PAJAK[[#This Row],[//]]-2))</f>
        <v>ATA_1601_693-10</v>
      </c>
      <c r="D40" s="44" t="e">
        <f ca="1">MATCH(PAJAK[[#This Row],[ID]],[2]!Table1[ID],0)</f>
        <v>#REF!</v>
      </c>
      <c r="E40" s="152">
        <f ca="1">IF(PAJAK[[#This Row],[ID]]="","",COUNTIF(NOTA[ID_H],PAJAK[[#This Row],[ID]]))</f>
        <v>10</v>
      </c>
      <c r="F40" s="40" t="str">
        <f ca="1">IF(PAJAK[[#This Row],[//]]="","",INDEX(CONV[2],MATCH(INDEX(INDIRECT("NOTA["&amp;PAJAK[#Headers]&amp;"]"),PAJAK[[#This Row],[//]]-2),CONV[1],0),0))</f>
        <v>PT ATALI MAKMUR</v>
      </c>
      <c r="G40" s="42">
        <f ca="1">IF(PAJAK[[#This Row],[//]]="","",INDEX(NOTA[TGL_H],PAJAK[[#This Row],[//]]-2))</f>
        <v>44942</v>
      </c>
      <c r="H40" s="42">
        <f ca="1">IF(PAJAK[[#This Row],[//]]="","",INDEX(INDIRECT("NOTA["&amp;PAJAK[#Headers]&amp;"]"),PAJAK[[#This Row],[//]]-2))</f>
        <v>44938</v>
      </c>
      <c r="I40" s="41" t="str">
        <f ca="1">IF(PAJAK[[#This Row],[//]]="","",INDEX(INDIRECT("NOTA["&amp;PAJAK[#Headers]&amp;"]"),PAJAK[[#This Row],[//]]-2))</f>
        <v>SA230100693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/>
      </c>
      <c r="K40" s="186">
        <f ca="1">IF(PAJAK[[#This Row],[//]]="","",SUMIF(NOTA[ID_H],PAJAK[[#This Row],[ID]],NOTA[JUMLAH]))</f>
        <v>23820700</v>
      </c>
      <c r="L40" s="186">
        <f ca="1">IF(PAJAK[[#This Row],[//]]="","",SUMIF(NOTA[ID_H],PAJAK[[#This Row],[ID]],NOTA[DISC]))</f>
        <v>4019743.125</v>
      </c>
      <c r="M40" s="186">
        <f ca="1">PAJAK[[#This Row],[SUB TOTAL]]-PAJAK[[#This Row],[DISKON]]</f>
        <v>19800956.875</v>
      </c>
      <c r="N40" s="186">
        <f ca="1">IF(PAJAK[[#This Row],[//]]="","",INDEX(INDIRECT("NOTA["&amp;PAJAK[#Headers]&amp;"]"),PAJAK[[#This Row],[//]]-2+PAJAK[[#This Row],[QB]]-1))</f>
        <v>0</v>
      </c>
      <c r="O40" s="186">
        <f ca="1">(PAJAK[[#This Row],[SUB T-DISC]]-PAJAK[[#This Row],[DISC DLL]])/111%</f>
        <v>17838699.887387387</v>
      </c>
      <c r="P40" s="186">
        <f ca="1">PAJAK[[#This Row],[DPP]]*PAJAK[[#This Row],[PPN]]</f>
        <v>1962256.9876126125</v>
      </c>
      <c r="Q40" s="186">
        <f ca="1">PAJAK[[#This Row],[DPP]]+PAJAK[[#This Row],[PPN 11%]]</f>
        <v>19800956.875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460</v>
      </c>
      <c r="B41" s="40">
        <f ca="1">HYPERLINK("[NOTA_.XLSX]NOTA!c"&amp;PAJAK[[#This Row],[//]],IF(PAJAK[[#This Row],[//]]="","",INDEX(INDIRECT("NOTA["&amp;PAJAK[#Headers]&amp;"]"),PAJAK[[#This Row],[//]]-2)))</f>
        <v>85</v>
      </c>
      <c r="C41" s="40" t="str">
        <f ca="1">IF(PAJAK[[#This Row],[//]]="","",INDEX(INDIRECT("NOTA["&amp;PAJAK[#Headers]&amp;"]"),PAJAK[[#This Row],[//]]-2))</f>
        <v>ATA_1601_694-3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3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44942</v>
      </c>
      <c r="H41" s="42">
        <f ca="1">IF(PAJAK[[#This Row],[//]]="","",INDEX(INDIRECT("NOTA["&amp;PAJAK[#Headers]&amp;"]"),PAJAK[[#This Row],[//]]-2))</f>
        <v>44938</v>
      </c>
      <c r="I41" s="41" t="str">
        <f ca="1">IF(PAJAK[[#This Row],[//]]="","",INDEX(INDIRECT("NOTA["&amp;PAJAK[#Headers]&amp;"]"),PAJAK[[#This Row],[//]]-2))</f>
        <v>SA230100694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186">
        <f ca="1">IF(PAJAK[[#This Row],[//]]="","",SUMIF(NOTA[ID_H],PAJAK[[#This Row],[ID]],NOTA[JUMLAH]))</f>
        <v>7329600</v>
      </c>
      <c r="L41" s="186">
        <f ca="1">IF(PAJAK[[#This Row],[//]]="","",SUMIF(NOTA[ID_H],PAJAK[[#This Row],[ID]],NOTA[DISC]))</f>
        <v>1236870</v>
      </c>
      <c r="M41" s="186">
        <f ca="1">PAJAK[[#This Row],[SUB TOTAL]]-PAJAK[[#This Row],[DISKON]]</f>
        <v>6092730</v>
      </c>
      <c r="N41" s="186">
        <f ca="1">IF(PAJAK[[#This Row],[//]]="","",INDEX(INDIRECT("NOTA["&amp;PAJAK[#Headers]&amp;"]"),PAJAK[[#This Row],[//]]-2+PAJAK[[#This Row],[QB]]-1))</f>
        <v>0</v>
      </c>
      <c r="O41" s="186">
        <f ca="1">(PAJAK[[#This Row],[SUB T-DISC]]-PAJAK[[#This Row],[DISC DLL]])/111%</f>
        <v>5488945.9459459456</v>
      </c>
      <c r="P41" s="186">
        <f ca="1">PAJAK[[#This Row],[DPP]]*PAJAK[[#This Row],[PPN]]</f>
        <v>603784.05405405397</v>
      </c>
      <c r="Q41" s="186">
        <f ca="1">PAJAK[[#This Row],[DPP]]+PAJAK[[#This Row],[PPN 11%]]</f>
        <v>6092730</v>
      </c>
      <c r="R41" s="43" t="str">
        <f ca="1">IF(ISNUMBER(PAJAK[[#This Row],[//]]),PPN,"")</f>
        <v>11%</v>
      </c>
    </row>
    <row r="42" spans="1:18" x14ac:dyDescent="0.25">
      <c r="A42" s="44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472</v>
      </c>
      <c r="B42" s="153">
        <f ca="1">HYPERLINK("[NOTA_.XLSX]NOTA!c"&amp;PAJAK[[#This Row],[//]],IF(PAJAK[[#This Row],[//]]="","",INDEX(INDIRECT("NOTA["&amp;PAJAK[#Headers]&amp;"]"),PAJAK[[#This Row],[//]]-2)))</f>
        <v>89</v>
      </c>
      <c r="C42" s="44" t="str">
        <f ca="1">IF(PAJAK[[#This Row],[//]]="","",INDEX(INDIRECT("NOTA["&amp;PAJAK[#Headers]&amp;"]"),PAJAK[[#This Row],[//]]-2))</f>
        <v>ATA_1801_823-11</v>
      </c>
      <c r="D42" s="44" t="e">
        <f ca="1">MATCH(PAJAK[[#This Row],[ID]],[2]!Table1[ID],0)</f>
        <v>#REF!</v>
      </c>
      <c r="E42" s="152">
        <f ca="1">IF(PAJAK[[#This Row],[ID]]="","",COUNTIF(NOTA[ID_H],PAJAK[[#This Row],[ID]]))</f>
        <v>11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44944</v>
      </c>
      <c r="H42" s="42">
        <f ca="1">IF(PAJAK[[#This Row],[//]]="","",INDEX(INDIRECT("NOTA["&amp;PAJAK[#Headers]&amp;"]"),PAJAK[[#This Row],[//]]-2))</f>
        <v>44939</v>
      </c>
      <c r="I42" s="41" t="str">
        <f ca="1">IF(PAJAK[[#This Row],[//]]="","",INDEX(INDIRECT("NOTA["&amp;PAJAK[#Headers]&amp;"]"),PAJAK[[#This Row],[//]]-2))</f>
        <v>SA230100823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186">
        <f ca="1">IF(PAJAK[[#This Row],[//]]="","",SUMIF(NOTA[ID_H],PAJAK[[#This Row],[ID]],NOTA[JUMLAH]))</f>
        <v>30907400</v>
      </c>
      <c r="L42" s="186">
        <f ca="1">IF(PAJAK[[#This Row],[//]]="","",SUMIF(NOTA[ID_H],PAJAK[[#This Row],[ID]],NOTA[DISC]))</f>
        <v>5215623.75</v>
      </c>
      <c r="M42" s="186">
        <f ca="1">PAJAK[[#This Row],[SUB TOTAL]]-PAJAK[[#This Row],[DISKON]]</f>
        <v>25691776.25</v>
      </c>
      <c r="N42" s="186">
        <f ca="1">IF(PAJAK[[#This Row],[//]]="","",INDEX(INDIRECT("NOTA["&amp;PAJAK[#Headers]&amp;"]"),PAJAK[[#This Row],[//]]-2+PAJAK[[#This Row],[QB]]-1))</f>
        <v>0</v>
      </c>
      <c r="O42" s="186">
        <f ca="1">(PAJAK[[#This Row],[SUB T-DISC]]-PAJAK[[#This Row],[DISC DLL]])/111%</f>
        <v>23145744.369369369</v>
      </c>
      <c r="P42" s="186">
        <f ca="1">PAJAK[[#This Row],[DPP]]*PAJAK[[#This Row],[PPN]]</f>
        <v>2546031.8806306305</v>
      </c>
      <c r="Q42" s="186">
        <f ca="1">PAJAK[[#This Row],[DPP]]+PAJAK[[#This Row],[PPN 11%]]</f>
        <v>25691776.25</v>
      </c>
      <c r="R42" s="43" t="str">
        <f ca="1">IF(ISNUMBER(PAJAK[[#This Row],[//]]),PPN,"")</f>
        <v>11%</v>
      </c>
    </row>
    <row r="43" spans="1:18" x14ac:dyDescent="0.25">
      <c r="A43" s="44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484</v>
      </c>
      <c r="B43" s="153">
        <f ca="1">HYPERLINK("[NOTA_.XLSX]NOTA!c"&amp;PAJAK[[#This Row],[//]],IF(PAJAK[[#This Row],[//]]="","",INDEX(INDIRECT("NOTA["&amp;PAJAK[#Headers]&amp;"]"),PAJAK[[#This Row],[//]]-2)))</f>
        <v>90</v>
      </c>
      <c r="C43" s="44" t="str">
        <f ca="1">IF(PAJAK[[#This Row],[//]]="","",INDEX(INDIRECT("NOTA["&amp;PAJAK[#Headers]&amp;"]"),PAJAK[[#This Row],[//]]-2))</f>
        <v>ATA_1801_824-10</v>
      </c>
      <c r="D43" s="44" t="e">
        <f ca="1">MATCH(PAJAK[[#This Row],[ID]],[2]!Table1[ID],0)</f>
        <v>#REF!</v>
      </c>
      <c r="E43" s="152">
        <f ca="1">IF(PAJAK[[#This Row],[ID]]="","",COUNTIF(NOTA[ID_H],PAJAK[[#This Row],[ID]]))</f>
        <v>10</v>
      </c>
      <c r="F43" s="40" t="str">
        <f ca="1">IF(PAJAK[[#This Row],[//]]="","",INDEX(CONV[2],MATCH(INDEX(INDIRECT("NOTA["&amp;PAJAK[#Headers]&amp;"]"),PAJAK[[#This Row],[//]]-2),CONV[1],0),0))</f>
        <v>PT ATALI MAKMUR</v>
      </c>
      <c r="G43" s="42">
        <f ca="1">IF(PAJAK[[#This Row],[//]]="","",INDEX(NOTA[TGL_H],PAJAK[[#This Row],[//]]-2))</f>
        <v>44944</v>
      </c>
      <c r="H43" s="42">
        <f ca="1">IF(PAJAK[[#This Row],[//]]="","",INDEX(INDIRECT("NOTA["&amp;PAJAK[#Headers]&amp;"]"),PAJAK[[#This Row],[//]]-2))</f>
        <v>44939</v>
      </c>
      <c r="I43" s="41" t="str">
        <f ca="1">IF(PAJAK[[#This Row],[//]]="","",INDEX(INDIRECT("NOTA["&amp;PAJAK[#Headers]&amp;"]"),PAJAK[[#This Row],[//]]-2))</f>
        <v>SA230100824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186">
        <f ca="1">IF(PAJAK[[#This Row],[//]]="","",SUMIF(NOTA[ID_H],PAJAK[[#This Row],[ID]],NOTA[JUMLAH]))</f>
        <v>17753000</v>
      </c>
      <c r="L43" s="186">
        <f ca="1">IF(PAJAK[[#This Row],[//]]="","",SUMIF(NOTA[ID_H],PAJAK[[#This Row],[ID]],NOTA[DISC]))</f>
        <v>2995818.75</v>
      </c>
      <c r="M43" s="186">
        <f ca="1">PAJAK[[#This Row],[SUB TOTAL]]-PAJAK[[#This Row],[DISKON]]</f>
        <v>14757181.25</v>
      </c>
      <c r="N43" s="186">
        <f ca="1">IF(PAJAK[[#This Row],[//]]="","",INDEX(INDIRECT("NOTA["&amp;PAJAK[#Headers]&amp;"]"),PAJAK[[#This Row],[//]]-2+PAJAK[[#This Row],[QB]]-1))</f>
        <v>0</v>
      </c>
      <c r="O43" s="186">
        <f ca="1">(PAJAK[[#This Row],[SUB T-DISC]]-PAJAK[[#This Row],[DISC DLL]])/111%</f>
        <v>13294757.882882882</v>
      </c>
      <c r="P43" s="186">
        <f ca="1">PAJAK[[#This Row],[DPP]]*PAJAK[[#This Row],[PPN]]</f>
        <v>1462423.3671171169</v>
      </c>
      <c r="Q43" s="186">
        <f ca="1">PAJAK[[#This Row],[DPP]]+PAJAK[[#This Row],[PPN 11%]]</f>
        <v>14757181.249999998</v>
      </c>
      <c r="R43" s="43" t="str">
        <f ca="1">IF(ISNUMBER(PAJAK[[#This Row],[//]]),PPN,"")</f>
        <v>11%</v>
      </c>
    </row>
    <row r="44" spans="1:18" x14ac:dyDescent="0.25">
      <c r="A44" s="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495</v>
      </c>
      <c r="B44" s="153">
        <f ca="1">HYPERLINK("[NOTA_.XLSX]NOTA!c"&amp;PAJAK[[#This Row],[//]],IF(PAJAK[[#This Row],[//]]="","",INDEX(INDIRECT("NOTA["&amp;PAJAK[#Headers]&amp;"]"),PAJAK[[#This Row],[//]]-2)))</f>
        <v>91</v>
      </c>
      <c r="C44" s="44" t="str">
        <f ca="1">IF(PAJAK[[#This Row],[//]]="","",INDEX(INDIRECT("NOTA["&amp;PAJAK[#Headers]&amp;"]"),PAJAK[[#This Row],[//]]-2))</f>
        <v>ATA_1801_825-5</v>
      </c>
      <c r="D44" s="44" t="e">
        <f ca="1">MATCH(PAJAK[[#This Row],[ID]],[2]!Table1[ID],0)</f>
        <v>#REF!</v>
      </c>
      <c r="E44" s="152">
        <f ca="1">IF(PAJAK[[#This Row],[ID]]="","",COUNTIF(NOTA[ID_H],PAJAK[[#This Row],[ID]]))</f>
        <v>5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44944</v>
      </c>
      <c r="H44" s="42">
        <f ca="1">IF(PAJAK[[#This Row],[//]]="","",INDEX(INDIRECT("NOTA["&amp;PAJAK[#Headers]&amp;"]"),PAJAK[[#This Row],[//]]-2))</f>
        <v>44939</v>
      </c>
      <c r="I44" s="41" t="str">
        <f ca="1">IF(PAJAK[[#This Row],[//]]="","",INDEX(INDIRECT("NOTA["&amp;PAJAK[#Headers]&amp;"]"),PAJAK[[#This Row],[//]]-2))</f>
        <v>SA230100825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186">
        <f ca="1">IF(PAJAK[[#This Row],[//]]="","",SUMIF(NOTA[ID_H],PAJAK[[#This Row],[ID]],NOTA[JUMLAH]))</f>
        <v>10562400</v>
      </c>
      <c r="L44" s="186">
        <f ca="1">IF(PAJAK[[#This Row],[//]]="","",SUMIF(NOTA[ID_H],PAJAK[[#This Row],[ID]],NOTA[DISC]))</f>
        <v>1782405</v>
      </c>
      <c r="M44" s="186">
        <f ca="1">PAJAK[[#This Row],[SUB TOTAL]]-PAJAK[[#This Row],[DISKON]]</f>
        <v>8779995</v>
      </c>
      <c r="N44" s="186">
        <f ca="1">IF(PAJAK[[#This Row],[//]]="","",INDEX(INDIRECT("NOTA["&amp;PAJAK[#Headers]&amp;"]"),PAJAK[[#This Row],[//]]-2+PAJAK[[#This Row],[QB]]-1))</f>
        <v>0</v>
      </c>
      <c r="O44" s="186">
        <f ca="1">(PAJAK[[#This Row],[SUB T-DISC]]-PAJAK[[#This Row],[DISC DLL]])/111%</f>
        <v>7909905.405405405</v>
      </c>
      <c r="P44" s="186">
        <f ca="1">PAJAK[[#This Row],[DPP]]*PAJAK[[#This Row],[PPN]]</f>
        <v>870089.59459459456</v>
      </c>
      <c r="Q44" s="186">
        <f ca="1">PAJAK[[#This Row],[DPP]]+PAJAK[[#This Row],[PPN 11%]]</f>
        <v>8779995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501</v>
      </c>
      <c r="B45" s="40">
        <f ca="1">HYPERLINK("[NOTA_.XLSX]NOTA!c"&amp;PAJAK[[#This Row],[//]],IF(PAJAK[[#This Row],[//]]="","",INDEX(INDIRECT("NOTA["&amp;PAJAK[#Headers]&amp;"]"),PAJAK[[#This Row],[//]]-2)))</f>
        <v>92</v>
      </c>
      <c r="C45" s="40" t="str">
        <f ca="1">IF(PAJAK[[#This Row],[//]]="","",INDEX(INDIRECT("NOTA["&amp;PAJAK[#Headers]&amp;"]"),PAJAK[[#This Row],[//]]-2))</f>
        <v>KAL_1801_133-7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KALINDO SUKSES</v>
      </c>
      <c r="G45" s="42">
        <f ca="1">IF(PAJAK[[#This Row],[//]]="","",INDEX(NOTA[TGL_H],PAJAK[[#This Row],[//]]-2))</f>
        <v>44944</v>
      </c>
      <c r="H45" s="42">
        <f ca="1">IF(PAJAK[[#This Row],[//]]="","",INDEX(INDIRECT("NOTA["&amp;PAJAK[#Headers]&amp;"]"),PAJAK[[#This Row],[//]]-2))</f>
        <v>44939</v>
      </c>
      <c r="I45" s="41" t="str">
        <f ca="1">IF(PAJAK[[#This Row],[//]]="","",INDEX(INDIRECT("NOTA["&amp;PAJAK[#Headers]&amp;"]"),PAJAK[[#This Row],[//]]-2))</f>
        <v>SN23010133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186">
        <f ca="1">IF(PAJAK[[#This Row],[//]]="","",SUMIF(NOTA[ID_H],PAJAK[[#This Row],[ID]],NOTA[JUMLAH]))</f>
        <v>23900000</v>
      </c>
      <c r="L45" s="186">
        <f ca="1">IF(PAJAK[[#This Row],[//]]="","",SUMIF(NOTA[ID_H],PAJAK[[#This Row],[ID]],NOTA[DISC]))</f>
        <v>4033125</v>
      </c>
      <c r="M45" s="186">
        <f ca="1">PAJAK[[#This Row],[SUB TOTAL]]-PAJAK[[#This Row],[DISKON]]</f>
        <v>19866875</v>
      </c>
      <c r="N45" s="186">
        <f ca="1">IF(PAJAK[[#This Row],[//]]="","",INDEX(INDIRECT("NOTA["&amp;PAJAK[#Headers]&amp;"]"),PAJAK[[#This Row],[//]]-2+PAJAK[[#This Row],[QB]]-1))</f>
        <v>0</v>
      </c>
      <c r="O45" s="186">
        <f ca="1">(PAJAK[[#This Row],[SUB T-DISC]]-PAJAK[[#This Row],[DISC DLL]])/111%</f>
        <v>17898085.585585583</v>
      </c>
      <c r="P45" s="186">
        <f ca="1">PAJAK[[#This Row],[DPP]]*PAJAK[[#This Row],[PPN]]</f>
        <v>1968789.4144144142</v>
      </c>
      <c r="Q45" s="186">
        <f ca="1">PAJAK[[#This Row],[DPP]]+PAJAK[[#This Row],[PPN 11%]]</f>
        <v>19866874.999999996</v>
      </c>
      <c r="R45" s="43" t="str">
        <f ca="1">IF(ISNUMBER(PAJAK[[#This Row],[//]]),PPN,"")</f>
        <v>11%</v>
      </c>
    </row>
    <row r="46" spans="1:18" x14ac:dyDescent="0.25">
      <c r="A46" s="44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509</v>
      </c>
      <c r="B46" s="153">
        <f ca="1">HYPERLINK("[NOTA_.XLSX]NOTA!c"&amp;PAJAK[[#This Row],[//]],IF(PAJAK[[#This Row],[//]]="","",INDEX(INDIRECT("NOTA["&amp;PAJAK[#Headers]&amp;"]"),PAJAK[[#This Row],[//]]-2)))</f>
        <v>93</v>
      </c>
      <c r="C46" s="44" t="str">
        <f ca="1">IF(PAJAK[[#This Row],[//]]="","",INDEX(INDIRECT("NOTA["&amp;PAJAK[#Headers]&amp;"]"),PAJAK[[#This Row],[//]]-2))</f>
        <v>ATA_1801_904-4</v>
      </c>
      <c r="D46" s="44" t="e">
        <f ca="1">MATCH(PAJAK[[#This Row],[ID]],[2]!Table1[ID],0)</f>
        <v>#REF!</v>
      </c>
      <c r="E46" s="152">
        <f ca="1">IF(PAJAK[[#This Row],[ID]]="","",COUNTIF(NOTA[ID_H],PAJAK[[#This Row],[ID]]))</f>
        <v>4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44944</v>
      </c>
      <c r="H46" s="42">
        <f ca="1">IF(PAJAK[[#This Row],[//]]="","",INDEX(INDIRECT("NOTA["&amp;PAJAK[#Headers]&amp;"]"),PAJAK[[#This Row],[//]]-2))</f>
        <v>44940</v>
      </c>
      <c r="I46" s="41" t="str">
        <f ca="1">IF(PAJAK[[#This Row],[//]]="","",INDEX(INDIRECT("NOTA["&amp;PAJAK[#Headers]&amp;"]"),PAJAK[[#This Row],[//]]-2))</f>
        <v>SA230100904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186">
        <f ca="1">IF(PAJAK[[#This Row],[//]]="","",SUMIF(NOTA[ID_H],PAJAK[[#This Row],[ID]],NOTA[JUMLAH]))</f>
        <v>20949000</v>
      </c>
      <c r="L46" s="186">
        <f ca="1">IF(PAJAK[[#This Row],[//]]="","",SUMIF(NOTA[ID_H],PAJAK[[#This Row],[ID]],NOTA[DISC]))</f>
        <v>3531795</v>
      </c>
      <c r="M46" s="186">
        <f ca="1">PAJAK[[#This Row],[SUB TOTAL]]-PAJAK[[#This Row],[DISKON]]</f>
        <v>17417205</v>
      </c>
      <c r="N46" s="186">
        <f ca="1">IF(PAJAK[[#This Row],[//]]="","",INDEX(INDIRECT("NOTA["&amp;PAJAK[#Headers]&amp;"]"),PAJAK[[#This Row],[//]]-2+PAJAK[[#This Row],[QB]]-1))</f>
        <v>120555</v>
      </c>
      <c r="O46" s="186">
        <f ca="1">(PAJAK[[#This Row],[SUB T-DISC]]-PAJAK[[#This Row],[DISC DLL]])/111%</f>
        <v>15582567.567567566</v>
      </c>
      <c r="P46" s="186">
        <f ca="1">PAJAK[[#This Row],[DPP]]*PAJAK[[#This Row],[PPN]]</f>
        <v>1714082.4324324324</v>
      </c>
      <c r="Q46" s="186">
        <f ca="1">PAJAK[[#This Row],[DPP]]+PAJAK[[#This Row],[PPN 11%]]</f>
        <v>17296650</v>
      </c>
      <c r="R46" s="43" t="str">
        <f ca="1">IF(ISNUMBER(PAJAK[[#This Row],[//]]),PPN,"")</f>
        <v>11%</v>
      </c>
    </row>
    <row r="47" spans="1:18" x14ac:dyDescent="0.25">
      <c r="A47" s="44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514</v>
      </c>
      <c r="B47" s="153">
        <f ca="1">HYPERLINK("[NOTA_.XLSX]NOTA!c"&amp;PAJAK[[#This Row],[//]],IF(PAJAK[[#This Row],[//]]="","",INDEX(INDIRECT("NOTA["&amp;PAJAK[#Headers]&amp;"]"),PAJAK[[#This Row],[//]]-2)))</f>
        <v>94</v>
      </c>
      <c r="C47" s="44" t="str">
        <f ca="1">IF(PAJAK[[#This Row],[//]]="","",INDEX(INDIRECT("NOTA["&amp;PAJAK[#Headers]&amp;"]"),PAJAK[[#This Row],[//]]-2))</f>
        <v>ATA_1801_903-8</v>
      </c>
      <c r="D47" s="44" t="e">
        <f ca="1">MATCH(PAJAK[[#This Row],[ID]],[2]!Table1[ID],0)</f>
        <v>#REF!</v>
      </c>
      <c r="E47" s="152">
        <f ca="1">IF(PAJAK[[#This Row],[ID]]="","",COUNTIF(NOTA[ID_H],PAJAK[[#This Row],[ID]]))</f>
        <v>8</v>
      </c>
      <c r="F47" s="40" t="str">
        <f ca="1">IF(PAJAK[[#This Row],[//]]="","",INDEX(CONV[2],MATCH(INDEX(INDIRECT("NOTA["&amp;PAJAK[#Headers]&amp;"]"),PAJAK[[#This Row],[//]]-2),CONV[1],0),0))</f>
        <v>PT ATALI MAKMUR</v>
      </c>
      <c r="G47" s="42">
        <f ca="1">IF(PAJAK[[#This Row],[//]]="","",INDEX(NOTA[TGL_H],PAJAK[[#This Row],[//]]-2))</f>
        <v>44944</v>
      </c>
      <c r="H47" s="42">
        <f ca="1">IF(PAJAK[[#This Row],[//]]="","",INDEX(INDIRECT("NOTA["&amp;PAJAK[#Headers]&amp;"]"),PAJAK[[#This Row],[//]]-2))</f>
        <v>44940</v>
      </c>
      <c r="I47" s="41" t="str">
        <f ca="1">IF(PAJAK[[#This Row],[//]]="","",INDEX(INDIRECT("NOTA["&amp;PAJAK[#Headers]&amp;"]"),PAJAK[[#This Row],[//]]-2))</f>
        <v>SA230100903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/>
      </c>
      <c r="K47" s="186">
        <f ca="1">IF(PAJAK[[#This Row],[//]]="","",SUMIF(NOTA[ID_H],PAJAK[[#This Row],[ID]],NOTA[JUMLAH]))</f>
        <v>22915200</v>
      </c>
      <c r="L47" s="186">
        <f ca="1">IF(PAJAK[[#This Row],[//]]="","",SUMIF(NOTA[ID_H],PAJAK[[#This Row],[ID]],NOTA[DISC]))</f>
        <v>3866940</v>
      </c>
      <c r="M47" s="186">
        <f ca="1">PAJAK[[#This Row],[SUB TOTAL]]-PAJAK[[#This Row],[DISKON]]</f>
        <v>19048260</v>
      </c>
      <c r="N47" s="186">
        <f ca="1">IF(PAJAK[[#This Row],[//]]="","",INDEX(INDIRECT("NOTA["&amp;PAJAK[#Headers]&amp;"]"),PAJAK[[#This Row],[//]]-2+PAJAK[[#This Row],[QB]]-1))</f>
        <v>0</v>
      </c>
      <c r="O47" s="186">
        <f ca="1">(PAJAK[[#This Row],[SUB T-DISC]]-PAJAK[[#This Row],[DISC DLL]])/111%</f>
        <v>17160594.594594594</v>
      </c>
      <c r="P47" s="186">
        <f ca="1">PAJAK[[#This Row],[DPP]]*PAJAK[[#This Row],[PPN]]</f>
        <v>1887665.4054054054</v>
      </c>
      <c r="Q47" s="186">
        <f ca="1">PAJAK[[#This Row],[DPP]]+PAJAK[[#This Row],[PPN 11%]]</f>
        <v>19048260</v>
      </c>
      <c r="R47" s="43" t="str">
        <f ca="1">IF(ISNUMBER(PAJAK[[#This Row],[//]]),PPN,"")</f>
        <v>11%</v>
      </c>
    </row>
    <row r="48" spans="1:18" x14ac:dyDescent="0.25">
      <c r="A48" s="44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523</v>
      </c>
      <c r="B48" s="153">
        <f ca="1">HYPERLINK("[NOTA_.XLSX]NOTA!c"&amp;PAJAK[[#This Row],[//]],IF(PAJAK[[#This Row],[//]]="","",INDEX(INDIRECT("NOTA["&amp;PAJAK[#Headers]&amp;"]"),PAJAK[[#This Row],[//]]-2)))</f>
        <v>95</v>
      </c>
      <c r="C48" s="44" t="str">
        <f ca="1">IF(PAJAK[[#This Row],[//]]="","",INDEX(INDIRECT("NOTA["&amp;PAJAK[#Headers]&amp;"]"),PAJAK[[#This Row],[//]]-2))</f>
        <v>KEN_1801_110-2</v>
      </c>
      <c r="D48" s="44" t="e">
        <f ca="1">MATCH(PAJAK[[#This Row],[ID]],[2]!Table1[ID],0)</f>
        <v>#REF!</v>
      </c>
      <c r="E48" s="152">
        <f ca="1">IF(PAJAK[[#This Row],[ID]]="","",COUNTIF(NOTA[ID_H],PAJAK[[#This Row],[ID]]))</f>
        <v>2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44944</v>
      </c>
      <c r="H48" s="42">
        <f ca="1">IF(PAJAK[[#This Row],[//]]="","",INDEX(INDIRECT("NOTA["&amp;PAJAK[#Headers]&amp;"]"),PAJAK[[#This Row],[//]]-2))</f>
        <v>44942</v>
      </c>
      <c r="I48" s="41" t="str">
        <f ca="1">IF(PAJAK[[#This Row],[//]]="","",INDEX(INDIRECT("NOTA["&amp;PAJAK[#Headers]&amp;"]"),PAJAK[[#This Row],[//]]-2))</f>
        <v>23011110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39546</v>
      </c>
      <c r="K48" s="186">
        <f ca="1">IF(PAJAK[[#This Row],[//]]="","",SUMIF(NOTA[ID_H],PAJAK[[#This Row],[ID]],NOTA[JUMLAH]))</f>
        <v>13564800</v>
      </c>
      <c r="L48" s="186">
        <f ca="1">IF(PAJAK[[#This Row],[//]]="","",SUMIF(NOTA[ID_H],PAJAK[[#This Row],[ID]],NOTA[DISC]))</f>
        <v>2306016</v>
      </c>
      <c r="M48" s="186">
        <f ca="1">PAJAK[[#This Row],[SUB TOTAL]]-PAJAK[[#This Row],[DISKON]]</f>
        <v>11258784</v>
      </c>
      <c r="N48" s="186">
        <f ca="1">IF(PAJAK[[#This Row],[//]]="","",INDEX(INDIRECT("NOTA["&amp;PAJAK[#Headers]&amp;"]"),PAJAK[[#This Row],[//]]-2+PAJAK[[#This Row],[QB]]-1))</f>
        <v>0</v>
      </c>
      <c r="O48" s="186">
        <f ca="1">(PAJAK[[#This Row],[SUB T-DISC]]-PAJAK[[#This Row],[DISC DLL]])/111%</f>
        <v>10143048.648648648</v>
      </c>
      <c r="P48" s="186">
        <f ca="1">PAJAK[[#This Row],[DPP]]*PAJAK[[#This Row],[PPN]]</f>
        <v>1115735.3513513512</v>
      </c>
      <c r="Q48" s="186">
        <f ca="1">PAJAK[[#This Row],[DPP]]+PAJAK[[#This Row],[PPN 11%]]</f>
        <v>11258783.999999998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561</v>
      </c>
      <c r="B49" s="40">
        <f ca="1">HYPERLINK("[NOTA_.XLSX]NOTA!c"&amp;PAJAK[[#This Row],[//]],IF(PAJAK[[#This Row],[//]]="","",INDEX(INDIRECT("NOTA["&amp;PAJAK[#Headers]&amp;"]"),PAJAK[[#This Row],[//]]-2)))</f>
        <v>105</v>
      </c>
      <c r="C49" s="40" t="str">
        <f ca="1">IF(PAJAK[[#This Row],[//]]="","",INDEX(INDIRECT("NOTA["&amp;PAJAK[#Headers]&amp;"]"),PAJAK[[#This Row],[//]]-2))</f>
        <v>LAY_2001_055-2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MITRA GLOBAL NIAGA</v>
      </c>
      <c r="G49" s="42">
        <f ca="1">IF(PAJAK[[#This Row],[//]]="","",INDEX(NOTA[TGL_H],PAJAK[[#This Row],[//]]-2))</f>
        <v>44946</v>
      </c>
      <c r="H49" s="42">
        <f ca="1">IF(PAJAK[[#This Row],[//]]="","",INDEX(INDIRECT("NOTA["&amp;PAJAK[#Headers]&amp;"]"),PAJAK[[#This Row],[//]]-2))</f>
        <v>44945</v>
      </c>
      <c r="I49" s="41" t="str">
        <f ca="1">IF(PAJAK[[#This Row],[//]]="","",INDEX(INDIRECT("NOTA["&amp;PAJAK[#Headers]&amp;"]"),PAJAK[[#This Row],[//]]-2))</f>
        <v>L201055</v>
      </c>
      <c r="J49" s="40">
        <f ca="1">IF(OR(PAJAK[[#This Row],[//]]="",INDEX(INDIRECT("NOTA["&amp;PAJAK[#Headers]&amp;"]"),PAJAK[[#This Row],[//]]-2)=""),"",INDEX(INDIRECT("NOTA["&amp;PAJAK[#Headers]&amp;"]"),PAJAK[[#This Row],[//]]-2))</f>
        <v>201126</v>
      </c>
      <c r="K49" s="186">
        <f ca="1">IF(PAJAK[[#This Row],[//]]="","",SUMIF(NOTA[ID_H],PAJAK[[#This Row],[ID]],NOTA[JUMLAH]))</f>
        <v>48000000</v>
      </c>
      <c r="L49" s="186">
        <f ca="1">IF(PAJAK[[#This Row],[//]]="","",SUMIF(NOTA[ID_H],PAJAK[[#This Row],[ID]],NOTA[DISC]))</f>
        <v>4200000</v>
      </c>
      <c r="M49" s="186">
        <f ca="1">PAJAK[[#This Row],[SUB TOTAL]]-PAJAK[[#This Row],[DISKON]]</f>
        <v>43800000</v>
      </c>
      <c r="N49" s="186">
        <f ca="1">IF(PAJAK[[#This Row],[//]]="","",INDEX(INDIRECT("NOTA["&amp;PAJAK[#Headers]&amp;"]"),PAJAK[[#This Row],[//]]-2+PAJAK[[#This Row],[QB]]-1))</f>
        <v>0</v>
      </c>
      <c r="O49" s="186">
        <f ca="1">(PAJAK[[#This Row],[SUB T-DISC]]-PAJAK[[#This Row],[DISC DLL]])/111%</f>
        <v>39459459.459459454</v>
      </c>
      <c r="P49" s="186">
        <f ca="1">PAJAK[[#This Row],[DPP]]*PAJAK[[#This Row],[PPN]]</f>
        <v>4340540.5405405397</v>
      </c>
      <c r="Q49" s="186">
        <f ca="1">PAJAK[[#This Row],[DPP]]+PAJAK[[#This Row],[PPN 11%]]</f>
        <v>43799999.999999993</v>
      </c>
      <c r="R49" s="43" t="str">
        <f ca="1">IF(ISNUMBER(PAJAK[[#This Row],[//]]),PPN,"")</f>
        <v>11%</v>
      </c>
    </row>
    <row r="50" spans="1:18" x14ac:dyDescent="0.25">
      <c r="A50" s="44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564</v>
      </c>
      <c r="B50" s="153">
        <f ca="1">HYPERLINK("[NOTA_.XLSX]NOTA!c"&amp;PAJAK[[#This Row],[//]],IF(PAJAK[[#This Row],[//]]="","",INDEX(INDIRECT("NOTA["&amp;PAJAK[#Headers]&amp;"]"),PAJAK[[#This Row],[//]]-2)))</f>
        <v>106</v>
      </c>
      <c r="C50" s="44" t="str">
        <f ca="1">IF(PAJAK[[#This Row],[//]]="","",INDEX(INDIRECT("NOTA["&amp;PAJAK[#Headers]&amp;"]"),PAJAK[[#This Row],[//]]-2))</f>
        <v>ATA_2001_015-8</v>
      </c>
      <c r="D50" s="44" t="e">
        <f ca="1">MATCH(PAJAK[[#This Row],[ID]],[2]!Table1[ID],0)</f>
        <v>#REF!</v>
      </c>
      <c r="E50" s="152">
        <f ca="1">IF(PAJAK[[#This Row],[ID]]="","",COUNTIF(NOTA[ID_H],PAJAK[[#This Row],[ID]]))</f>
        <v>8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44946</v>
      </c>
      <c r="H50" s="42">
        <f ca="1">IF(PAJAK[[#This Row],[//]]="","",INDEX(INDIRECT("NOTA["&amp;PAJAK[#Headers]&amp;"]"),PAJAK[[#This Row],[//]]-2))</f>
        <v>44943</v>
      </c>
      <c r="I50" s="41" t="str">
        <f ca="1">IF(PAJAK[[#This Row],[//]]="","",INDEX(INDIRECT("NOTA["&amp;PAJAK[#Headers]&amp;"]"),PAJAK[[#This Row],[//]]-2))</f>
        <v>SA230101015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186">
        <f ca="1">IF(PAJAK[[#This Row],[//]]="","",SUMIF(NOTA[ID_H],PAJAK[[#This Row],[ID]],NOTA[JUMLAH]))</f>
        <v>33484800</v>
      </c>
      <c r="L50" s="186">
        <f ca="1">IF(PAJAK[[#This Row],[//]]="","",SUMIF(NOTA[ID_H],PAJAK[[#This Row],[ID]],NOTA[DISC]))</f>
        <v>5650560</v>
      </c>
      <c r="M50" s="186">
        <f ca="1">PAJAK[[#This Row],[SUB TOTAL]]-PAJAK[[#This Row],[DISKON]]</f>
        <v>27834240</v>
      </c>
      <c r="N50" s="186">
        <f ca="1">IF(PAJAK[[#This Row],[//]]="","",INDEX(INDIRECT("NOTA["&amp;PAJAK[#Headers]&amp;"]"),PAJAK[[#This Row],[//]]-2+PAJAK[[#This Row],[QB]]-1))</f>
        <v>375060</v>
      </c>
      <c r="O50" s="186">
        <f ca="1">(PAJAK[[#This Row],[SUB T-DISC]]-PAJAK[[#This Row],[DISC DLL]])/111%</f>
        <v>24737999.999999996</v>
      </c>
      <c r="P50" s="186">
        <f ca="1">PAJAK[[#This Row],[DPP]]*PAJAK[[#This Row],[PPN]]</f>
        <v>2721179.9999999995</v>
      </c>
      <c r="Q50" s="186">
        <f ca="1">PAJAK[[#This Row],[DPP]]+PAJAK[[#This Row],[PPN 11%]]</f>
        <v>27459179.999999996</v>
      </c>
      <c r="R50" s="43" t="str">
        <f ca="1">IF(ISNUMBER(PAJAK[[#This Row],[//]]),PPN,"")</f>
        <v>11%</v>
      </c>
    </row>
    <row r="51" spans="1:18" x14ac:dyDescent="0.25">
      <c r="A51" s="44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573</v>
      </c>
      <c r="B51" s="153">
        <f ca="1">HYPERLINK("[NOTA_.XLSX]NOTA!c"&amp;PAJAK[[#This Row],[//]],IF(PAJAK[[#This Row],[//]]="","",INDEX(INDIRECT("NOTA["&amp;PAJAK[#Headers]&amp;"]"),PAJAK[[#This Row],[//]]-2)))</f>
        <v>107</v>
      </c>
      <c r="C51" s="44" t="str">
        <f ca="1">IF(PAJAK[[#This Row],[//]]="","",INDEX(INDIRECT("NOTA["&amp;PAJAK[#Headers]&amp;"]"),PAJAK[[#This Row],[//]]-2))</f>
        <v>ATA_2001_013-11</v>
      </c>
      <c r="D51" s="44" t="e">
        <f ca="1">MATCH(PAJAK[[#This Row],[ID]],[2]!Table1[ID],0)</f>
        <v>#REF!</v>
      </c>
      <c r="E51" s="152">
        <f ca="1">IF(PAJAK[[#This Row],[ID]]="","",COUNTIF(NOTA[ID_H],PAJAK[[#This Row],[ID]]))</f>
        <v>11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44946</v>
      </c>
      <c r="H51" s="42">
        <f ca="1">IF(PAJAK[[#This Row],[//]]="","",INDEX(INDIRECT("NOTA["&amp;PAJAK[#Headers]&amp;"]"),PAJAK[[#This Row],[//]]-2))</f>
        <v>44943</v>
      </c>
      <c r="I51" s="41" t="str">
        <f ca="1">IF(PAJAK[[#This Row],[//]]="","",INDEX(INDIRECT("NOTA["&amp;PAJAK[#Headers]&amp;"]"),PAJAK[[#This Row],[//]]-2))</f>
        <v>SA230101013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186">
        <f ca="1">IF(PAJAK[[#This Row],[//]]="","",SUMIF(NOTA[ID_H],PAJAK[[#This Row],[ID]],NOTA[JUMLAH]))</f>
        <v>29759600</v>
      </c>
      <c r="L51" s="186">
        <f ca="1">IF(PAJAK[[#This Row],[//]]="","",SUMIF(NOTA[ID_H],PAJAK[[#This Row],[ID]],NOTA[DISC]))</f>
        <v>5021932.5</v>
      </c>
      <c r="M51" s="186">
        <f ca="1">PAJAK[[#This Row],[SUB TOTAL]]-PAJAK[[#This Row],[DISKON]]</f>
        <v>24737667.5</v>
      </c>
      <c r="N51" s="186">
        <f ca="1">IF(PAJAK[[#This Row],[//]]="","",INDEX(INDIRECT("NOTA["&amp;PAJAK[#Headers]&amp;"]"),PAJAK[[#This Row],[//]]-2+PAJAK[[#This Row],[QB]]-1))</f>
        <v>0</v>
      </c>
      <c r="O51" s="186">
        <f ca="1">(PAJAK[[#This Row],[SUB T-DISC]]-PAJAK[[#This Row],[DISC DLL]])/111%</f>
        <v>22286186.936936934</v>
      </c>
      <c r="P51" s="186">
        <f ca="1">PAJAK[[#This Row],[DPP]]*PAJAK[[#This Row],[PPN]]</f>
        <v>2451480.5630630627</v>
      </c>
      <c r="Q51" s="186">
        <f ca="1">PAJAK[[#This Row],[DPP]]+PAJAK[[#This Row],[PPN 11%]]</f>
        <v>24737667.499999996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585</v>
      </c>
      <c r="B52" s="40">
        <f ca="1">HYPERLINK("[NOTA_.XLSX]NOTA!c"&amp;PAJAK[[#This Row],[//]],IF(PAJAK[[#This Row],[//]]="","",INDEX(INDIRECT("NOTA["&amp;PAJAK[#Headers]&amp;"]"),PAJAK[[#This Row],[//]]-2)))</f>
        <v>108</v>
      </c>
      <c r="C52" s="40" t="str">
        <f ca="1">IF(PAJAK[[#This Row],[//]]="","",INDEX(INDIRECT("NOTA["&amp;PAJAK[#Headers]&amp;"]"),PAJAK[[#This Row],[//]]-2))</f>
        <v>ATA_2001_014-5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5</v>
      </c>
      <c r="F52" s="40" t="str">
        <f ca="1">IF(PAJAK[[#This Row],[//]]="","",INDEX(CONV[2],MATCH(INDEX(INDIRECT("NOTA["&amp;PAJAK[#Headers]&amp;"]"),PAJAK[[#This Row],[//]]-2),CONV[1],0),0))</f>
        <v>PT ATALI MAKMUR</v>
      </c>
      <c r="G52" s="42">
        <f ca="1">IF(PAJAK[[#This Row],[//]]="","",INDEX(NOTA[TGL_H],PAJAK[[#This Row],[//]]-2))</f>
        <v>44946</v>
      </c>
      <c r="H52" s="42">
        <f ca="1">IF(PAJAK[[#This Row],[//]]="","",INDEX(INDIRECT("NOTA["&amp;PAJAK[#Headers]&amp;"]"),PAJAK[[#This Row],[//]]-2))</f>
        <v>44943</v>
      </c>
      <c r="I52" s="41" t="str">
        <f ca="1">IF(PAJAK[[#This Row],[//]]="","",INDEX(INDIRECT("NOTA["&amp;PAJAK[#Headers]&amp;"]"),PAJAK[[#This Row],[//]]-2))</f>
        <v>SA230101014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186">
        <f ca="1">IF(PAJAK[[#This Row],[//]]="","",SUMIF(NOTA[ID_H],PAJAK[[#This Row],[ID]],NOTA[JUMLAH]))</f>
        <v>14324000</v>
      </c>
      <c r="L52" s="186">
        <f ca="1">IF(PAJAK[[#This Row],[//]]="","",SUMIF(NOTA[ID_H],PAJAK[[#This Row],[ID]],NOTA[DISC]))</f>
        <v>2417175</v>
      </c>
      <c r="M52" s="186">
        <f ca="1">PAJAK[[#This Row],[SUB TOTAL]]-PAJAK[[#This Row],[DISKON]]</f>
        <v>11906825</v>
      </c>
      <c r="N52" s="186">
        <f ca="1">IF(PAJAK[[#This Row],[//]]="","",INDEX(INDIRECT("NOTA["&amp;PAJAK[#Headers]&amp;"]"),PAJAK[[#This Row],[//]]-2+PAJAK[[#This Row],[QB]]-1))</f>
        <v>0</v>
      </c>
      <c r="O52" s="186">
        <f ca="1">(PAJAK[[#This Row],[SUB T-DISC]]-PAJAK[[#This Row],[DISC DLL]])/111%</f>
        <v>10726869.369369369</v>
      </c>
      <c r="P52" s="186">
        <f ca="1">PAJAK[[#This Row],[DPP]]*PAJAK[[#This Row],[PPN]]</f>
        <v>1179955.6306306305</v>
      </c>
      <c r="Q52" s="186">
        <f ca="1">PAJAK[[#This Row],[DPP]]+PAJAK[[#This Row],[PPN 11%]]</f>
        <v>11906825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591</v>
      </c>
      <c r="B53" s="154">
        <f ca="1">HYPERLINK("[NOTA_.XLSX]NOTA!c"&amp;PAJAK[[#This Row],[//]],IF(PAJAK[[#This Row],[//]]="","",INDEX(INDIRECT("NOTA["&amp;PAJAK[#Headers]&amp;"]"),PAJAK[[#This Row],[//]]-2)))</f>
        <v>109</v>
      </c>
      <c r="C53" s="40" t="str">
        <f ca="1">IF(PAJAK[[#This Row],[//]]="","",INDEX(INDIRECT("NOTA["&amp;PAJAK[#Headers]&amp;"]"),PAJAK[[#This Row],[//]]-2))</f>
        <v>KAL_2001_172-3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3</v>
      </c>
      <c r="F53" s="40" t="str">
        <f ca="1">IF(PAJAK[[#This Row],[//]]="","",INDEX(CONV[2],MATCH(INDEX(INDIRECT("NOTA["&amp;PAJAK[#Headers]&amp;"]"),PAJAK[[#This Row],[//]]-2),CONV[1],0),0))</f>
        <v>PT KALINDO SUKSES</v>
      </c>
      <c r="G53" s="42">
        <f ca="1">IF(PAJAK[[#This Row],[//]]="","",INDEX(NOTA[TGL_H],PAJAK[[#This Row],[//]]-2))</f>
        <v>44946</v>
      </c>
      <c r="H53" s="42">
        <f ca="1">IF(PAJAK[[#This Row],[//]]="","",INDEX(INDIRECT("NOTA["&amp;PAJAK[#Headers]&amp;"]"),PAJAK[[#This Row],[//]]-2))</f>
        <v>44943</v>
      </c>
      <c r="I53" s="41" t="str">
        <f ca="1">IF(PAJAK[[#This Row],[//]]="","",INDEX(INDIRECT("NOTA["&amp;PAJAK[#Headers]&amp;"]"),PAJAK[[#This Row],[//]]-2))</f>
        <v>SN23010172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186">
        <f ca="1">IF(PAJAK[[#This Row],[//]]="","",SUMIF(NOTA[ID_H],PAJAK[[#This Row],[ID]],NOTA[JUMLAH]))</f>
        <v>5640000</v>
      </c>
      <c r="L53" s="186">
        <f ca="1">IF(PAJAK[[#This Row],[//]]="","",SUMIF(NOTA[ID_H],PAJAK[[#This Row],[ID]],NOTA[DISC]))</f>
        <v>951750</v>
      </c>
      <c r="M53" s="186">
        <f ca="1">PAJAK[[#This Row],[SUB TOTAL]]-PAJAK[[#This Row],[DISKON]]</f>
        <v>4688250</v>
      </c>
      <c r="N53" s="186">
        <f ca="1">IF(PAJAK[[#This Row],[//]]="","",INDEX(INDIRECT("NOTA["&amp;PAJAK[#Headers]&amp;"]"),PAJAK[[#This Row],[//]]-2+PAJAK[[#This Row],[QB]]-1))</f>
        <v>0</v>
      </c>
      <c r="O53" s="186">
        <f ca="1">(PAJAK[[#This Row],[SUB T-DISC]]-PAJAK[[#This Row],[DISC DLL]])/111%</f>
        <v>4223648.6486486485</v>
      </c>
      <c r="P53" s="186">
        <f ca="1">PAJAK[[#This Row],[DPP]]*PAJAK[[#This Row],[PPN]]</f>
        <v>464601.35135135136</v>
      </c>
      <c r="Q53" s="186">
        <f ca="1">PAJAK[[#This Row],[DPP]]+PAJAK[[#This Row],[PPN 11%]]</f>
        <v>4688250</v>
      </c>
      <c r="R53" s="43" t="str">
        <f ca="1">IF(ISNUMBER(PAJAK[[#This Row],[//]]),PPN,"")</f>
        <v>11%</v>
      </c>
    </row>
    <row r="54" spans="1:18" x14ac:dyDescent="0.25">
      <c r="A54" s="4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595</v>
      </c>
      <c r="B54" s="153">
        <f ca="1">HYPERLINK("[NOTA_.XLSX]NOTA!c"&amp;PAJAK[[#This Row],[//]],IF(PAJAK[[#This Row],[//]]="","",INDEX(INDIRECT("NOTA["&amp;PAJAK[#Headers]&amp;"]"),PAJAK[[#This Row],[//]]-2)))</f>
        <v>110</v>
      </c>
      <c r="C54" s="44" t="str">
        <f ca="1">IF(PAJAK[[#This Row],[//]]="","",INDEX(INDIRECT("NOTA["&amp;PAJAK[#Headers]&amp;"]"),PAJAK[[#This Row],[//]]-2))</f>
        <v>KEN_2001_377-3</v>
      </c>
      <c r="D54" s="44" t="e">
        <f ca="1">MATCH(PAJAK[[#This Row],[ID]],[2]!Table1[ID],0)</f>
        <v>#REF!</v>
      </c>
      <c r="E54" s="152">
        <f ca="1">IF(PAJAK[[#This Row],[ID]]="","",COUNTIF(NOTA[ID_H],PAJAK[[#This Row],[ID]]))</f>
        <v>3</v>
      </c>
      <c r="F54" s="40" t="str">
        <f ca="1">IF(PAJAK[[#This Row],[//]]="","",INDEX(CONV[2],MATCH(INDEX(INDIRECT("NOTA["&amp;PAJAK[#Headers]&amp;"]"),PAJAK[[#This Row],[//]]-2),CONV[1],0),0))</f>
        <v>PT KENKO SINAR INDONESIA</v>
      </c>
      <c r="G54" s="42">
        <f ca="1">IF(PAJAK[[#This Row],[//]]="","",INDEX(NOTA[TGL_H],PAJAK[[#This Row],[//]]-2))</f>
        <v>44946</v>
      </c>
      <c r="H54" s="42">
        <f ca="1">IF(PAJAK[[#This Row],[//]]="","",INDEX(INDIRECT("NOTA["&amp;PAJAK[#Headers]&amp;"]"),PAJAK[[#This Row],[//]]-2))</f>
        <v>44944</v>
      </c>
      <c r="I54" s="41" t="str">
        <f ca="1">IF(PAJAK[[#This Row],[//]]="","",INDEX(INDIRECT("NOTA["&amp;PAJAK[#Headers]&amp;"]"),PAJAK[[#This Row],[//]]-2))</f>
        <v>23011377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>SA 39615</v>
      </c>
      <c r="K54" s="186">
        <f ca="1">IF(PAJAK[[#This Row],[//]]="","",SUMIF(NOTA[ID_H],PAJAK[[#This Row],[ID]],NOTA[JUMLAH]))</f>
        <v>23928800</v>
      </c>
      <c r="L54" s="186">
        <f ca="1">IF(PAJAK[[#This Row],[//]]="","",SUMIF(NOTA[ID_H],PAJAK[[#This Row],[ID]],NOTA[DISC]))</f>
        <v>4067896.0000000009</v>
      </c>
      <c r="M54" s="186">
        <f ca="1">PAJAK[[#This Row],[SUB TOTAL]]-PAJAK[[#This Row],[DISKON]]</f>
        <v>19860904</v>
      </c>
      <c r="N54" s="186">
        <f ca="1">IF(PAJAK[[#This Row],[//]]="","",INDEX(INDIRECT("NOTA["&amp;PAJAK[#Headers]&amp;"]"),PAJAK[[#This Row],[//]]-2+PAJAK[[#This Row],[QB]]-1))</f>
        <v>0</v>
      </c>
      <c r="O54" s="186">
        <f ca="1">(PAJAK[[#This Row],[SUB T-DISC]]-PAJAK[[#This Row],[DISC DLL]])/111%</f>
        <v>17892706.306306306</v>
      </c>
      <c r="P54" s="186">
        <f ca="1">PAJAK[[#This Row],[DPP]]*PAJAK[[#This Row],[PPN]]</f>
        <v>1968197.6936936937</v>
      </c>
      <c r="Q54" s="186">
        <f ca="1">PAJAK[[#This Row],[DPP]]+PAJAK[[#This Row],[PPN 11%]]</f>
        <v>19860904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599</v>
      </c>
      <c r="B55" s="153">
        <f ca="1">HYPERLINK("[NOTA_.XLSX]NOTA!c"&amp;PAJAK[[#This Row],[//]],IF(PAJAK[[#This Row],[//]]="","",INDEX(INDIRECT("NOTA["&amp;PAJAK[#Headers]&amp;"]"),PAJAK[[#This Row],[//]]-2)))</f>
        <v>111</v>
      </c>
      <c r="C55" s="44" t="str">
        <f ca="1">IF(PAJAK[[#This Row],[//]]="","",INDEX(INDIRECT("NOTA["&amp;PAJAK[#Headers]&amp;"]"),PAJAK[[#This Row],[//]]-2))</f>
        <v>KEN_2001_158-2</v>
      </c>
      <c r="D55" s="44" t="e">
        <f ca="1">MATCH(PAJAK[[#This Row],[ID]],[2]!Table1[ID],0)</f>
        <v>#REF!</v>
      </c>
      <c r="E55" s="152">
        <f ca="1">IF(PAJAK[[#This Row],[ID]]="","",COUNTIF(NOTA[ID_H],PAJAK[[#This Row],[ID]]))</f>
        <v>2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44946</v>
      </c>
      <c r="H55" s="42">
        <f ca="1">IF(PAJAK[[#This Row],[//]]="","",INDEX(INDIRECT("NOTA["&amp;PAJAK[#Headers]&amp;"]"),PAJAK[[#This Row],[//]]-2))</f>
        <v>44943</v>
      </c>
      <c r="I55" s="41" t="str">
        <f ca="1">IF(PAJAK[[#This Row],[//]]="","",INDEX(INDIRECT("NOTA["&amp;PAJAK[#Headers]&amp;"]"),PAJAK[[#This Row],[//]]-2))</f>
        <v>23011158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>SA 39589</v>
      </c>
      <c r="K55" s="186">
        <f ca="1">IF(PAJAK[[#This Row],[//]]="","",SUMIF(NOTA[ID_H],PAJAK[[#This Row],[ID]],NOTA[JUMLAH]))</f>
        <v>14688000</v>
      </c>
      <c r="L55" s="186">
        <f ca="1">IF(PAJAK[[#This Row],[//]]="","",SUMIF(NOTA[ID_H],PAJAK[[#This Row],[ID]],NOTA[DISC]))</f>
        <v>2496960</v>
      </c>
      <c r="M55" s="186">
        <f ca="1">PAJAK[[#This Row],[SUB TOTAL]]-PAJAK[[#This Row],[DISKON]]</f>
        <v>12191040</v>
      </c>
      <c r="N55" s="186">
        <f ca="1">IF(PAJAK[[#This Row],[//]]="","",INDEX(INDIRECT("NOTA["&amp;PAJAK[#Headers]&amp;"]"),PAJAK[[#This Row],[//]]-2+PAJAK[[#This Row],[QB]]-1))</f>
        <v>0</v>
      </c>
      <c r="O55" s="186">
        <f ca="1">(PAJAK[[#This Row],[SUB T-DISC]]-PAJAK[[#This Row],[DISC DLL]])/111%</f>
        <v>10982918.918918919</v>
      </c>
      <c r="P55" s="186">
        <f ca="1">PAJAK[[#This Row],[DPP]]*PAJAK[[#This Row],[PPN]]</f>
        <v>1208121.0810810812</v>
      </c>
      <c r="Q55" s="186">
        <f ca="1">PAJAK[[#This Row],[DPP]]+PAJAK[[#This Row],[PPN 11%]]</f>
        <v>12191040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630</v>
      </c>
      <c r="B56" s="40">
        <f ca="1">HYPERLINK("[NOTA_.XLSX]NOTA!c"&amp;PAJAK[[#This Row],[//]],IF(PAJAK[[#This Row],[//]]="","",INDEX(INDIRECT("NOTA["&amp;PAJAK[#Headers]&amp;"]"),PAJAK[[#This Row],[//]]-2)))</f>
        <v>122</v>
      </c>
      <c r="C56" s="40" t="str">
        <f ca="1">IF(PAJAK[[#This Row],[//]]="","",INDEX(INDIRECT("NOTA["&amp;PAJAK[#Headers]&amp;"]"),PAJAK[[#This Row],[//]]-2))</f>
        <v>SDI_2101_430-1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1</v>
      </c>
      <c r="F56" s="40" t="str">
        <f ca="1">IF(PAJAK[[#This Row],[//]]="","",INDEX(CONV[2],MATCH(INDEX(INDIRECT("NOTA["&amp;PAJAK[#Headers]&amp;"]"),PAJAK[[#This Row],[//]]-2),CONV[1],0),0))</f>
        <v>PT DWI TUNGGAL INDAH JAYA</v>
      </c>
      <c r="G56" s="42">
        <f ca="1">IF(PAJAK[[#This Row],[//]]="","",INDEX(NOTA[TGL_H],PAJAK[[#This Row],[//]]-2))</f>
        <v>44947</v>
      </c>
      <c r="H56" s="42">
        <f ca="1">IF(PAJAK[[#This Row],[//]]="","",INDEX(INDIRECT("NOTA["&amp;PAJAK[#Headers]&amp;"]"),PAJAK[[#This Row],[//]]-2))</f>
        <v>44945</v>
      </c>
      <c r="I56" s="41" t="str">
        <f ca="1">IF(PAJAK[[#This Row],[//]]="","",INDEX(INDIRECT("NOTA["&amp;PAJAK[#Headers]&amp;"]"),PAJAK[[#This Row],[//]]-2))</f>
        <v>SINV99-230100000430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186">
        <f ca="1">IF(PAJAK[[#This Row],[//]]="","",SUMIF(NOTA[ID_H],PAJAK[[#This Row],[ID]],NOTA[JUMLAH]))</f>
        <v>4554060</v>
      </c>
      <c r="L56" s="186">
        <f ca="1">IF(PAJAK[[#This Row],[//]]="","",SUMIF(NOTA[ID_H],PAJAK[[#This Row],[ID]],NOTA[DISC]))</f>
        <v>796960.5</v>
      </c>
      <c r="M56" s="186">
        <f ca="1">PAJAK[[#This Row],[SUB TOTAL]]-PAJAK[[#This Row],[DISKON]]</f>
        <v>3757099.5</v>
      </c>
      <c r="N56" s="186">
        <f ca="1">IF(PAJAK[[#This Row],[//]]="","",INDEX(INDIRECT("NOTA["&amp;PAJAK[#Headers]&amp;"]"),PAJAK[[#This Row],[//]]-2+PAJAK[[#This Row],[QB]]-1))</f>
        <v>112712.84</v>
      </c>
      <c r="O56" s="186">
        <f ca="1">(PAJAK[[#This Row],[SUB T-DISC]]-PAJAK[[#This Row],[DISC DLL]])/111%</f>
        <v>3283231.2252252251</v>
      </c>
      <c r="P56" s="186">
        <f ca="1">PAJAK[[#This Row],[DPP]]*PAJAK[[#This Row],[PPN]]</f>
        <v>361155.43477477477</v>
      </c>
      <c r="Q56" s="186">
        <f ca="1">PAJAK[[#This Row],[DPP]]+PAJAK[[#This Row],[PPN 11%]]</f>
        <v>3644386.6599999997</v>
      </c>
      <c r="R56" s="43" t="str">
        <f ca="1">IF(ISNUMBER(PAJAK[[#This Row],[//]]),PPN,"")</f>
        <v>11%</v>
      </c>
    </row>
    <row r="57" spans="1:18" x14ac:dyDescent="0.25">
      <c r="A57" s="44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632</v>
      </c>
      <c r="B57" s="153">
        <f ca="1">HYPERLINK("[NOTA_.XLSX]NOTA!c"&amp;PAJAK[[#This Row],[//]],IF(PAJAK[[#This Row],[//]]="","",INDEX(INDIRECT("NOTA["&amp;PAJAK[#Headers]&amp;"]"),PAJAK[[#This Row],[//]]-2)))</f>
        <v>123</v>
      </c>
      <c r="C57" s="44" t="str">
        <f ca="1">IF(PAJAK[[#This Row],[//]]="","",INDEX(INDIRECT("NOTA["&amp;PAJAK[#Headers]&amp;"]"),PAJAK[[#This Row],[//]]-2))</f>
        <v>ATA_2101_066-8</v>
      </c>
      <c r="D57" s="44" t="e">
        <f ca="1">MATCH(PAJAK[[#This Row],[ID]],[2]!Table1[ID],0)</f>
        <v>#REF!</v>
      </c>
      <c r="E57" s="152">
        <f ca="1">IF(PAJAK[[#This Row],[ID]]="","",COUNTIF(NOTA[ID_H],PAJAK[[#This Row],[ID]]))</f>
        <v>8</v>
      </c>
      <c r="F57" s="40" t="str">
        <f ca="1">IF(PAJAK[[#This Row],[//]]="","",INDEX(CONV[2],MATCH(INDEX(INDIRECT("NOTA["&amp;PAJAK[#Headers]&amp;"]"),PAJAK[[#This Row],[//]]-2),CONV[1],0),0))</f>
        <v>PT ATALI MAKMUR</v>
      </c>
      <c r="G57" s="42">
        <f ca="1">IF(PAJAK[[#This Row],[//]]="","",INDEX(NOTA[TGL_H],PAJAK[[#This Row],[//]]-2))</f>
        <v>44947</v>
      </c>
      <c r="H57" s="42">
        <f ca="1">IF(PAJAK[[#This Row],[//]]="","",INDEX(INDIRECT("NOTA["&amp;PAJAK[#Headers]&amp;"]"),PAJAK[[#This Row],[//]]-2))</f>
        <v>44944</v>
      </c>
      <c r="I57" s="41" t="str">
        <f ca="1">IF(PAJAK[[#This Row],[//]]="","",INDEX(INDIRECT("NOTA["&amp;PAJAK[#Headers]&amp;"]"),PAJAK[[#This Row],[//]]-2))</f>
        <v>SA230101066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186">
        <f ca="1">IF(PAJAK[[#This Row],[//]]="","",SUMIF(NOTA[ID_H],PAJAK[[#This Row],[ID]],NOTA[JUMLAH]))</f>
        <v>42869400</v>
      </c>
      <c r="L57" s="186">
        <f ca="1">IF(PAJAK[[#This Row],[//]]="","",SUMIF(NOTA[ID_H],PAJAK[[#This Row],[ID]],NOTA[DISC]))</f>
        <v>7221486</v>
      </c>
      <c r="M57" s="186">
        <f ca="1">PAJAK[[#This Row],[SUB TOTAL]]-PAJAK[[#This Row],[DISKON]]</f>
        <v>35647914</v>
      </c>
      <c r="N57" s="186">
        <f ca="1">IF(PAJAK[[#This Row],[//]]="","",INDEX(INDIRECT("NOTA["&amp;PAJAK[#Headers]&amp;"]"),PAJAK[[#This Row],[//]]-2+PAJAK[[#This Row],[QB]]-1))</f>
        <v>458109</v>
      </c>
      <c r="O57" s="186">
        <f ca="1">(PAJAK[[#This Row],[SUB T-DISC]]-PAJAK[[#This Row],[DISC DLL]])/111%</f>
        <v>31702527.027027026</v>
      </c>
      <c r="P57" s="186">
        <f ca="1">PAJAK[[#This Row],[DPP]]*PAJAK[[#This Row],[PPN]]</f>
        <v>3487277.9729729728</v>
      </c>
      <c r="Q57" s="186">
        <f ca="1">PAJAK[[#This Row],[DPP]]+PAJAK[[#This Row],[PPN 11%]]</f>
        <v>35189805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641</v>
      </c>
      <c r="B58" s="153">
        <f ca="1">HYPERLINK("[NOTA_.XLSX]NOTA!c"&amp;PAJAK[[#This Row],[//]],IF(PAJAK[[#This Row],[//]]="","",INDEX(INDIRECT("NOTA["&amp;PAJAK[#Headers]&amp;"]"),PAJAK[[#This Row],[//]]-2)))</f>
        <v>124</v>
      </c>
      <c r="C58" s="44" t="str">
        <f ca="1">IF(PAJAK[[#This Row],[//]]="","",INDEX(INDIRECT("NOTA["&amp;PAJAK[#Headers]&amp;"]"),PAJAK[[#This Row],[//]]-2))</f>
        <v>ATA_2401_229-5</v>
      </c>
      <c r="D58" s="44" t="e">
        <f ca="1">MATCH(PAJAK[[#This Row],[ID]],[2]!Table1[ID],0)</f>
        <v>#REF!</v>
      </c>
      <c r="E58" s="152">
        <f ca="1">IF(PAJAK[[#This Row],[ID]]="","",COUNTIF(NOTA[ID_H],PAJAK[[#This Row],[ID]]))</f>
        <v>5</v>
      </c>
      <c r="F58" s="40" t="str">
        <f ca="1">IF(PAJAK[[#This Row],[//]]="","",INDEX(CONV[2],MATCH(INDEX(INDIRECT("NOTA["&amp;PAJAK[#Headers]&amp;"]"),PAJAK[[#This Row],[//]]-2),CONV[1],0),0))</f>
        <v>PT ATALI MAKMUR</v>
      </c>
      <c r="G58" s="42">
        <f ca="1">IF(PAJAK[[#This Row],[//]]="","",INDEX(NOTA[TGL_H],PAJAK[[#This Row],[//]]-2))</f>
        <v>44950</v>
      </c>
      <c r="H58" s="42">
        <f ca="1">IF(PAJAK[[#This Row],[//]]="","",INDEX(INDIRECT("NOTA["&amp;PAJAK[#Headers]&amp;"]"),PAJAK[[#This Row],[//]]-2))</f>
        <v>44946</v>
      </c>
      <c r="I58" s="41" t="str">
        <f ca="1">IF(PAJAK[[#This Row],[//]]="","",INDEX(INDIRECT("NOTA["&amp;PAJAK[#Headers]&amp;"]"),PAJAK[[#This Row],[//]]-2))</f>
        <v>SA230101229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/>
      </c>
      <c r="K58" s="186">
        <f ca="1">IF(PAJAK[[#This Row],[//]]="","",SUMIF(NOTA[ID_H],PAJAK[[#This Row],[ID]],NOTA[JUMLAH]))</f>
        <v>17552400</v>
      </c>
      <c r="L58" s="186">
        <f ca="1">IF(PAJAK[[#This Row],[//]]="","",SUMIF(NOTA[ID_H],PAJAK[[#This Row],[ID]],NOTA[DISC]))</f>
        <v>2960628</v>
      </c>
      <c r="M58" s="186">
        <f ca="1">PAJAK[[#This Row],[SUB TOTAL]]-PAJAK[[#This Row],[DISKON]]</f>
        <v>14591772</v>
      </c>
      <c r="N58" s="186">
        <f ca="1">IF(PAJAK[[#This Row],[//]]="","",INDEX(INDIRECT("NOTA["&amp;PAJAK[#Headers]&amp;"]"),PAJAK[[#This Row],[//]]-2+PAJAK[[#This Row],[QB]]-1))</f>
        <v>48222</v>
      </c>
      <c r="O58" s="186">
        <f ca="1">(PAJAK[[#This Row],[SUB T-DISC]]-PAJAK[[#This Row],[DISC DLL]])/111%</f>
        <v>13102297.297297297</v>
      </c>
      <c r="P58" s="186">
        <f ca="1">PAJAK[[#This Row],[DPP]]*PAJAK[[#This Row],[PPN]]</f>
        <v>1441252.7027027027</v>
      </c>
      <c r="Q58" s="186">
        <f ca="1">PAJAK[[#This Row],[DPP]]+PAJAK[[#This Row],[PPN 11%]]</f>
        <v>14543550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647</v>
      </c>
      <c r="B59" s="153">
        <f ca="1">HYPERLINK("[NOTA_.XLSX]NOTA!c"&amp;PAJAK[[#This Row],[//]],IF(PAJAK[[#This Row],[//]]="","",INDEX(INDIRECT("NOTA["&amp;PAJAK[#Headers]&amp;"]"),PAJAK[[#This Row],[//]]-2)))</f>
        <v>125</v>
      </c>
      <c r="C59" s="44" t="str">
        <f ca="1">IF(PAJAK[[#This Row],[//]]="","",INDEX(INDIRECT("NOTA["&amp;PAJAK[#Headers]&amp;"]"),PAJAK[[#This Row],[//]]-2))</f>
        <v>ATA_2401_237-6</v>
      </c>
      <c r="D59" s="44" t="e">
        <f ca="1">MATCH(PAJAK[[#This Row],[ID]],[2]!Table1[ID],0)</f>
        <v>#REF!</v>
      </c>
      <c r="E59" s="152">
        <f ca="1">IF(PAJAK[[#This Row],[ID]]="","",COUNTIF(NOTA[ID_H],PAJAK[[#This Row],[ID]]))</f>
        <v>6</v>
      </c>
      <c r="F59" s="40" t="str">
        <f ca="1">IF(PAJAK[[#This Row],[//]]="","",INDEX(CONV[2],MATCH(INDEX(INDIRECT("NOTA["&amp;PAJAK[#Headers]&amp;"]"),PAJAK[[#This Row],[//]]-2),CONV[1],0),0))</f>
        <v>PT ATALI MAKMUR</v>
      </c>
      <c r="G59" s="42">
        <f ca="1">IF(PAJAK[[#This Row],[//]]="","",INDEX(NOTA[TGL_H],PAJAK[[#This Row],[//]]-2))</f>
        <v>44950</v>
      </c>
      <c r="H59" s="42">
        <f ca="1">IF(PAJAK[[#This Row],[//]]="","",INDEX(INDIRECT("NOTA["&amp;PAJAK[#Headers]&amp;"]"),PAJAK[[#This Row],[//]]-2))</f>
        <v>44946</v>
      </c>
      <c r="I59" s="41" t="str">
        <f ca="1">IF(PAJAK[[#This Row],[//]]="","",INDEX(INDIRECT("NOTA["&amp;PAJAK[#Headers]&amp;"]"),PAJAK[[#This Row],[//]]-2))</f>
        <v>SA230101237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186">
        <f ca="1">IF(PAJAK[[#This Row],[//]]="","",SUMIF(NOTA[ID_H],PAJAK[[#This Row],[ID]],NOTA[JUMLAH]))</f>
        <v>11952000</v>
      </c>
      <c r="L59" s="186">
        <f ca="1">IF(PAJAK[[#This Row],[//]]="","",SUMIF(NOTA[ID_H],PAJAK[[#This Row],[ID]],NOTA[DISC]))</f>
        <v>2016900</v>
      </c>
      <c r="M59" s="186">
        <f ca="1">PAJAK[[#This Row],[SUB TOTAL]]-PAJAK[[#This Row],[DISKON]]</f>
        <v>9935100</v>
      </c>
      <c r="N59" s="186">
        <f ca="1">IF(PAJAK[[#This Row],[//]]="","",INDEX(INDIRECT("NOTA["&amp;PAJAK[#Headers]&amp;"]"),PAJAK[[#This Row],[//]]-2+PAJAK[[#This Row],[QB]]-1))</f>
        <v>0</v>
      </c>
      <c r="O59" s="186">
        <f ca="1">(PAJAK[[#This Row],[SUB T-DISC]]-PAJAK[[#This Row],[DISC DLL]])/111%</f>
        <v>8950540.5405405406</v>
      </c>
      <c r="P59" s="186">
        <f ca="1">PAJAK[[#This Row],[DPP]]*PAJAK[[#This Row],[PPN]]</f>
        <v>984559.45945945953</v>
      </c>
      <c r="Q59" s="186">
        <f ca="1">PAJAK[[#This Row],[DPP]]+PAJAK[[#This Row],[PPN 11%]]</f>
        <v>9935100</v>
      </c>
      <c r="R59" s="43" t="str">
        <f ca="1">IF(ISNUMBER(PAJAK[[#This Row],[//]]),PPN,"")</f>
        <v>11%</v>
      </c>
    </row>
    <row r="60" spans="1:18" x14ac:dyDescent="0.25">
      <c r="A60" s="4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654</v>
      </c>
      <c r="B60" s="40">
        <f ca="1">HYPERLINK("[NOTA_.XLSX]NOTA!c"&amp;PAJAK[[#This Row],[//]],IF(PAJAK[[#This Row],[//]]="","",INDEX(INDIRECT("NOTA["&amp;PAJAK[#Headers]&amp;"]"),PAJAK[[#This Row],[//]]-2)))</f>
        <v>126</v>
      </c>
      <c r="C60" s="40" t="str">
        <f ca="1">IF(PAJAK[[#This Row],[//]]="","",INDEX(INDIRECT("NOTA["&amp;PAJAK[#Headers]&amp;"]"),PAJAK[[#This Row],[//]]-2))</f>
        <v>ATA_2401_228-11</v>
      </c>
      <c r="D60" s="40" t="e">
        <f ca="1">MATCH(PAJAK[[#This Row],[ID]],[2]!Table1[ID],0)</f>
        <v>#REF!</v>
      </c>
      <c r="E60" s="41">
        <f ca="1">IF(PAJAK[[#This Row],[ID]]="","",COUNTIF(NOTA[ID_H],PAJAK[[#This Row],[ID]]))</f>
        <v>11</v>
      </c>
      <c r="F60" s="40" t="str">
        <f ca="1">IF(PAJAK[[#This Row],[//]]="","",INDEX(CONV[2],MATCH(INDEX(INDIRECT("NOTA["&amp;PAJAK[#Headers]&amp;"]"),PAJAK[[#This Row],[//]]-2),CONV[1],0),0))</f>
        <v>PT ATALI MAKMUR</v>
      </c>
      <c r="G60" s="42">
        <f ca="1">IF(PAJAK[[#This Row],[//]]="","",INDEX(NOTA[TGL_H],PAJAK[[#This Row],[//]]-2))</f>
        <v>44950</v>
      </c>
      <c r="H60" s="42">
        <f ca="1">IF(PAJAK[[#This Row],[//]]="","",INDEX(INDIRECT("NOTA["&amp;PAJAK[#Headers]&amp;"]"),PAJAK[[#This Row],[//]]-2))</f>
        <v>44946</v>
      </c>
      <c r="I60" s="41" t="str">
        <f ca="1">IF(PAJAK[[#This Row],[//]]="","",INDEX(INDIRECT("NOTA["&amp;PAJAK[#Headers]&amp;"]"),PAJAK[[#This Row],[//]]-2))</f>
        <v>SA230101228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186">
        <f ca="1">IF(PAJAK[[#This Row],[//]]="","",SUMIF(NOTA[ID_H],PAJAK[[#This Row],[ID]],NOTA[JUMLAH]))</f>
        <v>31363200</v>
      </c>
      <c r="L60" s="186">
        <f ca="1">IF(PAJAK[[#This Row],[//]]="","",SUMIF(NOTA[ID_H],PAJAK[[#This Row],[ID]],NOTA[DISC]))</f>
        <v>5292540</v>
      </c>
      <c r="M60" s="186">
        <f ca="1">PAJAK[[#This Row],[SUB TOTAL]]-PAJAK[[#This Row],[DISKON]]</f>
        <v>26070660</v>
      </c>
      <c r="N60" s="186">
        <f ca="1">IF(PAJAK[[#This Row],[//]]="","",INDEX(INDIRECT("NOTA["&amp;PAJAK[#Headers]&amp;"]"),PAJAK[[#This Row],[//]]-2+PAJAK[[#This Row],[QB]]-1))</f>
        <v>0</v>
      </c>
      <c r="O60" s="186">
        <f ca="1">(PAJAK[[#This Row],[SUB T-DISC]]-PAJAK[[#This Row],[DISC DLL]])/111%</f>
        <v>23487081.081081077</v>
      </c>
      <c r="P60" s="186">
        <f ca="1">PAJAK[[#This Row],[DPP]]*PAJAK[[#This Row],[PPN]]</f>
        <v>2583578.9189189184</v>
      </c>
      <c r="Q60" s="186">
        <f ca="1">PAJAK[[#This Row],[DPP]]+PAJAK[[#This Row],[PPN 11%]]</f>
        <v>26070659.999999996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715</v>
      </c>
      <c r="B61" s="153">
        <f ca="1">HYPERLINK("[NOTA_.XLSX]NOTA!c"&amp;PAJAK[[#This Row],[//]],IF(PAJAK[[#This Row],[//]]="","",INDEX(INDIRECT("NOTA["&amp;PAJAK[#Headers]&amp;"]"),PAJAK[[#This Row],[//]]-2)))</f>
        <v>136</v>
      </c>
      <c r="C61" s="44" t="str">
        <f ca="1">IF(PAJAK[[#This Row],[//]]="","",INDEX(INDIRECT("NOTA["&amp;PAJAK[#Headers]&amp;"]"),PAJAK[[#This Row],[//]]-2))</f>
        <v>ATA_2601_-5</v>
      </c>
      <c r="D61" s="44" t="e">
        <f ca="1">MATCH(PAJAK[[#This Row],[ID]],[2]!Table1[ID],0)</f>
        <v>#REF!</v>
      </c>
      <c r="E61" s="152">
        <f ca="1">IF(PAJAK[[#This Row],[ID]]="","",COUNTIF(NOTA[ID_H],PAJAK[[#This Row],[ID]]))</f>
        <v>5</v>
      </c>
      <c r="F61" s="40" t="str">
        <f ca="1">IF(PAJAK[[#This Row],[//]]="","",INDEX(CONV[2],MATCH(INDEX(INDIRECT("NOTA["&amp;PAJAK[#Headers]&amp;"]"),PAJAK[[#This Row],[//]]-2),CONV[1],0),0))</f>
        <v>PT ATALI MAKMUR</v>
      </c>
      <c r="G61" s="42">
        <f ca="1">IF(PAJAK[[#This Row],[//]]="","",INDEX(NOTA[TGL_H],PAJAK[[#This Row],[//]]-2))</f>
        <v>44952</v>
      </c>
      <c r="H61" s="42">
        <f ca="1">IF(PAJAK[[#This Row],[//]]="","",INDEX(INDIRECT("NOTA["&amp;PAJAK[#Headers]&amp;"]"),PAJAK[[#This Row],[//]]-2))</f>
        <v>0</v>
      </c>
      <c r="I61" s="41">
        <f ca="1">IF(PAJAK[[#This Row],[//]]="","",INDEX(INDIRECT("NOTA["&amp;PAJAK[#Headers]&amp;"]"),PAJAK[[#This Row],[//]]-2))</f>
        <v>0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186">
        <f ca="1">IF(PAJAK[[#This Row],[//]]="","",SUMIF(NOTA[ID_H],PAJAK[[#This Row],[ID]],NOTA[JUMLAH]))</f>
        <v>14203680</v>
      </c>
      <c r="L61" s="186">
        <f ca="1">IF(PAJAK[[#This Row],[//]]="","",SUMIF(NOTA[ID_H],PAJAK[[#This Row],[ID]],NOTA[DISC]))</f>
        <v>2394836.1</v>
      </c>
      <c r="M61" s="186">
        <f ca="1">PAJAK[[#This Row],[SUB TOTAL]]-PAJAK[[#This Row],[DISKON]]</f>
        <v>11808843.9</v>
      </c>
      <c r="N61" s="186">
        <f ca="1">IF(PAJAK[[#This Row],[//]]="","",INDEX(INDIRECT("NOTA["&amp;PAJAK[#Headers]&amp;"]"),PAJAK[[#This Row],[//]]-2+PAJAK[[#This Row],[QB]]-1))</f>
        <v>0</v>
      </c>
      <c r="O61" s="186">
        <f ca="1">(PAJAK[[#This Row],[SUB T-DISC]]-PAJAK[[#This Row],[DISC DLL]])/111%</f>
        <v>10638598.108108107</v>
      </c>
      <c r="P61" s="186">
        <f ca="1">PAJAK[[#This Row],[DPP]]*PAJAK[[#This Row],[PPN]]</f>
        <v>1170245.7918918917</v>
      </c>
      <c r="Q61" s="186">
        <f ca="1">PAJAK[[#This Row],[DPP]]+PAJAK[[#This Row],[PPN 11%]]</f>
        <v>11808843.899999999</v>
      </c>
      <c r="R61" s="43" t="str">
        <f ca="1">IF(ISNUMBER(PAJAK[[#This Row],[//]]),PPN,"")</f>
        <v>11%</v>
      </c>
    </row>
    <row r="62" spans="1:18" x14ac:dyDescent="0.25">
      <c r="A62" s="40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740</v>
      </c>
      <c r="B62" s="40">
        <f ca="1">HYPERLINK("[NOTA_.XLSX]NOTA!c"&amp;PAJAK[[#This Row],[//]],IF(PAJAK[[#This Row],[//]]="","",INDEX(INDIRECT("NOTA["&amp;PAJAK[#Headers]&amp;"]"),PAJAK[[#This Row],[//]]-2)))</f>
        <v>139</v>
      </c>
      <c r="C62" s="40" t="str">
        <f ca="1">IF(PAJAK[[#This Row],[//]]="","",INDEX(INDIRECT("NOTA["&amp;PAJAK[#Headers]&amp;"]"),PAJAK[[#This Row],[//]]-2))</f>
        <v>SAM_2701_231-1</v>
      </c>
      <c r="D62" s="40" t="e">
        <f ca="1">MATCH(PAJAK[[#This Row],[ID]],[2]!Table1[ID],0)</f>
        <v>#REF!</v>
      </c>
      <c r="E62" s="41">
        <f ca="1">IF(PAJAK[[#This Row],[ID]]="","",COUNTIF(NOTA[ID_H],PAJAK[[#This Row],[ID]]))</f>
        <v>1</v>
      </c>
      <c r="F62" s="40" t="str">
        <f ca="1">IF(PAJAK[[#This Row],[//]]="","",INDEX(CONV[2],MATCH(INDEX(INDIRECT("NOTA["&amp;PAJAK[#Headers]&amp;"]"),PAJAK[[#This Row],[//]]-2),CONV[1],0),0))</f>
        <v>CV SAMUDERA ANGKASA JAYA</v>
      </c>
      <c r="G62" s="42">
        <f ca="1">IF(PAJAK[[#This Row],[//]]="","",INDEX(NOTA[TGL_H],PAJAK[[#This Row],[//]]-2))</f>
        <v>44953</v>
      </c>
      <c r="H62" s="42">
        <f ca="1">IF(PAJAK[[#This Row],[//]]="","",INDEX(INDIRECT("NOTA["&amp;PAJAK[#Headers]&amp;"]"),PAJAK[[#This Row],[//]]-2))</f>
        <v>44940</v>
      </c>
      <c r="I62" s="41" t="str">
        <f ca="1">IF(PAJAK[[#This Row],[//]]="","",INDEX(INDIRECT("NOTA["&amp;PAJAK[#Headers]&amp;"]"),PAJAK[[#This Row],[//]]-2))</f>
        <v>JL-61231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186">
        <f ca="1">IF(PAJAK[[#This Row],[//]]="","",SUMIF(NOTA[ID_H],PAJAK[[#This Row],[ID]],NOTA[JUMLAH]))</f>
        <v>5472000</v>
      </c>
      <c r="L62" s="186">
        <f ca="1">IF(PAJAK[[#This Row],[//]]="","",SUMIF(NOTA[ID_H],PAJAK[[#This Row],[ID]],NOTA[DISC]))</f>
        <v>273600</v>
      </c>
      <c r="M62" s="186">
        <f ca="1">PAJAK[[#This Row],[SUB TOTAL]]-PAJAK[[#This Row],[DISKON]]</f>
        <v>5198400</v>
      </c>
      <c r="N62" s="186">
        <f ca="1">IF(PAJAK[[#This Row],[//]]="","",INDEX(INDIRECT("NOTA["&amp;PAJAK[#Headers]&amp;"]"),PAJAK[[#This Row],[//]]-2+PAJAK[[#This Row],[QB]]-1))</f>
        <v>0</v>
      </c>
      <c r="O62" s="186">
        <f ca="1">(PAJAK[[#This Row],[SUB T-DISC]]-PAJAK[[#This Row],[DISC DLL]])/111%</f>
        <v>4683243.2432432426</v>
      </c>
      <c r="P62" s="186">
        <f ca="1">PAJAK[[#This Row],[DPP]]*PAJAK[[#This Row],[PPN]]</f>
        <v>515156.75675675669</v>
      </c>
      <c r="Q62" s="186">
        <f ca="1">PAJAK[[#This Row],[DPP]]+PAJAK[[#This Row],[PPN 11%]]</f>
        <v>5198399.9999999991</v>
      </c>
      <c r="R62" s="43" t="str">
        <f ca="1">IF(ISNUMBER(PAJAK[[#This Row],[//]]),PPN,"")</f>
        <v>11%</v>
      </c>
    </row>
    <row r="63" spans="1:18" x14ac:dyDescent="0.25">
      <c r="A63" s="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773</v>
      </c>
      <c r="B63" s="40">
        <f ca="1">HYPERLINK("[NOTA_.XLSX]NOTA!c"&amp;PAJAK[[#This Row],[//]],IF(PAJAK[[#This Row],[//]]="","",INDEX(INDIRECT("NOTA["&amp;PAJAK[#Headers]&amp;"]"),PAJAK[[#This Row],[//]]-2)))</f>
        <v>148</v>
      </c>
      <c r="C63" s="40" t="str">
        <f ca="1">IF(PAJAK[[#This Row],[//]]="","",INDEX(INDIRECT("NOTA["&amp;PAJAK[#Headers]&amp;"]"),PAJAK[[#This Row],[//]]-2))</f>
        <v>ATA_2801_-1</v>
      </c>
      <c r="D63" s="40" t="e">
        <f ca="1">MATCH(PAJAK[[#This Row],[ID]],[2]!Table1[ID],0)</f>
        <v>#REF!</v>
      </c>
      <c r="E63" s="41">
        <f ca="1">IF(PAJAK[[#This Row],[ID]]="","",COUNTIF(NOTA[ID_H],PAJAK[[#This Row],[ID]]))</f>
        <v>1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44954</v>
      </c>
      <c r="H63" s="42">
        <f ca="1">IF(PAJAK[[#This Row],[//]]="","",INDEX(INDIRECT("NOTA["&amp;PAJAK[#Headers]&amp;"]"),PAJAK[[#This Row],[//]]-2))</f>
        <v>0</v>
      </c>
      <c r="I63" s="41">
        <f ca="1">IF(PAJAK[[#This Row],[//]]="","",INDEX(INDIRECT("NOTA["&amp;PAJAK[#Headers]&amp;"]"),PAJAK[[#This Row],[//]]-2))</f>
        <v>0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186">
        <f ca="1">IF(PAJAK[[#This Row],[//]]="","",SUMIF(NOTA[ID_H],PAJAK[[#This Row],[ID]],NOTA[JUMLAH]))</f>
        <v>31320000</v>
      </c>
      <c r="L63" s="186">
        <f ca="1">IF(PAJAK[[#This Row],[//]]="","",SUMIF(NOTA[ID_H],PAJAK[[#This Row],[ID]],NOTA[DISC]))</f>
        <v>5285250</v>
      </c>
      <c r="M63" s="186">
        <f ca="1">PAJAK[[#This Row],[SUB TOTAL]]-PAJAK[[#This Row],[DISKON]]</f>
        <v>26034750</v>
      </c>
      <c r="N63" s="186">
        <f ca="1">IF(PAJAK[[#This Row],[//]]="","",INDEX(INDIRECT("NOTA["&amp;PAJAK[#Headers]&amp;"]"),PAJAK[[#This Row],[//]]-2+PAJAK[[#This Row],[QB]]-1))</f>
        <v>0</v>
      </c>
      <c r="O63" s="186">
        <f ca="1">(PAJAK[[#This Row],[SUB T-DISC]]-PAJAK[[#This Row],[DISC DLL]])/111%</f>
        <v>23454729.729729727</v>
      </c>
      <c r="P63" s="186">
        <f ca="1">PAJAK[[#This Row],[DPP]]*PAJAK[[#This Row],[PPN]]</f>
        <v>2580020.2702702698</v>
      </c>
      <c r="Q63" s="186">
        <f ca="1">PAJAK[[#This Row],[DPP]]+PAJAK[[#This Row],[PPN 11%]]</f>
        <v>26034749.999999996</v>
      </c>
      <c r="R63" s="43" t="str">
        <f ca="1">IF(ISNUMBER(PAJAK[[#This Row],[//]]),PPN,"")</f>
        <v>11%</v>
      </c>
    </row>
    <row r="64" spans="1:18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775</v>
      </c>
      <c r="B64" s="40">
        <f ca="1">HYPERLINK("[NOTA_.XLSX]NOTA!c"&amp;PAJAK[[#This Row],[//]],IF(PAJAK[[#This Row],[//]]="","",INDEX(INDIRECT("NOTA["&amp;PAJAK[#Headers]&amp;"]"),PAJAK[[#This Row],[//]]-2)))</f>
        <v>149</v>
      </c>
      <c r="C64" s="40" t="str">
        <f ca="1">IF(PAJAK[[#This Row],[//]]="","",INDEX(INDIRECT("NOTA["&amp;PAJAK[#Headers]&amp;"]"),PAJAK[[#This Row],[//]]-2))</f>
        <v>KEN_2801_-6</v>
      </c>
      <c r="D64" s="40" t="e">
        <f ca="1">MATCH(PAJAK[[#This Row],[ID]],[2]!Table1[ID],0)</f>
        <v>#REF!</v>
      </c>
      <c r="E64" s="41">
        <f ca="1">IF(PAJAK[[#This Row],[ID]]="","",COUNTIF(NOTA[ID_H],PAJAK[[#This Row],[ID]]))</f>
        <v>6</v>
      </c>
      <c r="F64" s="40" t="str">
        <f ca="1">IF(PAJAK[[#This Row],[//]]="","",INDEX(CONV[2],MATCH(INDEX(INDIRECT("NOTA["&amp;PAJAK[#Headers]&amp;"]"),PAJAK[[#This Row],[//]]-2),CONV[1],0),0))</f>
        <v>PT KENKO SINAR INDONESIA</v>
      </c>
      <c r="G64" s="42">
        <f ca="1">IF(PAJAK[[#This Row],[//]]="","",INDEX(NOTA[TGL_H],PAJAK[[#This Row],[//]]-2))</f>
        <v>44954</v>
      </c>
      <c r="H64" s="42">
        <f ca="1">IF(PAJAK[[#This Row],[//]]="","",INDEX(INDIRECT("NOTA["&amp;PAJAK[#Headers]&amp;"]"),PAJAK[[#This Row],[//]]-2))</f>
        <v>0</v>
      </c>
      <c r="I64" s="41">
        <f ca="1">IF(PAJAK[[#This Row],[//]]="","",INDEX(INDIRECT("NOTA["&amp;PAJAK[#Headers]&amp;"]"),PAJAK[[#This Row],[//]]-2))</f>
        <v>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186">
        <f ca="1">IF(PAJAK[[#This Row],[//]]="","",SUMIF(NOTA[ID_H],PAJAK[[#This Row],[ID]],NOTA[JUMLAH]))</f>
        <v>60450000</v>
      </c>
      <c r="L64" s="186">
        <f ca="1">IF(PAJAK[[#This Row],[//]]="","",SUMIF(NOTA[ID_H],PAJAK[[#This Row],[ID]],NOTA[DISC]))</f>
        <v>10276500</v>
      </c>
      <c r="M64" s="186">
        <f ca="1">PAJAK[[#This Row],[SUB TOTAL]]-PAJAK[[#This Row],[DISKON]]</f>
        <v>50173500</v>
      </c>
      <c r="N64" s="186">
        <f ca="1">IF(PAJAK[[#This Row],[//]]="","",INDEX(INDIRECT("NOTA["&amp;PAJAK[#Headers]&amp;"]"),PAJAK[[#This Row],[//]]-2+PAJAK[[#This Row],[QB]]-1))</f>
        <v>0</v>
      </c>
      <c r="O64" s="186">
        <f ca="1">(PAJAK[[#This Row],[SUB T-DISC]]-PAJAK[[#This Row],[DISC DLL]])/111%</f>
        <v>45201351.351351351</v>
      </c>
      <c r="P64" s="186">
        <f ca="1">PAJAK[[#This Row],[DPP]]*PAJAK[[#This Row],[PPN]]</f>
        <v>4972148.6486486485</v>
      </c>
      <c r="Q64" s="186">
        <f ca="1">PAJAK[[#This Row],[DPP]]+PAJAK[[#This Row],[PPN 11%]]</f>
        <v>50173500</v>
      </c>
      <c r="R64" s="43" t="str">
        <f ca="1">IF(ISNUMBER(PAJAK[[#This Row],[//]]),PPN,"")</f>
        <v>11%</v>
      </c>
    </row>
    <row r="65" spans="1:18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782</v>
      </c>
      <c r="B65" s="40">
        <f ca="1">HYPERLINK("[NOTA_.XLSX]NOTA!c"&amp;PAJAK[[#This Row],[//]],IF(PAJAK[[#This Row],[//]]="","",INDEX(INDIRECT("NOTA["&amp;PAJAK[#Headers]&amp;"]"),PAJAK[[#This Row],[//]]-2)))</f>
        <v>150</v>
      </c>
      <c r="C65" s="40" t="str">
        <f ca="1">IF(PAJAK[[#This Row],[//]]="","",INDEX(INDIRECT("NOTA["&amp;PAJAK[#Headers]&amp;"]"),PAJAK[[#This Row],[//]]-2))</f>
        <v>KEN_2801_-10</v>
      </c>
      <c r="D65" s="40" t="e">
        <f ca="1">MATCH(PAJAK[[#This Row],[ID]],[2]!Table1[ID],0)</f>
        <v>#REF!</v>
      </c>
      <c r="E65" s="41">
        <f ca="1">IF(PAJAK[[#This Row],[ID]]="","",COUNTIF(NOTA[ID_H],PAJAK[[#This Row],[ID]]))</f>
        <v>10</v>
      </c>
      <c r="F65" s="40" t="str">
        <f ca="1">IF(PAJAK[[#This Row],[//]]="","",INDEX(CONV[2],MATCH(INDEX(INDIRECT("NOTA["&amp;PAJAK[#Headers]&amp;"]"),PAJAK[[#This Row],[//]]-2),CONV[1],0),0))</f>
        <v>PT KENKO SINAR INDONESIA</v>
      </c>
      <c r="G65" s="42">
        <f ca="1">IF(PAJAK[[#This Row],[//]]="","",INDEX(NOTA[TGL_H],PAJAK[[#This Row],[//]]-2))</f>
        <v>44954</v>
      </c>
      <c r="H65" s="42">
        <f ca="1">IF(PAJAK[[#This Row],[//]]="","",INDEX(INDIRECT("NOTA["&amp;PAJAK[#Headers]&amp;"]"),PAJAK[[#This Row],[//]]-2))</f>
        <v>0</v>
      </c>
      <c r="I65" s="41">
        <f ca="1">IF(PAJAK[[#This Row],[//]]="","",INDEX(INDIRECT("NOTA["&amp;PAJAK[#Headers]&amp;"]"),PAJAK[[#This Row],[//]]-2))</f>
        <v>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186">
        <f ca="1">IF(PAJAK[[#This Row],[//]]="","",SUMIF(NOTA[ID_H],PAJAK[[#This Row],[ID]],NOTA[JUMLAH]))</f>
        <v>52695400</v>
      </c>
      <c r="L65" s="186">
        <f ca="1">IF(PAJAK[[#This Row],[//]]="","",SUMIF(NOTA[ID_H],PAJAK[[#This Row],[ID]],NOTA[DISC]))</f>
        <v>8958218</v>
      </c>
      <c r="M65" s="186">
        <f ca="1">PAJAK[[#This Row],[SUB TOTAL]]-PAJAK[[#This Row],[DISKON]]</f>
        <v>43737182</v>
      </c>
      <c r="N65" s="186">
        <f ca="1">IF(PAJAK[[#This Row],[//]]="","",INDEX(INDIRECT("NOTA["&amp;PAJAK[#Headers]&amp;"]"),PAJAK[[#This Row],[//]]-2+PAJAK[[#This Row],[QB]]-1))</f>
        <v>0</v>
      </c>
      <c r="O65" s="186">
        <f ca="1">(PAJAK[[#This Row],[SUB T-DISC]]-PAJAK[[#This Row],[DISC DLL]])/111%</f>
        <v>39402866.666666664</v>
      </c>
      <c r="P65" s="186">
        <f ca="1">PAJAK[[#This Row],[DPP]]*PAJAK[[#This Row],[PPN]]</f>
        <v>4334315.333333333</v>
      </c>
      <c r="Q65" s="186">
        <f ca="1">PAJAK[[#This Row],[DPP]]+PAJAK[[#This Row],[PPN 11%]]</f>
        <v>43737182</v>
      </c>
      <c r="R65" s="43" t="str">
        <f ca="1">IF(ISNUMBER(PAJAK[[#This Row],[//]]),PPN,"")</f>
        <v>11%</v>
      </c>
    </row>
    <row r="66" spans="1:18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793</v>
      </c>
      <c r="B66" s="40">
        <f ca="1">HYPERLINK("[NOTA_.XLSX]NOTA!c"&amp;PAJAK[[#This Row],[//]],IF(PAJAK[[#This Row],[//]]="","",INDEX(INDIRECT("NOTA["&amp;PAJAK[#Headers]&amp;"]"),PAJAK[[#This Row],[//]]-2)))</f>
        <v>151</v>
      </c>
      <c r="C66" s="40" t="str">
        <f ca="1">IF(PAJAK[[#This Row],[//]]="","",INDEX(INDIRECT("NOTA["&amp;PAJAK[#Headers]&amp;"]"),PAJAK[[#This Row],[//]]-2))</f>
        <v>ATA_2801_441-1</v>
      </c>
      <c r="D66" s="40" t="e">
        <f ca="1">MATCH(PAJAK[[#This Row],[ID]],[2]!Table1[ID],0)</f>
        <v>#REF!</v>
      </c>
      <c r="E66" s="41">
        <f ca="1">IF(PAJAK[[#This Row],[ID]]="","",COUNTIF(NOTA[ID_H],PAJAK[[#This Row],[ID]]))</f>
        <v>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44954</v>
      </c>
      <c r="H66" s="42">
        <f ca="1">IF(PAJAK[[#This Row],[//]]="","",INDEX(INDIRECT("NOTA["&amp;PAJAK[#Headers]&amp;"]"),PAJAK[[#This Row],[//]]-2))</f>
        <v>44951</v>
      </c>
      <c r="I66" s="41" t="str">
        <f ca="1">IF(PAJAK[[#This Row],[//]]="","",INDEX(INDIRECT("NOTA["&amp;PAJAK[#Headers]&amp;"]"),PAJAK[[#This Row],[//]]-2))</f>
        <v>SA230101441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186">
        <f ca="1">IF(PAJAK[[#This Row],[//]]="","",SUMIF(NOTA[ID_H],PAJAK[[#This Row],[ID]],NOTA[JUMLAH]))</f>
        <v>25056000</v>
      </c>
      <c r="L66" s="186">
        <f ca="1">IF(PAJAK[[#This Row],[//]]="","",SUMIF(NOTA[ID_H],PAJAK[[#This Row],[ID]],NOTA[DISC]))</f>
        <v>4228200</v>
      </c>
      <c r="M66" s="186">
        <f ca="1">PAJAK[[#This Row],[SUB TOTAL]]-PAJAK[[#This Row],[DISKON]]</f>
        <v>20827800</v>
      </c>
      <c r="N66" s="186">
        <f ca="1">IF(PAJAK[[#This Row],[//]]="","",INDEX(INDIRECT("NOTA["&amp;PAJAK[#Headers]&amp;"]"),PAJAK[[#This Row],[//]]-2+PAJAK[[#This Row],[QB]]-1))</f>
        <v>0</v>
      </c>
      <c r="O66" s="186">
        <f ca="1">(PAJAK[[#This Row],[SUB T-DISC]]-PAJAK[[#This Row],[DISC DLL]])/111%</f>
        <v>18763783.783783782</v>
      </c>
      <c r="P66" s="186">
        <f ca="1">PAJAK[[#This Row],[DPP]]*PAJAK[[#This Row],[PPN]]</f>
        <v>2064016.2162162161</v>
      </c>
      <c r="Q66" s="186">
        <f ca="1">PAJAK[[#This Row],[DPP]]+PAJAK[[#This Row],[PPN 11%]]</f>
        <v>20827800</v>
      </c>
      <c r="R66" s="43" t="str">
        <f ca="1">IF(ISNUMBER(PAJAK[[#This Row],[//]]),PPN,"")</f>
        <v>11%</v>
      </c>
    </row>
    <row r="67" spans="1:18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795</v>
      </c>
      <c r="B67" s="153">
        <f ca="1">HYPERLINK("[NOTA_.XLSX]NOTA!c"&amp;PAJAK[[#This Row],[//]],IF(PAJAK[[#This Row],[//]]="","",INDEX(INDIRECT("NOTA["&amp;PAJAK[#Headers]&amp;"]"),PAJAK[[#This Row],[//]]-2)))</f>
        <v>152</v>
      </c>
      <c r="C67" s="44" t="str">
        <f ca="1">IF(PAJAK[[#This Row],[//]]="","",INDEX(INDIRECT("NOTA["&amp;PAJAK[#Headers]&amp;"]"),PAJAK[[#This Row],[//]]-2))</f>
        <v>KEN_2801_764-6</v>
      </c>
      <c r="D67" s="44" t="e">
        <f ca="1">MATCH(PAJAK[[#This Row],[ID]],[2]!Table1[ID],0)</f>
        <v>#REF!</v>
      </c>
      <c r="E67" s="152">
        <f ca="1">IF(PAJAK[[#This Row],[ID]]="","",COUNTIF(NOTA[ID_H],PAJAK[[#This Row],[ID]]))</f>
        <v>6</v>
      </c>
      <c r="F67" s="40" t="str">
        <f ca="1">IF(PAJAK[[#This Row],[//]]="","",INDEX(CONV[2],MATCH(INDEX(INDIRECT("NOTA["&amp;PAJAK[#Headers]&amp;"]"),PAJAK[[#This Row],[//]]-2),CONV[1],0),0))</f>
        <v>PT KENKO SINAR INDONESIA</v>
      </c>
      <c r="G67" s="42">
        <f ca="1">IF(PAJAK[[#This Row],[//]]="","",INDEX(NOTA[TGL_H],PAJAK[[#This Row],[//]]-2))</f>
        <v>44954</v>
      </c>
      <c r="H67" s="42">
        <f ca="1">IF(PAJAK[[#This Row],[//]]="","",INDEX(INDIRECT("NOTA["&amp;PAJAK[#Headers]&amp;"]"),PAJAK[[#This Row],[//]]-2))</f>
        <v>44952</v>
      </c>
      <c r="I67" s="41" t="str">
        <f ca="1">IF(PAJAK[[#This Row],[//]]="","",INDEX(INDIRECT("NOTA["&amp;PAJAK[#Headers]&amp;"]"),PAJAK[[#This Row],[//]]-2))</f>
        <v>23011764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>SA 39678</v>
      </c>
      <c r="K67" s="186">
        <f ca="1">IF(PAJAK[[#This Row],[//]]="","",SUMIF(NOTA[ID_H],PAJAK[[#This Row],[ID]],NOTA[JUMLAH]))</f>
        <v>58380000</v>
      </c>
      <c r="L67" s="186">
        <f ca="1">IF(PAJAK[[#This Row],[//]]="","",SUMIF(NOTA[ID_H],PAJAK[[#This Row],[ID]],NOTA[DISC]))</f>
        <v>9924600.0000000019</v>
      </c>
      <c r="M67" s="186">
        <f ca="1">PAJAK[[#This Row],[SUB TOTAL]]-PAJAK[[#This Row],[DISKON]]</f>
        <v>48455400</v>
      </c>
      <c r="N67" s="186">
        <f ca="1">IF(PAJAK[[#This Row],[//]]="","",INDEX(INDIRECT("NOTA["&amp;PAJAK[#Headers]&amp;"]"),PAJAK[[#This Row],[//]]-2+PAJAK[[#This Row],[QB]]-1))</f>
        <v>0</v>
      </c>
      <c r="O67" s="186">
        <f ca="1">(PAJAK[[#This Row],[SUB T-DISC]]-PAJAK[[#This Row],[DISC DLL]])/111%</f>
        <v>43653513.513513513</v>
      </c>
      <c r="P67" s="186">
        <f ca="1">PAJAK[[#This Row],[DPP]]*PAJAK[[#This Row],[PPN]]</f>
        <v>4801886.4864864862</v>
      </c>
      <c r="Q67" s="186">
        <f ca="1">PAJAK[[#This Row],[DPP]]+PAJAK[[#This Row],[PPN 11%]]</f>
        <v>48455400</v>
      </c>
      <c r="R67" s="43" t="str">
        <f ca="1">IF(ISNUMBER(PAJAK[[#This Row],[//]]),PPN,"")</f>
        <v>11%</v>
      </c>
    </row>
    <row r="68" spans="1:18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802</v>
      </c>
      <c r="B68" s="153">
        <f ca="1">HYPERLINK("[NOTA_.XLSX]NOTA!c"&amp;PAJAK[[#This Row],[//]],IF(PAJAK[[#This Row],[//]]="","",INDEX(INDIRECT("NOTA["&amp;PAJAK[#Headers]&amp;"]"),PAJAK[[#This Row],[//]]-2)))</f>
        <v>153</v>
      </c>
      <c r="C68" s="44" t="str">
        <f ca="1">IF(PAJAK[[#This Row],[//]]="","",INDEX(INDIRECT("NOTA["&amp;PAJAK[#Headers]&amp;"]"),PAJAK[[#This Row],[//]]-2))</f>
        <v>KEN_2801_733-10</v>
      </c>
      <c r="D68" s="44" t="e">
        <f ca="1">MATCH(PAJAK[[#This Row],[ID]],[2]!Table1[ID],0)</f>
        <v>#REF!</v>
      </c>
      <c r="E68" s="152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KENKO SINAR INDONESIA</v>
      </c>
      <c r="G68" s="42">
        <f ca="1">IF(PAJAK[[#This Row],[//]]="","",INDEX(NOTA[TGL_H],PAJAK[[#This Row],[//]]-2))</f>
        <v>44954</v>
      </c>
      <c r="H68" s="42">
        <f ca="1">IF(PAJAK[[#This Row],[//]]="","",INDEX(INDIRECT("NOTA["&amp;PAJAK[#Headers]&amp;"]"),PAJAK[[#This Row],[//]]-2))</f>
        <v>44952</v>
      </c>
      <c r="I68" s="41" t="str">
        <f ca="1">IF(PAJAK[[#This Row],[//]]="","",INDEX(INDIRECT("NOTA["&amp;PAJAK[#Headers]&amp;"]"),PAJAK[[#This Row],[//]]-2))</f>
        <v>23011733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>SA 39622</v>
      </c>
      <c r="K68" s="186">
        <f ca="1">IF(PAJAK[[#This Row],[//]]="","",SUMIF(NOTA[ID_H],PAJAK[[#This Row],[ID]],NOTA[JUMLAH]))</f>
        <v>31450400</v>
      </c>
      <c r="L68" s="186">
        <f ca="1">IF(PAJAK[[#This Row],[//]]="","",SUMIF(NOTA[ID_H],PAJAK[[#This Row],[ID]],NOTA[DISC]))</f>
        <v>5346568</v>
      </c>
      <c r="M68" s="186">
        <f ca="1">PAJAK[[#This Row],[SUB TOTAL]]-PAJAK[[#This Row],[DISKON]]</f>
        <v>26103832</v>
      </c>
      <c r="N68" s="186">
        <f ca="1">IF(PAJAK[[#This Row],[//]]="","",INDEX(INDIRECT("NOTA["&amp;PAJAK[#Headers]&amp;"]"),PAJAK[[#This Row],[//]]-2+PAJAK[[#This Row],[QB]]-1))</f>
        <v>0</v>
      </c>
      <c r="O68" s="186">
        <f ca="1">(PAJAK[[#This Row],[SUB T-DISC]]-PAJAK[[#This Row],[DISC DLL]])/111%</f>
        <v>23516965.765765764</v>
      </c>
      <c r="P68" s="186">
        <f ca="1">PAJAK[[#This Row],[DPP]]*PAJAK[[#This Row],[PPN]]</f>
        <v>2586866.2342342339</v>
      </c>
      <c r="Q68" s="186">
        <f ca="1">PAJAK[[#This Row],[DPP]]+PAJAK[[#This Row],[PPN 11%]]</f>
        <v>26103831.999999996</v>
      </c>
      <c r="R68" s="43" t="str">
        <f ca="1">IF(ISNUMBER(PAJAK[[#This Row],[//]]),PPN,"")</f>
        <v>11%</v>
      </c>
    </row>
    <row r="69" spans="1:18" x14ac:dyDescent="0.25">
      <c r="A69" s="40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820</v>
      </c>
      <c r="B69" s="154">
        <f ca="1">HYPERLINK("[NOTA_.XLSX]NOTA!c"&amp;PAJAK[[#This Row],[//]],IF(PAJAK[[#This Row],[//]]="","",INDEX(INDIRECT("NOTA["&amp;PAJAK[#Headers]&amp;"]"),PAJAK[[#This Row],[//]]-2)))</f>
        <v>157</v>
      </c>
      <c r="C69" s="40" t="str">
        <f ca="1">IF(PAJAK[[#This Row],[//]]="","",INDEX(INDIRECT("NOTA["&amp;PAJAK[#Headers]&amp;"]"),PAJAK[[#This Row],[//]]-2))</f>
        <v>ATA_3001_591-6</v>
      </c>
      <c r="D69" s="40" t="e">
        <f ca="1">MATCH(PAJAK[[#This Row],[ID]],[2]!Table1[ID],0)</f>
        <v>#REF!</v>
      </c>
      <c r="E69" s="41">
        <f ca="1">IF(PAJAK[[#This Row],[ID]]="","",COUNTIF(NOTA[ID_H],PAJAK[[#This Row],[ID]]))</f>
        <v>6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44956</v>
      </c>
      <c r="H69" s="42">
        <f ca="1">IF(PAJAK[[#This Row],[//]]="","",INDEX(INDIRECT("NOTA["&amp;PAJAK[#Headers]&amp;"]"),PAJAK[[#This Row],[//]]-2))</f>
        <v>44953</v>
      </c>
      <c r="I69" s="41" t="str">
        <f ca="1">IF(PAJAK[[#This Row],[//]]="","",INDEX(INDIRECT("NOTA["&amp;PAJAK[#Headers]&amp;"]"),PAJAK[[#This Row],[//]]-2))</f>
        <v>SA230101591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186">
        <f ca="1">IF(PAJAK[[#This Row],[//]]="","",SUMIF(NOTA[ID_H],PAJAK[[#This Row],[ID]],NOTA[JUMLAH]))</f>
        <v>24384400</v>
      </c>
      <c r="L69" s="186">
        <f ca="1">IF(PAJAK[[#This Row],[//]]="","",SUMIF(NOTA[ID_H],PAJAK[[#This Row],[ID]],NOTA[DISC]))</f>
        <v>4114867.5</v>
      </c>
      <c r="M69" s="186">
        <f ca="1">PAJAK[[#This Row],[SUB TOTAL]]-PAJAK[[#This Row],[DISKON]]</f>
        <v>20269532.5</v>
      </c>
      <c r="N69" s="186">
        <f ca="1">IF(PAJAK[[#This Row],[//]]="","",INDEX(INDIRECT("NOTA["&amp;PAJAK[#Headers]&amp;"]"),PAJAK[[#This Row],[//]]-2+PAJAK[[#This Row],[QB]]-1))</f>
        <v>0</v>
      </c>
      <c r="O69" s="186">
        <f ca="1">(PAJAK[[#This Row],[SUB T-DISC]]-PAJAK[[#This Row],[DISC DLL]])/111%</f>
        <v>18260840.090090089</v>
      </c>
      <c r="P69" s="186">
        <f ca="1">PAJAK[[#This Row],[DPP]]*PAJAK[[#This Row],[PPN]]</f>
        <v>2008692.4099099098</v>
      </c>
      <c r="Q69" s="186">
        <f ca="1">PAJAK[[#This Row],[DPP]]+PAJAK[[#This Row],[PPN 11%]]</f>
        <v>20269532.5</v>
      </c>
      <c r="R69" s="43" t="str">
        <f ca="1">IF(ISNUMBER(PAJAK[[#This Row],[//]]),PPN,"")</f>
        <v>11%</v>
      </c>
    </row>
    <row r="70" spans="1:18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827</v>
      </c>
      <c r="B70" s="153">
        <f ca="1">HYPERLINK("[NOTA_.XLSX]NOTA!c"&amp;PAJAK[[#This Row],[//]],IF(PAJAK[[#This Row],[//]]="","",INDEX(INDIRECT("NOTA["&amp;PAJAK[#Headers]&amp;"]"),PAJAK[[#This Row],[//]]-2)))</f>
        <v>158</v>
      </c>
      <c r="C70" s="44" t="str">
        <f ca="1">IF(PAJAK[[#This Row],[//]]="","",INDEX(INDIRECT("NOTA["&amp;PAJAK[#Headers]&amp;"]"),PAJAK[[#This Row],[//]]-2))</f>
        <v>KEN_3001_870-7</v>
      </c>
      <c r="D70" s="44" t="e">
        <f ca="1">MATCH(PAJAK[[#This Row],[ID]],[2]!Table1[ID],0)</f>
        <v>#REF!</v>
      </c>
      <c r="E70" s="152">
        <f ca="1">IF(PAJAK[[#This Row],[ID]]="","",COUNTIF(NOTA[ID_H],PAJAK[[#This Row],[ID]]))</f>
        <v>7</v>
      </c>
      <c r="F70" s="40" t="str">
        <f ca="1">IF(PAJAK[[#This Row],[//]]="","",INDEX(CONV[2],MATCH(INDEX(INDIRECT("NOTA["&amp;PAJAK[#Headers]&amp;"]"),PAJAK[[#This Row],[//]]-2),CONV[1],0),0))</f>
        <v>PT KENKO SINAR INDONESIA</v>
      </c>
      <c r="G70" s="42">
        <f ca="1">IF(PAJAK[[#This Row],[//]]="","",INDEX(NOTA[TGL_H],PAJAK[[#This Row],[//]]-2))</f>
        <v>44956</v>
      </c>
      <c r="H70" s="42">
        <f ca="1">IF(PAJAK[[#This Row],[//]]="","",INDEX(INDIRECT("NOTA["&amp;PAJAK[#Headers]&amp;"]"),PAJAK[[#This Row],[//]]-2))</f>
        <v>44953</v>
      </c>
      <c r="I70" s="41" t="str">
        <f ca="1">IF(PAJAK[[#This Row],[//]]="","",INDEX(INDIRECT("NOTA["&amp;PAJAK[#Headers]&amp;"]"),PAJAK[[#This Row],[//]]-2))</f>
        <v>23011870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186">
        <f ca="1">IF(PAJAK[[#This Row],[//]]="","",SUMIF(NOTA[ID_H],PAJAK[[#This Row],[ID]],NOTA[JUMLAH]))</f>
        <v>26682000</v>
      </c>
      <c r="L70" s="186">
        <f ca="1">IF(PAJAK[[#This Row],[//]]="","",SUMIF(NOTA[ID_H],PAJAK[[#This Row],[ID]],NOTA[DISC]))</f>
        <v>4535940</v>
      </c>
      <c r="M70" s="186">
        <f ca="1">PAJAK[[#This Row],[SUB TOTAL]]-PAJAK[[#This Row],[DISKON]]</f>
        <v>22146060</v>
      </c>
      <c r="N70" s="186">
        <f ca="1">IF(PAJAK[[#This Row],[//]]="","",INDEX(INDIRECT("NOTA["&amp;PAJAK[#Headers]&amp;"]"),PAJAK[[#This Row],[//]]-2+PAJAK[[#This Row],[QB]]-1))</f>
        <v>0</v>
      </c>
      <c r="O70" s="186">
        <f ca="1">(PAJAK[[#This Row],[SUB T-DISC]]-PAJAK[[#This Row],[DISC DLL]])/111%</f>
        <v>19951405.405405402</v>
      </c>
      <c r="P70" s="186">
        <f ca="1">PAJAK[[#This Row],[DPP]]*PAJAK[[#This Row],[PPN]]</f>
        <v>2194654.5945945941</v>
      </c>
      <c r="Q70" s="186">
        <f ca="1">PAJAK[[#This Row],[DPP]]+PAJAK[[#This Row],[PPN 11%]]</f>
        <v>22146059.999999996</v>
      </c>
      <c r="R70" s="43" t="str">
        <f ca="1">IF(ISNUMBER(PAJAK[[#This Row],[//]]),PPN,"")</f>
        <v>11%</v>
      </c>
    </row>
    <row r="71" spans="1:18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840</v>
      </c>
      <c r="B71" s="153">
        <f ca="1">HYPERLINK("[NOTA_.XLSX]NOTA!c"&amp;PAJAK[[#This Row],[//]],IF(PAJAK[[#This Row],[//]]="","",INDEX(INDIRECT("NOTA["&amp;PAJAK[#Headers]&amp;"]"),PAJAK[[#This Row],[//]]-2)))</f>
        <v>160</v>
      </c>
      <c r="C71" s="44" t="str">
        <f ca="1">IF(PAJAK[[#This Row],[//]]="","",INDEX(INDIRECT("NOTA["&amp;PAJAK[#Headers]&amp;"]"),PAJAK[[#This Row],[//]]-2))</f>
        <v>SAM_0102_563-3</v>
      </c>
      <c r="D71" s="44" t="e">
        <f ca="1">MATCH(PAJAK[[#This Row],[ID]],[2]!Table1[ID],0)</f>
        <v>#REF!</v>
      </c>
      <c r="E71" s="152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CV SAMUDERA ANGKASA JAYA</v>
      </c>
      <c r="G71" s="42">
        <f ca="1">IF(PAJAK[[#This Row],[//]]="","",INDEX(NOTA[TGL_H],PAJAK[[#This Row],[//]]-2))</f>
        <v>44958</v>
      </c>
      <c r="H71" s="42">
        <f ca="1">IF(PAJAK[[#This Row],[//]]="","",INDEX(INDIRECT("NOTA["&amp;PAJAK[#Headers]&amp;"]"),PAJAK[[#This Row],[//]]-2))</f>
        <v>44957</v>
      </c>
      <c r="I71" s="41" t="str">
        <f ca="1">IF(PAJAK[[#This Row],[//]]="","",INDEX(INDIRECT("NOTA["&amp;PAJAK[#Headers]&amp;"]"),PAJAK[[#This Row],[//]]-2))</f>
        <v>JL-61563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186">
        <f ca="1">IF(PAJAK[[#This Row],[//]]="","",SUMIF(NOTA[ID_H],PAJAK[[#This Row],[ID]],NOTA[JUMLAH]))</f>
        <v>43668000</v>
      </c>
      <c r="L71" s="186">
        <f ca="1">IF(PAJAK[[#This Row],[//]]="","",SUMIF(NOTA[ID_H],PAJAK[[#This Row],[ID]],NOTA[DISC]))</f>
        <v>2183400</v>
      </c>
      <c r="M71" s="186">
        <f ca="1">PAJAK[[#This Row],[SUB TOTAL]]-PAJAK[[#This Row],[DISKON]]</f>
        <v>41484600</v>
      </c>
      <c r="N71" s="186">
        <f ca="1">IF(PAJAK[[#This Row],[//]]="","",INDEX(INDIRECT("NOTA["&amp;PAJAK[#Headers]&amp;"]"),PAJAK[[#This Row],[//]]-2+PAJAK[[#This Row],[QB]]-1))</f>
        <v>0</v>
      </c>
      <c r="O71" s="186">
        <f ca="1">(PAJAK[[#This Row],[SUB T-DISC]]-PAJAK[[#This Row],[DISC DLL]])/111%</f>
        <v>37373513.513513513</v>
      </c>
      <c r="P71" s="186">
        <f ca="1">PAJAK[[#This Row],[DPP]]*PAJAK[[#This Row],[PPN]]</f>
        <v>4111086.4864864866</v>
      </c>
      <c r="Q71" s="186">
        <f ca="1">PAJAK[[#This Row],[DPP]]+PAJAK[[#This Row],[PPN 11%]]</f>
        <v>41484600</v>
      </c>
      <c r="R71" s="43" t="str">
        <f ca="1">IF(ISNUMBER(PAJAK[[#This Row],[//]]),PPN,"")</f>
        <v>11%</v>
      </c>
    </row>
    <row r="72" spans="1:18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844</v>
      </c>
      <c r="B72" s="153">
        <f ca="1">HYPERLINK("[NOTA_.XLSX]NOTA!c"&amp;PAJAK[[#This Row],[//]],IF(PAJAK[[#This Row],[//]]="","",INDEX(INDIRECT("NOTA["&amp;PAJAK[#Headers]&amp;"]"),PAJAK[[#This Row],[//]]-2)))</f>
        <v>161</v>
      </c>
      <c r="C72" s="44" t="str">
        <f ca="1">IF(PAJAK[[#This Row],[//]]="","",INDEX(INDIRECT("NOTA["&amp;PAJAK[#Headers]&amp;"]"),PAJAK[[#This Row],[//]]-2))</f>
        <v>LAU_0102_160-1</v>
      </c>
      <c r="D72" s="44" t="e">
        <f ca="1">MATCH(PAJAK[[#This Row],[ID]],[2]!Table1[ID],0)</f>
        <v>#REF!</v>
      </c>
      <c r="E72" s="152">
        <f ca="1">IF(PAJAK[[#This Row],[ID]]="","",COUNTIF(NOTA[ID_H],PAJAK[[#This Row],[ID]]))</f>
        <v>1</v>
      </c>
      <c r="F72" s="40" t="str">
        <f ca="1">IF(PAJAK[[#This Row],[//]]="","",INDEX(CONV[2],MATCH(INDEX(INDIRECT("NOTA["&amp;PAJAK[#Headers]&amp;"]"),PAJAK[[#This Row],[//]]-2),CONV[1],0),0))</f>
        <v>PT LAUTAN MAS ASIA</v>
      </c>
      <c r="G72" s="42">
        <f ca="1">IF(PAJAK[[#This Row],[//]]="","",INDEX(NOTA[TGL_H],PAJAK[[#This Row],[//]]-2))</f>
        <v>44958</v>
      </c>
      <c r="H72" s="42">
        <f ca="1">IF(PAJAK[[#This Row],[//]]="","",INDEX(INDIRECT("NOTA["&amp;PAJAK[#Headers]&amp;"]"),PAJAK[[#This Row],[//]]-2))</f>
        <v>44956</v>
      </c>
      <c r="I72" s="41" t="str">
        <f ca="1">IF(PAJAK[[#This Row],[//]]="","",INDEX(INDIRECT("NOTA["&amp;PAJAK[#Headers]&amp;"]"),PAJAK[[#This Row],[//]]-2))</f>
        <v>LMA 2023-01-160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186">
        <f ca="1">IF(PAJAK[[#This Row],[//]]="","",SUMIF(NOTA[ID_H],PAJAK[[#This Row],[ID]],NOTA[JUMLAH]))</f>
        <v>44160000</v>
      </c>
      <c r="L72" s="186">
        <f ca="1">IF(PAJAK[[#This Row],[//]]="","",SUMIF(NOTA[ID_H],PAJAK[[#This Row],[ID]],NOTA[DISC]))</f>
        <v>12332563.200000001</v>
      </c>
      <c r="M72" s="186">
        <f ca="1">PAJAK[[#This Row],[SUB TOTAL]]-PAJAK[[#This Row],[DISKON]]</f>
        <v>31827436.799999997</v>
      </c>
      <c r="N72" s="186">
        <f ca="1">IF(PAJAK[[#This Row],[//]]="","",INDEX(INDIRECT("NOTA["&amp;PAJAK[#Headers]&amp;"]"),PAJAK[[#This Row],[//]]-2+PAJAK[[#This Row],[QB]]-1))</f>
        <v>409.77</v>
      </c>
      <c r="O72" s="186">
        <f ca="1">(PAJAK[[#This Row],[SUB T-DISC]]-PAJAK[[#This Row],[DISC DLL]])/111%</f>
        <v>28672997.324324321</v>
      </c>
      <c r="P72" s="186">
        <f ca="1">PAJAK[[#This Row],[DPP]]*PAJAK[[#This Row],[PPN]]</f>
        <v>3154029.7056756755</v>
      </c>
      <c r="Q72" s="186">
        <f ca="1">PAJAK[[#This Row],[DPP]]+PAJAK[[#This Row],[PPN 11%]]</f>
        <v>31827027.029999997</v>
      </c>
      <c r="R72" s="43" t="str">
        <f ca="1">IF(ISNUMBER(PAJAK[[#This Row],[//]]),PPN,"")</f>
        <v>11%</v>
      </c>
    </row>
    <row r="73" spans="1:18" x14ac:dyDescent="0.25">
      <c r="A73" s="4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846</v>
      </c>
      <c r="B73" s="40">
        <f ca="1">HYPERLINK("[NOTA_.XLSX]NOTA!c"&amp;PAJAK[[#This Row],[//]],IF(PAJAK[[#This Row],[//]]="","",INDEX(INDIRECT("NOTA["&amp;PAJAK[#Headers]&amp;"]"),PAJAK[[#This Row],[//]]-2)))</f>
        <v>162</v>
      </c>
      <c r="C73" s="40" t="str">
        <f ca="1">IF(PAJAK[[#This Row],[//]]="","",INDEX(INDIRECT("NOTA["&amp;PAJAK[#Headers]&amp;"]"),PAJAK[[#This Row],[//]]-2))</f>
        <v>ATA_0202_701-1</v>
      </c>
      <c r="D73" s="40" t="e">
        <f ca="1">MATCH(PAJAK[[#This Row],[ID]],[2]!Table1[ID],0)</f>
        <v>#REF!</v>
      </c>
      <c r="E73" s="41">
        <f ca="1">IF(PAJAK[[#This Row],[ID]]="","",COUNTIF(NOTA[ID_H],PAJAK[[#This Row],[ID]]))</f>
        <v>1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44959</v>
      </c>
      <c r="H73" s="42">
        <f ca="1">IF(PAJAK[[#This Row],[//]]="","",INDEX(INDIRECT("NOTA["&amp;PAJAK[#Headers]&amp;"]"),PAJAK[[#This Row],[//]]-2))</f>
        <v>44956</v>
      </c>
      <c r="I73" s="41" t="str">
        <f ca="1">IF(PAJAK[[#This Row],[//]]="","",INDEX(INDIRECT("NOTA["&amp;PAJAK[#Headers]&amp;"]"),PAJAK[[#This Row],[//]]-2))</f>
        <v>SA230101701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186">
        <f ca="1">IF(PAJAK[[#This Row],[//]]="","",SUMIF(NOTA[ID_H],PAJAK[[#This Row],[ID]],NOTA[JUMLAH]))</f>
        <v>8856000</v>
      </c>
      <c r="L73" s="186">
        <f ca="1">IF(PAJAK[[#This Row],[//]]="","",SUMIF(NOTA[ID_H],PAJAK[[#This Row],[ID]],NOTA[DISC]))</f>
        <v>1494450</v>
      </c>
      <c r="M73" s="186">
        <f ca="1">PAJAK[[#This Row],[SUB TOTAL]]-PAJAK[[#This Row],[DISKON]]</f>
        <v>7361550</v>
      </c>
      <c r="N73" s="186">
        <f ca="1">IF(PAJAK[[#This Row],[//]]="","",INDEX(INDIRECT("NOTA["&amp;PAJAK[#Headers]&amp;"]"),PAJAK[[#This Row],[//]]-2+PAJAK[[#This Row],[QB]]-1))</f>
        <v>0</v>
      </c>
      <c r="O73" s="186">
        <f ca="1">(PAJAK[[#This Row],[SUB T-DISC]]-PAJAK[[#This Row],[DISC DLL]])/111%</f>
        <v>6632027.0270270268</v>
      </c>
      <c r="P73" s="186">
        <f ca="1">PAJAK[[#This Row],[DPP]]*PAJAK[[#This Row],[PPN]]</f>
        <v>729522.9729729729</v>
      </c>
      <c r="Q73" s="186">
        <f ca="1">PAJAK[[#This Row],[DPP]]+PAJAK[[#This Row],[PPN 11%]]</f>
        <v>7361550</v>
      </c>
      <c r="R73" s="43" t="str">
        <f ca="1">IF(ISNUMBER(PAJAK[[#This Row],[//]]),PPN,"")</f>
        <v>11%</v>
      </c>
    </row>
    <row r="74" spans="1:18" x14ac:dyDescent="0.25">
      <c r="A74" s="44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848</v>
      </c>
      <c r="B74" s="153">
        <f ca="1">HYPERLINK("[NOTA_.XLSX]NOTA!c"&amp;PAJAK[[#This Row],[//]],IF(PAJAK[[#This Row],[//]]="","",INDEX(INDIRECT("NOTA["&amp;PAJAK[#Headers]&amp;"]"),PAJAK[[#This Row],[//]]-2)))</f>
        <v>163</v>
      </c>
      <c r="C74" s="44" t="str">
        <f ca="1">IF(PAJAK[[#This Row],[//]]="","",INDEX(INDIRECT("NOTA["&amp;PAJAK[#Headers]&amp;"]"),PAJAK[[#This Row],[//]]-2))</f>
        <v>ATA_0202_817-10</v>
      </c>
      <c r="D74" s="44" t="e">
        <f ca="1">MATCH(PAJAK[[#This Row],[ID]],[2]!Table1[ID],0)</f>
        <v>#REF!</v>
      </c>
      <c r="E74" s="152">
        <f ca="1">IF(PAJAK[[#This Row],[ID]]="","",COUNTIF(NOTA[ID_H],PAJAK[[#This Row],[ID]]))</f>
        <v>10</v>
      </c>
      <c r="F74" s="40" t="str">
        <f ca="1">IF(PAJAK[[#This Row],[//]]="","",INDEX(CONV[2],MATCH(INDEX(INDIRECT("NOTA["&amp;PAJAK[#Headers]&amp;"]"),PAJAK[[#This Row],[//]]-2),CONV[1],0),0))</f>
        <v>PT ATALI MAKMUR</v>
      </c>
      <c r="G74" s="42">
        <f ca="1">IF(PAJAK[[#This Row],[//]]="","",INDEX(NOTA[TGL_H],PAJAK[[#This Row],[//]]-2))</f>
        <v>44959</v>
      </c>
      <c r="H74" s="42">
        <f ca="1">IF(PAJAK[[#This Row],[//]]="","",INDEX(INDIRECT("NOTA["&amp;PAJAK[#Headers]&amp;"]"),PAJAK[[#This Row],[//]]-2))</f>
        <v>44957</v>
      </c>
      <c r="I74" s="41" t="str">
        <f ca="1">IF(PAJAK[[#This Row],[//]]="","",INDEX(INDIRECT("NOTA["&amp;PAJAK[#Headers]&amp;"]"),PAJAK[[#This Row],[//]]-2))</f>
        <v>SA230101817</v>
      </c>
      <c r="J74" s="40" t="str">
        <f ca="1">IF(OR(PAJAK[[#This Row],[//]]="",INDEX(INDIRECT("NOTA["&amp;PAJAK[#Headers]&amp;"]"),PAJAK[[#This Row],[//]]-2)=""),"",INDEX(INDIRECT("NOTA["&amp;PAJAK[#Headers]&amp;"]"),PAJAK[[#This Row],[//]]-2))</f>
        <v/>
      </c>
      <c r="K74" s="186">
        <f ca="1">IF(PAJAK[[#This Row],[//]]="","",SUMIF(NOTA[ID_H],PAJAK[[#This Row],[ID]],NOTA[JUMLAH]))</f>
        <v>13203680</v>
      </c>
      <c r="L74" s="186">
        <f ca="1">IF(PAJAK[[#This Row],[//]]="","",SUMIF(NOTA[ID_H],PAJAK[[#This Row],[ID]],NOTA[DISC]))</f>
        <v>2228121</v>
      </c>
      <c r="M74" s="186">
        <f ca="1">PAJAK[[#This Row],[SUB TOTAL]]-PAJAK[[#This Row],[DISKON]]</f>
        <v>10975559</v>
      </c>
      <c r="N74" s="186">
        <f ca="1">IF(PAJAK[[#This Row],[//]]="","",INDEX(INDIRECT("NOTA["&amp;PAJAK[#Headers]&amp;"]"),PAJAK[[#This Row],[//]]-2+PAJAK[[#This Row],[QB]]-1))</f>
        <v>0</v>
      </c>
      <c r="O74" s="186">
        <f ca="1">(PAJAK[[#This Row],[SUB T-DISC]]-PAJAK[[#This Row],[DISC DLL]])/111%</f>
        <v>9887890.9909909908</v>
      </c>
      <c r="P74" s="186">
        <f ca="1">PAJAK[[#This Row],[DPP]]*PAJAK[[#This Row],[PPN]]</f>
        <v>1087668.009009009</v>
      </c>
      <c r="Q74" s="186">
        <f ca="1">PAJAK[[#This Row],[DPP]]+PAJAK[[#This Row],[PPN 11%]]</f>
        <v>10975559</v>
      </c>
      <c r="R74" s="43" t="str">
        <f ca="1">IF(ISNUMBER(PAJAK[[#This Row],[//]]),PPN,"")</f>
        <v>11%</v>
      </c>
    </row>
    <row r="75" spans="1:18" x14ac:dyDescent="0.25">
      <c r="A75" s="44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859</v>
      </c>
      <c r="B75" s="153">
        <f ca="1">HYPERLINK("[NOTA_.XLSX]NOTA!c"&amp;PAJAK[[#This Row],[//]],IF(PAJAK[[#This Row],[//]]="","",INDEX(INDIRECT("NOTA["&amp;PAJAK[#Headers]&amp;"]"),PAJAK[[#This Row],[//]]-2)))</f>
        <v>164</v>
      </c>
      <c r="C75" s="44" t="str">
        <f ca="1">IF(PAJAK[[#This Row],[//]]="","",INDEX(INDIRECT("NOTA["&amp;PAJAK[#Headers]&amp;"]"),PAJAK[[#This Row],[//]]-2))</f>
        <v>ATA_0202_822-5</v>
      </c>
      <c r="D75" s="44" t="e">
        <f ca="1">MATCH(PAJAK[[#This Row],[ID]],[2]!Table1[ID],0)</f>
        <v>#REF!</v>
      </c>
      <c r="E75" s="152">
        <f ca="1">IF(PAJAK[[#This Row],[ID]]="","",COUNTIF(NOTA[ID_H],PAJAK[[#This Row],[ID]]))</f>
        <v>5</v>
      </c>
      <c r="F75" s="40" t="str">
        <f ca="1">IF(PAJAK[[#This Row],[//]]="","",INDEX(CONV[2],MATCH(INDEX(INDIRECT("NOTA["&amp;PAJAK[#Headers]&amp;"]"),PAJAK[[#This Row],[//]]-2),CONV[1],0),0))</f>
        <v>PT ATALI MAKMUR</v>
      </c>
      <c r="G75" s="42">
        <f ca="1">IF(PAJAK[[#This Row],[//]]="","",INDEX(NOTA[TGL_H],PAJAK[[#This Row],[//]]-2))</f>
        <v>44959</v>
      </c>
      <c r="H75" s="42">
        <f ca="1">IF(PAJAK[[#This Row],[//]]="","",INDEX(INDIRECT("NOTA["&amp;PAJAK[#Headers]&amp;"]"),PAJAK[[#This Row],[//]]-2))</f>
        <v>44957</v>
      </c>
      <c r="I75" s="41" t="str">
        <f ca="1">IF(PAJAK[[#This Row],[//]]="","",INDEX(INDIRECT("NOTA["&amp;PAJAK[#Headers]&amp;"]"),PAJAK[[#This Row],[//]]-2))</f>
        <v>SA230101822</v>
      </c>
      <c r="J75" s="40" t="str">
        <f ca="1">IF(OR(PAJAK[[#This Row],[//]]="",INDEX(INDIRECT("NOTA["&amp;PAJAK[#Headers]&amp;"]"),PAJAK[[#This Row],[//]]-2)=""),"",INDEX(INDIRECT("NOTA["&amp;PAJAK[#Headers]&amp;"]"),PAJAK[[#This Row],[//]]-2))</f>
        <v/>
      </c>
      <c r="K75" s="186">
        <f ca="1">IF(PAJAK[[#This Row],[//]]="","",SUMIF(NOTA[ID_H],PAJAK[[#This Row],[ID]],NOTA[JUMLAH]))</f>
        <v>5222400</v>
      </c>
      <c r="L75" s="186">
        <f ca="1">IF(PAJAK[[#This Row],[//]]="","",SUMIF(NOTA[ID_H],PAJAK[[#This Row],[ID]],NOTA[DISC]))</f>
        <v>881280</v>
      </c>
      <c r="M75" s="186">
        <f ca="1">PAJAK[[#This Row],[SUB TOTAL]]-PAJAK[[#This Row],[DISKON]]</f>
        <v>4341120</v>
      </c>
      <c r="N75" s="186">
        <f ca="1">IF(PAJAK[[#This Row],[//]]="","",INDEX(INDIRECT("NOTA["&amp;PAJAK[#Headers]&amp;"]"),PAJAK[[#This Row],[//]]-2+PAJAK[[#This Row],[QB]]-1))</f>
        <v>0</v>
      </c>
      <c r="O75" s="186">
        <f ca="1">(PAJAK[[#This Row],[SUB T-DISC]]-PAJAK[[#This Row],[DISC DLL]])/111%</f>
        <v>3910918.9189189184</v>
      </c>
      <c r="P75" s="186">
        <f ca="1">PAJAK[[#This Row],[DPP]]*PAJAK[[#This Row],[PPN]]</f>
        <v>430201.08108108101</v>
      </c>
      <c r="Q75" s="186">
        <f ca="1">PAJAK[[#This Row],[DPP]]+PAJAK[[#This Row],[PPN 11%]]</f>
        <v>4341119.9999999991</v>
      </c>
      <c r="R75" s="43" t="str">
        <f ca="1">IF(ISNUMBER(PAJAK[[#This Row],[//]]),PPN,"")</f>
        <v>11%</v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Row],[ID]],[2]!Table1[ID],0)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86" t="str">
        <f ca="1">IF(PAJAK[[#This Row],[//]]="","",SUMIF(NOTA[ID_H],PAJAK[[#This Row],[ID]],NOTA[JUMLAH]))</f>
        <v/>
      </c>
      <c r="L76" s="186" t="str">
        <f ca="1">IF(PAJAK[[#This Row],[//]]="","",SUMIF(NOTA[ID_H],PAJAK[[#This Row],[ID]],NOTA[DISC]))</f>
        <v/>
      </c>
      <c r="M76" s="186" t="e">
        <f ca="1">PAJAK[[#This Row],[SUB TOTAL]]-PAJAK[[#This Row],[DISKON]]</f>
        <v>#VALUE!</v>
      </c>
      <c r="N76" s="186" t="str">
        <f ca="1">IF(PAJAK[[#This Row],[//]]="","",INDEX(INDIRECT("NOTA["&amp;PAJAK[#Headers]&amp;"]"),PAJAK[[#This Row],[//]]-2+PAJAK[[#This Row],[QB]]-1))</f>
        <v/>
      </c>
      <c r="O76" s="186" t="e">
        <f ca="1">(PAJAK[[#This Row],[SUB T-DISC]]-PAJAK[[#This Row],[DISC DLL]])/111%</f>
        <v>#VALUE!</v>
      </c>
      <c r="P76" s="186" t="e">
        <f ca="1">PAJAK[[#This Row],[DPP]]*PAJAK[[#This Row],[PPN]]</f>
        <v>#VALUE!</v>
      </c>
      <c r="Q76" s="186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86" t="str">
        <f ca="1">IF(PAJAK[[#This Row],[//]]="","",SUMIF(NOTA[ID_H],PAJAK[[#This Row],[ID]],NOTA[JUMLAH]))</f>
        <v/>
      </c>
      <c r="L77" s="186" t="str">
        <f ca="1">IF(PAJAK[[#This Row],[//]]="","",SUMIF(NOTA[ID_H],PAJAK[[#This Row],[ID]],NOTA[DISC]))</f>
        <v/>
      </c>
      <c r="M77" s="186" t="e">
        <f ca="1">PAJAK[[#This Row],[SUB TOTAL]]-PAJAK[[#This Row],[DISKON]]</f>
        <v>#VALUE!</v>
      </c>
      <c r="N77" s="186" t="str">
        <f ca="1">IF(PAJAK[[#This Row],[//]]="","",INDEX(INDIRECT("NOTA["&amp;PAJAK[#Headers]&amp;"]"),PAJAK[[#This Row],[//]]-2+PAJAK[[#This Row],[QB]]-1))</f>
        <v/>
      </c>
      <c r="O77" s="186" t="e">
        <f ca="1">(PAJAK[[#This Row],[SUB T-DISC]]-PAJAK[[#This Row],[DISC DLL]])/111%</f>
        <v>#VALUE!</v>
      </c>
      <c r="P77" s="186" t="e">
        <f ca="1">PAJAK[[#This Row],[DPP]]*PAJAK[[#This Row],[PPN]]</f>
        <v>#VALUE!</v>
      </c>
      <c r="Q77" s="186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 t="e">
        <f ca="1">MATCH(PAJAK[[#This Row],[ID]],[2]!Table1[ID],0)</f>
        <v>#REF!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86" t="str">
        <f ca="1">IF(PAJAK[[#This Row],[//]]="","",SUMIF(NOTA[ID_H],PAJAK[[#This Row],[ID]],NOTA[JUMLAH]))</f>
        <v/>
      </c>
      <c r="L78" s="186" t="str">
        <f ca="1">IF(PAJAK[[#This Row],[//]]="","",SUMIF(NOTA[ID_H],PAJAK[[#This Row],[ID]],NOTA[DISC]))</f>
        <v/>
      </c>
      <c r="M78" s="186" t="e">
        <f ca="1">PAJAK[[#This Row],[SUB TOTAL]]-PAJAK[[#This Row],[DISKON]]</f>
        <v>#VALUE!</v>
      </c>
      <c r="N78" s="186" t="str">
        <f ca="1">IF(PAJAK[[#This Row],[//]]="","",INDEX(INDIRECT("NOTA["&amp;PAJAK[#Headers]&amp;"]"),PAJAK[[#This Row],[//]]-2+PAJAK[[#This Row],[QB]]-1))</f>
        <v/>
      </c>
      <c r="O78" s="186" t="e">
        <f ca="1">(PAJAK[[#This Row],[SUB T-DISC]]-PAJAK[[#This Row],[DISC DLL]])/111%</f>
        <v>#VALUE!</v>
      </c>
      <c r="P78" s="186" t="e">
        <f ca="1">PAJAK[[#This Row],[DPP]]*PAJAK[[#This Row],[PPN]]</f>
        <v>#VALUE!</v>
      </c>
      <c r="Q78" s="186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Row],[ID]],[2]!Table1[ID],0)</f>
        <v>#REF!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86" t="str">
        <f ca="1">IF(PAJAK[[#This Row],[//]]="","",SUMIF(NOTA[ID_H],PAJAK[[#This Row],[ID]],NOTA[JUMLAH]))</f>
        <v/>
      </c>
      <c r="L79" s="186" t="str">
        <f ca="1">IF(PAJAK[[#This Row],[//]]="","",SUMIF(NOTA[ID_H],PAJAK[[#This Row],[ID]],NOTA[DISC]))</f>
        <v/>
      </c>
      <c r="M79" s="186" t="e">
        <f ca="1">PAJAK[[#This Row],[SUB TOTAL]]-PAJAK[[#This Row],[DISKON]]</f>
        <v>#VALUE!</v>
      </c>
      <c r="N79" s="186" t="str">
        <f ca="1">IF(PAJAK[[#This Row],[//]]="","",INDEX(INDIRECT("NOTA["&amp;PAJAK[#Headers]&amp;"]"),PAJAK[[#This Row],[//]]-2+PAJAK[[#This Row],[QB]]-1))</f>
        <v/>
      </c>
      <c r="O79" s="186" t="e">
        <f ca="1">(PAJAK[[#This Row],[SUB T-DISC]]-PAJAK[[#This Row],[DISC DLL]])/111%</f>
        <v>#VALUE!</v>
      </c>
      <c r="P79" s="186" t="e">
        <f ca="1">PAJAK[[#This Row],[DPP]]*PAJAK[[#This Row],[PPN]]</f>
        <v>#VALUE!</v>
      </c>
      <c r="Q79" s="186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 t="e">
        <f ca="1">MATCH(PAJAK[[#This Row],[ID]],[2]!Table1[ID],0)</f>
        <v>#REF!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86" t="str">
        <f ca="1">IF(PAJAK[[#This Row],[//]]="","",SUMIF(NOTA[ID_H],PAJAK[[#This Row],[ID]],NOTA[JUMLAH]))</f>
        <v/>
      </c>
      <c r="L80" s="186" t="str">
        <f ca="1">IF(PAJAK[[#This Row],[//]]="","",SUMIF(NOTA[ID_H],PAJAK[[#This Row],[ID]],NOTA[DISC]))</f>
        <v/>
      </c>
      <c r="M80" s="186" t="e">
        <f ca="1">PAJAK[[#This Row],[SUB TOTAL]]-PAJAK[[#This Row],[DISKON]]</f>
        <v>#VALUE!</v>
      </c>
      <c r="N80" s="186" t="str">
        <f ca="1">IF(PAJAK[[#This Row],[//]]="","",INDEX(INDIRECT("NOTA["&amp;PAJAK[#Headers]&amp;"]"),PAJAK[[#This Row],[//]]-2+PAJAK[[#This Row],[QB]]-1))</f>
        <v/>
      </c>
      <c r="O80" s="186" t="e">
        <f ca="1">(PAJAK[[#This Row],[SUB T-DISC]]-PAJAK[[#This Row],[DISC DLL]])/111%</f>
        <v>#VALUE!</v>
      </c>
      <c r="P80" s="186" t="e">
        <f ca="1">PAJAK[[#This Row],[DPP]]*PAJAK[[#This Row],[PPN]]</f>
        <v>#VALUE!</v>
      </c>
      <c r="Q80" s="186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86" t="str">
        <f ca="1">IF(PAJAK[[#This Row],[//]]="","",SUMIF(NOTA[ID_H],PAJAK[[#This Row],[ID]],NOTA[JUMLAH]))</f>
        <v/>
      </c>
      <c r="L81" s="186" t="str">
        <f ca="1">IF(PAJAK[[#This Row],[//]]="","",SUMIF(NOTA[ID_H],PAJAK[[#This Row],[ID]],NOTA[DISC]))</f>
        <v/>
      </c>
      <c r="M81" s="186" t="e">
        <f ca="1">PAJAK[[#This Row],[SUB TOTAL]]-PAJAK[[#This Row],[DISKON]]</f>
        <v>#VALUE!</v>
      </c>
      <c r="N81" s="186" t="str">
        <f ca="1">IF(PAJAK[[#This Row],[//]]="","",INDEX(INDIRECT("NOTA["&amp;PAJAK[#Headers]&amp;"]"),PAJAK[[#This Row],[//]]-2+PAJAK[[#This Row],[QB]]-1))</f>
        <v/>
      </c>
      <c r="O81" s="186" t="e">
        <f ca="1">(PAJAK[[#This Row],[SUB T-DISC]]-PAJAK[[#This Row],[DISC DLL]])/111%</f>
        <v>#VALUE!</v>
      </c>
      <c r="P81" s="186" t="e">
        <f ca="1">PAJAK[[#This Row],[DPP]]*PAJAK[[#This Row],[PPN]]</f>
        <v>#VALUE!</v>
      </c>
      <c r="Q81" s="186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86" t="str">
        <f ca="1">IF(PAJAK[[#This Row],[//]]="","",SUMIF(NOTA[ID_H],PAJAK[[#This Row],[ID]],NOTA[JUMLAH]))</f>
        <v/>
      </c>
      <c r="L82" s="186" t="str">
        <f ca="1">IF(PAJAK[[#This Row],[//]]="","",SUMIF(NOTA[ID_H],PAJAK[[#This Row],[ID]],NOTA[DISC]))</f>
        <v/>
      </c>
      <c r="M82" s="186" t="e">
        <f ca="1">PAJAK[[#This Row],[SUB TOTAL]]-PAJAK[[#This Row],[DISKON]]</f>
        <v>#VALUE!</v>
      </c>
      <c r="N82" s="186" t="str">
        <f ca="1">IF(PAJAK[[#This Row],[//]]="","",INDEX(INDIRECT("NOTA["&amp;PAJAK[#Headers]&amp;"]"),PAJAK[[#This Row],[//]]-2+PAJAK[[#This Row],[QB]]-1))</f>
        <v/>
      </c>
      <c r="O82" s="186" t="e">
        <f ca="1">(PAJAK[[#This Row],[SUB T-DISC]]-PAJAK[[#This Row],[DISC DLL]])/111%</f>
        <v>#VALUE!</v>
      </c>
      <c r="P82" s="186" t="e">
        <f ca="1">PAJAK[[#This Row],[DPP]]*PAJAK[[#This Row],[PPN]]</f>
        <v>#VALUE!</v>
      </c>
      <c r="Q82" s="186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Row],[ID]],[2]!Table1[ID],0)</f>
        <v>#REF!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86" t="str">
        <f ca="1">IF(PAJAK[[#This Row],[//]]="","",SUMIF(NOTA[ID_H],PAJAK[[#This Row],[ID]],NOTA[JUMLAH]))</f>
        <v/>
      </c>
      <c r="L83" s="186" t="str">
        <f ca="1">IF(PAJAK[[#This Row],[//]]="","",SUMIF(NOTA[ID_H],PAJAK[[#This Row],[ID]],NOTA[DISC]))</f>
        <v/>
      </c>
      <c r="M83" s="186" t="e">
        <f ca="1">PAJAK[[#This Row],[SUB TOTAL]]-PAJAK[[#This Row],[DISKON]]</f>
        <v>#VALUE!</v>
      </c>
      <c r="N83" s="186" t="str">
        <f ca="1">IF(PAJAK[[#This Row],[//]]="","",INDEX(INDIRECT("NOTA["&amp;PAJAK[#Headers]&amp;"]"),PAJAK[[#This Row],[//]]-2+PAJAK[[#This Row],[QB]]-1))</f>
        <v/>
      </c>
      <c r="O83" s="186" t="e">
        <f ca="1">(PAJAK[[#This Row],[SUB T-DISC]]-PAJAK[[#This Row],[DISC DLL]])/111%</f>
        <v>#VALUE!</v>
      </c>
      <c r="P83" s="186" t="e">
        <f ca="1">PAJAK[[#This Row],[DPP]]*PAJAK[[#This Row],[PPN]]</f>
        <v>#VALUE!</v>
      </c>
      <c r="Q83" s="186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86" t="str">
        <f ca="1">IF(PAJAK[[#This Row],[//]]="","",SUMIF(NOTA[ID_H],PAJAK[[#This Row],[ID]],NOTA[JUMLAH]))</f>
        <v/>
      </c>
      <c r="L84" s="186" t="str">
        <f ca="1">IF(PAJAK[[#This Row],[//]]="","",SUMIF(NOTA[ID_H],PAJAK[[#This Row],[ID]],NOTA[DISC]))</f>
        <v/>
      </c>
      <c r="M84" s="186" t="e">
        <f ca="1">PAJAK[[#This Row],[SUB TOTAL]]-PAJAK[[#This Row],[DISKON]]</f>
        <v>#VALUE!</v>
      </c>
      <c r="N84" s="186" t="str">
        <f ca="1">IF(PAJAK[[#This Row],[//]]="","",INDEX(INDIRECT("NOTA["&amp;PAJAK[#Headers]&amp;"]"),PAJAK[[#This Row],[//]]-2+PAJAK[[#This Row],[QB]]-1))</f>
        <v/>
      </c>
      <c r="O84" s="186" t="e">
        <f ca="1">(PAJAK[[#This Row],[SUB T-DISC]]-PAJAK[[#This Row],[DISC DLL]])/111%</f>
        <v>#VALUE!</v>
      </c>
      <c r="P84" s="186" t="e">
        <f ca="1">PAJAK[[#This Row],[DPP]]*PAJAK[[#This Row],[PPN]]</f>
        <v>#VALUE!</v>
      </c>
      <c r="Q84" s="186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 t="e">
        <f ca="1">MATCH(PAJAK[[#This Row],[ID]],[2]!Table1[ID],0)</f>
        <v>#REF!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86" t="str">
        <f ca="1">IF(PAJAK[[#This Row],[//]]="","",SUMIF(NOTA[ID_H],PAJAK[[#This Row],[ID]],NOTA[JUMLAH]))</f>
        <v/>
      </c>
      <c r="L85" s="186" t="str">
        <f ca="1">IF(PAJAK[[#This Row],[//]]="","",SUMIF(NOTA[ID_H],PAJAK[[#This Row],[ID]],NOTA[DISC]))</f>
        <v/>
      </c>
      <c r="M85" s="186" t="e">
        <f ca="1">PAJAK[[#This Row],[SUB TOTAL]]-PAJAK[[#This Row],[DISKON]]</f>
        <v>#VALUE!</v>
      </c>
      <c r="N85" s="186" t="str">
        <f ca="1">IF(PAJAK[[#This Row],[//]]="","",INDEX(INDIRECT("NOTA["&amp;PAJAK[#Headers]&amp;"]"),PAJAK[[#This Row],[//]]-2+PAJAK[[#This Row],[QB]]-1))</f>
        <v/>
      </c>
      <c r="O85" s="186" t="e">
        <f ca="1">(PAJAK[[#This Row],[SUB T-DISC]]-PAJAK[[#This Row],[DISC DLL]])/111%</f>
        <v>#VALUE!</v>
      </c>
      <c r="P85" s="186" t="e">
        <f ca="1">PAJAK[[#This Row],[DPP]]*PAJAK[[#This Row],[PPN]]</f>
        <v>#VALUE!</v>
      </c>
      <c r="Q85" s="186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86" t="str">
        <f ca="1">IF(PAJAK[[#This Row],[//]]="","",SUMIF(NOTA[ID_H],PAJAK[[#This Row],[ID]],NOTA[JUMLAH]))</f>
        <v/>
      </c>
      <c r="L86" s="186" t="str">
        <f ca="1">IF(PAJAK[[#This Row],[//]]="","",SUMIF(NOTA[ID_H],PAJAK[[#This Row],[ID]],NOTA[DISC]))</f>
        <v/>
      </c>
      <c r="M86" s="186" t="e">
        <f ca="1">PAJAK[[#This Row],[SUB TOTAL]]-PAJAK[[#This Row],[DISKON]]</f>
        <v>#VALUE!</v>
      </c>
      <c r="N86" s="186" t="str">
        <f ca="1">IF(PAJAK[[#This Row],[//]]="","",INDEX(INDIRECT("NOTA["&amp;PAJAK[#Headers]&amp;"]"),PAJAK[[#This Row],[//]]-2+PAJAK[[#This Row],[QB]]-1))</f>
        <v/>
      </c>
      <c r="O86" s="186" t="e">
        <f ca="1">(PAJAK[[#This Row],[SUB T-DISC]]-PAJAK[[#This Row],[DISC DLL]])/111%</f>
        <v>#VALUE!</v>
      </c>
      <c r="P86" s="186" t="e">
        <f ca="1">PAJAK[[#This Row],[DPP]]*PAJAK[[#This Row],[PPN]]</f>
        <v>#VALUE!</v>
      </c>
      <c r="Q86" s="186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86" t="str">
        <f ca="1">IF(PAJAK[[#This Row],[//]]="","",SUMIF(NOTA[ID_H],PAJAK[[#This Row],[ID]],NOTA[JUMLAH]))</f>
        <v/>
      </c>
      <c r="L87" s="186" t="str">
        <f ca="1">IF(PAJAK[[#This Row],[//]]="","",SUMIF(NOTA[ID_H],PAJAK[[#This Row],[ID]],NOTA[DISC]))</f>
        <v/>
      </c>
      <c r="M87" s="186" t="e">
        <f ca="1">PAJAK[[#This Row],[SUB TOTAL]]-PAJAK[[#This Row],[DISKON]]</f>
        <v>#VALUE!</v>
      </c>
      <c r="N87" s="186" t="str">
        <f ca="1">IF(PAJAK[[#This Row],[//]]="","",INDEX(INDIRECT("NOTA["&amp;PAJAK[#Headers]&amp;"]"),PAJAK[[#This Row],[//]]-2+PAJAK[[#This Row],[QB]]-1))</f>
        <v/>
      </c>
      <c r="O87" s="186" t="e">
        <f ca="1">(PAJAK[[#This Row],[SUB T-DISC]]-PAJAK[[#This Row],[DISC DLL]])/111%</f>
        <v>#VALUE!</v>
      </c>
      <c r="P87" s="186" t="e">
        <f ca="1">PAJAK[[#This Row],[DPP]]*PAJAK[[#This Row],[PPN]]</f>
        <v>#VALUE!</v>
      </c>
      <c r="Q87" s="186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86" t="str">
        <f ca="1">IF(PAJAK[[#This Row],[//]]="","",SUMIF(NOTA[ID_H],PAJAK[[#This Row],[ID]],NOTA[JUMLAH]))</f>
        <v/>
      </c>
      <c r="L88" s="186" t="str">
        <f ca="1">IF(PAJAK[[#This Row],[//]]="","",SUMIF(NOTA[ID_H],PAJAK[[#This Row],[ID]],NOTA[DISC]))</f>
        <v/>
      </c>
      <c r="M88" s="186" t="e">
        <f ca="1">PAJAK[[#This Row],[SUB TOTAL]]-PAJAK[[#This Row],[DISKON]]</f>
        <v>#VALUE!</v>
      </c>
      <c r="N88" s="186" t="str">
        <f ca="1">IF(PAJAK[[#This Row],[//]]="","",INDEX(INDIRECT("NOTA["&amp;PAJAK[#Headers]&amp;"]"),PAJAK[[#This Row],[//]]-2+PAJAK[[#This Row],[QB]]-1))</f>
        <v/>
      </c>
      <c r="O88" s="186" t="e">
        <f ca="1">(PAJAK[[#This Row],[SUB T-DISC]]-PAJAK[[#This Row],[DISC DLL]])/111%</f>
        <v>#VALUE!</v>
      </c>
      <c r="P88" s="186" t="e">
        <f ca="1">PAJAK[[#This Row],[DPP]]*PAJAK[[#This Row],[PPN]]</f>
        <v>#VALUE!</v>
      </c>
      <c r="Q88" s="186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 t="e">
        <f ca="1">MATCH(PAJAK[[#This Row],[ID]],[2]!Table1[ID],0)</f>
        <v>#REF!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86" t="str">
        <f ca="1">IF(PAJAK[[#This Row],[//]]="","",SUMIF(NOTA[ID_H],PAJAK[[#This Row],[ID]],NOTA[JUMLAH]))</f>
        <v/>
      </c>
      <c r="L89" s="186" t="str">
        <f ca="1">IF(PAJAK[[#This Row],[//]]="","",SUMIF(NOTA[ID_H],PAJAK[[#This Row],[ID]],NOTA[DISC]))</f>
        <v/>
      </c>
      <c r="M89" s="186" t="e">
        <f ca="1">PAJAK[[#This Row],[SUB TOTAL]]-PAJAK[[#This Row],[DISKON]]</f>
        <v>#VALUE!</v>
      </c>
      <c r="N89" s="186" t="str">
        <f ca="1">IF(PAJAK[[#This Row],[//]]="","",INDEX(INDIRECT("NOTA["&amp;PAJAK[#Headers]&amp;"]"),PAJAK[[#This Row],[//]]-2+PAJAK[[#This Row],[QB]]-1))</f>
        <v/>
      </c>
      <c r="O89" s="186" t="e">
        <f ca="1">(PAJAK[[#This Row],[SUB T-DISC]]-PAJAK[[#This Row],[DISC DLL]])/111%</f>
        <v>#VALUE!</v>
      </c>
      <c r="P89" s="186" t="e">
        <f ca="1">PAJAK[[#This Row],[DPP]]*PAJAK[[#This Row],[PPN]]</f>
        <v>#VALUE!</v>
      </c>
      <c r="Q89" s="186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Row],[ID]],[2]!Table1[ID],0)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86" t="str">
        <f ca="1">IF(PAJAK[[#This Row],[//]]="","",SUMIF(NOTA[ID_H],PAJAK[[#This Row],[ID]],NOTA[JUMLAH]))</f>
        <v/>
      </c>
      <c r="L90" s="186" t="str">
        <f ca="1">IF(PAJAK[[#This Row],[//]]="","",SUMIF(NOTA[ID_H],PAJAK[[#This Row],[ID]],NOTA[DISC]))</f>
        <v/>
      </c>
      <c r="M90" s="186" t="e">
        <f ca="1">PAJAK[[#This Row],[SUB TOTAL]]-PAJAK[[#This Row],[DISKON]]</f>
        <v>#VALUE!</v>
      </c>
      <c r="N90" s="186" t="str">
        <f ca="1">IF(PAJAK[[#This Row],[//]]="","",INDEX(INDIRECT("NOTA["&amp;PAJAK[#Headers]&amp;"]"),PAJAK[[#This Row],[//]]-2+PAJAK[[#This Row],[QB]]-1))</f>
        <v/>
      </c>
      <c r="O90" s="186" t="e">
        <f ca="1">(PAJAK[[#This Row],[SUB T-DISC]]-PAJAK[[#This Row],[DISC DLL]])/111%</f>
        <v>#VALUE!</v>
      </c>
      <c r="P90" s="186" t="e">
        <f ca="1">PAJAK[[#This Row],[DPP]]*PAJAK[[#This Row],[PPN]]</f>
        <v>#VALUE!</v>
      </c>
      <c r="Q90" s="186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 t="e">
        <f ca="1">MATCH(PAJAK[[#This Row],[ID]],[2]!Table1[ID],0)</f>
        <v>#REF!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86" t="str">
        <f ca="1">IF(PAJAK[[#This Row],[//]]="","",SUMIF(NOTA[ID_H],PAJAK[[#This Row],[ID]],NOTA[JUMLAH]))</f>
        <v/>
      </c>
      <c r="L91" s="186" t="str">
        <f ca="1">IF(PAJAK[[#This Row],[//]]="","",SUMIF(NOTA[ID_H],PAJAK[[#This Row],[ID]],NOTA[DISC]))</f>
        <v/>
      </c>
      <c r="M91" s="186" t="e">
        <f ca="1">PAJAK[[#This Row],[SUB TOTAL]]-PAJAK[[#This Row],[DISKON]]</f>
        <v>#VALUE!</v>
      </c>
      <c r="N91" s="186" t="str">
        <f ca="1">IF(PAJAK[[#This Row],[//]]="","",INDEX(INDIRECT("NOTA["&amp;PAJAK[#Headers]&amp;"]"),PAJAK[[#This Row],[//]]-2+PAJAK[[#This Row],[QB]]-1))</f>
        <v/>
      </c>
      <c r="O91" s="186" t="e">
        <f ca="1">(PAJAK[[#This Row],[SUB T-DISC]]-PAJAK[[#This Row],[DISC DLL]])/111%</f>
        <v>#VALUE!</v>
      </c>
      <c r="P91" s="186" t="e">
        <f ca="1">PAJAK[[#This Row],[DPP]]*PAJAK[[#This Row],[PPN]]</f>
        <v>#VALUE!</v>
      </c>
      <c r="Q91" s="186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Row],[ID]],[2]!Table1[ID],0)</f>
        <v>#REF!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86" t="str">
        <f ca="1">IF(PAJAK[[#This Row],[//]]="","",SUMIF(NOTA[ID_H],PAJAK[[#This Row],[ID]],NOTA[JUMLAH]))</f>
        <v/>
      </c>
      <c r="L92" s="186" t="str">
        <f ca="1">IF(PAJAK[[#This Row],[//]]="","",SUMIF(NOTA[ID_H],PAJAK[[#This Row],[ID]],NOTA[DISC]))</f>
        <v/>
      </c>
      <c r="M92" s="186" t="e">
        <f ca="1">PAJAK[[#This Row],[SUB TOTAL]]-PAJAK[[#This Row],[DISKON]]</f>
        <v>#VALUE!</v>
      </c>
      <c r="N92" s="186" t="str">
        <f ca="1">IF(PAJAK[[#This Row],[//]]="","",INDEX(INDIRECT("NOTA["&amp;PAJAK[#Headers]&amp;"]"),PAJAK[[#This Row],[//]]-2+PAJAK[[#This Row],[QB]]-1))</f>
        <v/>
      </c>
      <c r="O92" s="186" t="e">
        <f ca="1">(PAJAK[[#This Row],[SUB T-DISC]]-PAJAK[[#This Row],[DISC DLL]])/111%</f>
        <v>#VALUE!</v>
      </c>
      <c r="P92" s="186" t="e">
        <f ca="1">PAJAK[[#This Row],[DPP]]*PAJAK[[#This Row],[PPN]]</f>
        <v>#VALUE!</v>
      </c>
      <c r="Q92" s="186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Row],[ID]],[2]!Table1[ID],0)</f>
        <v>#REF!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86" t="str">
        <f ca="1">IF(PAJAK[[#This Row],[//]]="","",SUMIF(NOTA[ID_H],PAJAK[[#This Row],[ID]],NOTA[JUMLAH]))</f>
        <v/>
      </c>
      <c r="L93" s="186" t="str">
        <f ca="1">IF(PAJAK[[#This Row],[//]]="","",SUMIF(NOTA[ID_H],PAJAK[[#This Row],[ID]],NOTA[DISC]))</f>
        <v/>
      </c>
      <c r="M93" s="186" t="e">
        <f ca="1">PAJAK[[#This Row],[SUB TOTAL]]-PAJAK[[#This Row],[DISKON]]</f>
        <v>#VALUE!</v>
      </c>
      <c r="N93" s="186" t="str">
        <f ca="1">IF(PAJAK[[#This Row],[//]]="","",INDEX(INDIRECT("NOTA["&amp;PAJAK[#Headers]&amp;"]"),PAJAK[[#This Row],[//]]-2+PAJAK[[#This Row],[QB]]-1))</f>
        <v/>
      </c>
      <c r="O93" s="186" t="e">
        <f ca="1">(PAJAK[[#This Row],[SUB T-DISC]]-PAJAK[[#This Row],[DISC DLL]])/111%</f>
        <v>#VALUE!</v>
      </c>
      <c r="P93" s="186" t="e">
        <f ca="1">PAJAK[[#This Row],[DPP]]*PAJAK[[#This Row],[PPN]]</f>
        <v>#VALUE!</v>
      </c>
      <c r="Q93" s="186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C4" sqref="C4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EXP\BARU\2023\01 JAN\[NOTA 01 JAN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44931</v>
      </c>
      <c r="F3" s="2">
        <f ca="1">IF(KENKO[[#This Row],[//PAJAK]]="","",INDEX(INDIRECT("PAJAK["&amp;KENKO[#Headers]&amp;"]"),KENKO[[#This Row],[//PAJAK]]-1))</f>
        <v>44929</v>
      </c>
      <c r="G3" s="9" t="str">
        <f ca="1">IF(KENKO[[#This Row],[//PAJAK]]="","",INDEX(INDIRECT("PAJAK["&amp;KENKO[#Headers]&amp;"]"),KENKO[[#This Row],[//PAJAK]]-1))</f>
        <v>23010093</v>
      </c>
      <c r="H3" s="3" t="str">
        <f ca="1">IF(KENKO[[#This Row],[//PAJAK]]="","",INDEX(INDIRECT("PAJAK["&amp;KENKO[#Headers]&amp;"]"),KENKO[[#This Row],[//PAJAK]]-1))</f>
        <v>SA 39295</v>
      </c>
      <c r="I3" s="1">
        <f ca="1">IF(KENKO[[#This Row],[//PAJAK]]="","",INDEX(INDIRECT("PAJAK["&amp;KENKO[#Headers]&amp;"]"),KENKO[[#This Row],[//PAJAK]]-1))</f>
        <v>9300000</v>
      </c>
      <c r="J3" s="1">
        <f ca="1">IF(KENKO[[#This Row],[//PAJAK]]="","",INDEX(INDIRECT("PAJAK["&amp;KENKO[#Headers]&amp;"]"),KENKO[[#This Row],[//PAJAK]]-1))</f>
        <v>1581000</v>
      </c>
      <c r="K3" s="1">
        <f ca="1">(KENKO[[#This Row],[SUB TOTAL]]-KENKO[[#This Row],[DISKON]])/1.11</f>
        <v>6954054.0540540535</v>
      </c>
      <c r="L3" s="1">
        <f ca="1">KENKO[[#This Row],[DPP]]*11%</f>
        <v>764945.94594594592</v>
      </c>
      <c r="M3" s="1">
        <f ca="1">KENKO[[#This Row],[DPP]]+KENKO[[#This Row],[PPN (11%)]]</f>
        <v>7718999.9999999991</v>
      </c>
      <c r="N3" s="1" t="str">
        <f ca="1">INDEX(PAJAK[ID_P],MATCH(KENKO[[#This Row],[ID]],PAJAK[ID],0))</f>
        <v>KEN_0501_093-1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54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44931</v>
      </c>
      <c r="F4" s="2">
        <f ca="1">IF(KENKO[[#This Row],[//PAJAK]]="","",INDEX(INDIRECT("PAJAK["&amp;KENKO[#Headers]&amp;"]"),KENKO[[#This Row],[//PAJAK]]-1))</f>
        <v>44928</v>
      </c>
      <c r="G4" s="9" t="str">
        <f ca="1">IF(KENKO[[#This Row],[//PAJAK]]="","",INDEX(INDIRECT("PAJAK["&amp;KENKO[#Headers]&amp;"]"),KENKO[[#This Row],[//PAJAK]]-1))</f>
        <v>23010016</v>
      </c>
      <c r="H4" s="3" t="str">
        <f ca="1">IF(KENKO[[#This Row],[//PAJAK]]="","",INDEX(INDIRECT("PAJAK["&amp;KENKO[#Headers]&amp;"]"),KENKO[[#This Row],[//PAJAK]]-1))</f>
        <v>SA 39250</v>
      </c>
      <c r="I4" s="1">
        <f ca="1">IF(KENKO[[#This Row],[//PAJAK]]="","",INDEX(INDIRECT("PAJAK["&amp;KENKO[#Headers]&amp;"]"),KENKO[[#This Row],[//PAJAK]]-1))</f>
        <v>38728800</v>
      </c>
      <c r="J4" s="1">
        <f ca="1">IF(KENKO[[#This Row],[//PAJAK]]="","",INDEX(INDIRECT("PAJAK["&amp;KENKO[#Headers]&amp;"]"),KENKO[[#This Row],[//PAJAK]]-1))</f>
        <v>6583896</v>
      </c>
      <c r="K4" s="1">
        <f ca="1">(KENKO[[#This Row],[SUB TOTAL]]-KENKO[[#This Row],[DISKON]])/1.11</f>
        <v>28959372.97297297</v>
      </c>
      <c r="L4" s="1">
        <f ca="1">KENKO[[#This Row],[DPP]]*11%</f>
        <v>3185531.0270270268</v>
      </c>
      <c r="M4" s="1">
        <f ca="1">KENKO[[#This Row],[DPP]]+KENKO[[#This Row],[PPN (11%)]]</f>
        <v>32144903.999999996</v>
      </c>
      <c r="N4" s="1" t="str">
        <f ca="1">INDEX(PAJAK[ID_P],MATCH(KENKO[[#This Row],[ID]],PAJAK[ID],0))</f>
        <v>KEN_0501_016-10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13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44931</v>
      </c>
      <c r="F5" s="2">
        <f ca="1">IF(KENKO[[#This Row],[//PAJAK]]="","",INDEX(INDIRECT("PAJAK["&amp;KENKO[#Headers]&amp;"]"),KENKO[[#This Row],[//PAJAK]]-1))</f>
        <v>44928</v>
      </c>
      <c r="G5" s="9" t="str">
        <f ca="1">IF(KENKO[[#This Row],[//PAJAK]]="","",INDEX(INDIRECT("PAJAK["&amp;KENKO[#Headers]&amp;"]"),KENKO[[#This Row],[//PAJAK]]-1))</f>
        <v>23010019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64896000</v>
      </c>
      <c r="J5" s="1">
        <f ca="1">IF(KENKO[[#This Row],[//PAJAK]]="","",INDEX(INDIRECT("PAJAK["&amp;KENKO[#Headers]&amp;"]"),KENKO[[#This Row],[//PAJAK]]-1))</f>
        <v>11032320</v>
      </c>
      <c r="K5" s="1">
        <f ca="1">(KENKO[[#This Row],[SUB TOTAL]]-KENKO[[#This Row],[DISKON]])/1.11</f>
        <v>48525837.83783783</v>
      </c>
      <c r="L5" s="1">
        <f ca="1">KENKO[[#This Row],[DPP]]*11%</f>
        <v>5337842.1621621614</v>
      </c>
      <c r="M5" s="1">
        <f ca="1">KENKO[[#This Row],[DPP]]+KENKO[[#This Row],[PPN (11%)]]</f>
        <v>53863679.999999993</v>
      </c>
      <c r="N5" s="1" t="str">
        <f ca="1">INDEX(PAJAK[ID_P],MATCH(KENKO[[#This Row],[ID]],PAJAK[ID],0))</f>
        <v>KEN_0501_019-8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10</v>
      </c>
      <c r="C6" s="7">
        <f ca="1">HYPERLINK("[NOTA_.xlsx]PAJAK!b"&amp;KENKO[[#This Row],[//PAJAK]],IF(KENKO[[#This Row],[//PAJAK]]="","",INDEX(INDIRECT("PAJAK["&amp;KENKO[#Headers]&amp;"]"),KENKO[[#This Row],[//PAJAK]]-1)))</f>
        <v>36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44935</v>
      </c>
      <c r="F6" s="2">
        <f ca="1">IF(KENKO[[#This Row],[//PAJAK]]="","",INDEX(INDIRECT("PAJAK["&amp;KENKO[#Headers]&amp;"]"),KENKO[[#This Row],[//PAJAK]]-1))</f>
        <v>44933</v>
      </c>
      <c r="G6" s="9" t="str">
        <f ca="1">IF(KENKO[[#This Row],[//PAJAK]]="","",INDEX(INDIRECT("PAJAK["&amp;KENKO[#Headers]&amp;"]"),KENKO[[#This Row],[//PAJAK]]-1))</f>
        <v>23010463</v>
      </c>
      <c r="H6" s="3" t="str">
        <f ca="1">IF(KENKO[[#This Row],[//PAJAK]]="","",INDEX(INDIRECT("PAJAK["&amp;KENKO[#Headers]&amp;"]"),KENKO[[#This Row],[//PAJAK]]-1))</f>
        <v>SA 39404</v>
      </c>
      <c r="I6" s="1">
        <f ca="1">IF(KENKO[[#This Row],[//PAJAK]]="","",INDEX(INDIRECT("PAJAK["&amp;KENKO[#Headers]&amp;"]"),KENKO[[#This Row],[//PAJAK]]-1))</f>
        <v>62796800</v>
      </c>
      <c r="J6" s="1">
        <f ca="1">IF(KENKO[[#This Row],[//PAJAK]]="","",INDEX(INDIRECT("PAJAK["&amp;KENKO[#Headers]&amp;"]"),KENKO[[#This Row],[//PAJAK]]-1))</f>
        <v>10675456</v>
      </c>
      <c r="K6" s="1">
        <f ca="1">(KENKO[[#This Row],[SUB TOTAL]]-KENKO[[#This Row],[DISKON]])/1.11</f>
        <v>46956165.765765764</v>
      </c>
      <c r="L6" s="1">
        <f ca="1">KENKO[[#This Row],[DPP]]*11%</f>
        <v>5165178.2342342343</v>
      </c>
      <c r="M6" s="1">
        <f ca="1">KENKO[[#This Row],[DPP]]+KENKO[[#This Row],[PPN (11%)]]</f>
        <v>52121344</v>
      </c>
      <c r="N6" s="1" t="str">
        <f ca="1">INDEX(PAJAK[ID_P],MATCH(KENKO[[#This Row],[ID]],PAJAK[ID],0))</f>
        <v>KEN_0901_463-6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11</v>
      </c>
      <c r="C7" s="7">
        <f ca="1">HYPERLINK("[NOTA_.xlsx]PAJAK!b"&amp;KENKO[[#This Row],[//PAJAK]],IF(KENKO[[#This Row],[//PAJAK]]="","",INDEX(INDIRECT("PAJAK["&amp;KENKO[#Headers]&amp;"]"),KENKO[[#This Row],[//PAJAK]]-1)))</f>
        <v>37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44935</v>
      </c>
      <c r="F7" s="2">
        <f ca="1">IF(KENKO[[#This Row],[//PAJAK]]="","",INDEX(INDIRECT("PAJAK["&amp;KENKO[#Headers]&amp;"]"),KENKO[[#This Row],[//PAJAK]]-1))</f>
        <v>44933</v>
      </c>
      <c r="G7" s="9" t="str">
        <f ca="1">IF(KENKO[[#This Row],[//PAJAK]]="","",INDEX(INDIRECT("PAJAK["&amp;KENKO[#Headers]&amp;"]"),KENKO[[#This Row],[//PAJAK]]-1))</f>
        <v>23010446</v>
      </c>
      <c r="H7" s="3" t="str">
        <f ca="1">IF(KENKO[[#This Row],[//PAJAK]]="","",INDEX(INDIRECT("PAJAK["&amp;KENKO[#Headers]&amp;"]"),KENKO[[#This Row],[//PAJAK]]-1))</f>
        <v>SA 39399</v>
      </c>
      <c r="I7" s="1">
        <f ca="1">IF(KENKO[[#This Row],[//PAJAK]]="","",INDEX(INDIRECT("PAJAK["&amp;KENKO[#Headers]&amp;"]"),KENKO[[#This Row],[//PAJAK]]-1))</f>
        <v>68415200</v>
      </c>
      <c r="J7" s="1">
        <f ca="1">IF(KENKO[[#This Row],[//PAJAK]]="","",INDEX(INDIRECT("PAJAK["&amp;KENKO[#Headers]&amp;"]"),KENKO[[#This Row],[//PAJAK]]-1))</f>
        <v>11630584</v>
      </c>
      <c r="K7" s="1">
        <f ca="1">(KENKO[[#This Row],[SUB TOTAL]]-KENKO[[#This Row],[DISKON]])/1.11</f>
        <v>51157311.711711705</v>
      </c>
      <c r="L7" s="1">
        <f ca="1">KENKO[[#This Row],[DPP]]*11%</f>
        <v>5627304.2882882878</v>
      </c>
      <c r="M7" s="1">
        <f ca="1">KENKO[[#This Row],[DPP]]+KENKO[[#This Row],[PPN (11%)]]</f>
        <v>56784615.999999993</v>
      </c>
      <c r="N7" s="1" t="str">
        <f ca="1">INDEX(PAJAK[ID_P],MATCH(KENKO[[#This Row],[ID]],PAJAK[ID],0))</f>
        <v>KEN_0901_446-10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176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12</v>
      </c>
      <c r="C8" s="7">
        <f ca="1">HYPERLINK("[NOTA_.xlsx]PAJAK!b"&amp;KENKO[[#This Row],[//PAJAK]],IF(KENKO[[#This Row],[//PAJAK]]="","",INDEX(INDIRECT("PAJAK["&amp;KENKO[#Headers]&amp;"]"),KENKO[[#This Row],[//PAJAK]]-1)))</f>
        <v>38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44935</v>
      </c>
      <c r="F8" s="2">
        <f ca="1">IF(KENKO[[#This Row],[//PAJAK]]="","",INDEX(INDIRECT("PAJAK["&amp;KENKO[#Headers]&amp;"]"),KENKO[[#This Row],[//PAJAK]]-1))</f>
        <v>44933</v>
      </c>
      <c r="G8" s="9" t="str">
        <f ca="1">IF(KENKO[[#This Row],[//PAJAK]]="","",INDEX(INDIRECT("PAJAK["&amp;KENKO[#Headers]&amp;"]"),KENKO[[#This Row],[//PAJAK]]-1))</f>
        <v>23010447</v>
      </c>
      <c r="H8" s="3" t="str">
        <f ca="1">IF(KENKO[[#This Row],[//PAJAK]]="","",INDEX(INDIRECT("PAJAK["&amp;KENKO[#Headers]&amp;"]"),KENKO[[#This Row],[//PAJAK]]-1))</f>
        <v>SA 39400</v>
      </c>
      <c r="I8" s="1">
        <f ca="1">IF(KENKO[[#This Row],[//PAJAK]]="","",INDEX(INDIRECT("PAJAK["&amp;KENKO[#Headers]&amp;"]"),KENKO[[#This Row],[//PAJAK]]-1))</f>
        <v>18692200</v>
      </c>
      <c r="J8" s="1">
        <f ca="1">IF(KENKO[[#This Row],[//PAJAK]]="","",INDEX(INDIRECT("PAJAK["&amp;KENKO[#Headers]&amp;"]"),KENKO[[#This Row],[//PAJAK]]-1))</f>
        <v>3177674</v>
      </c>
      <c r="K8" s="1">
        <f ca="1">(KENKO[[#This Row],[SUB TOTAL]]-KENKO[[#This Row],[DISKON]])/1.11</f>
        <v>13977050.450450448</v>
      </c>
      <c r="L8" s="1">
        <f ca="1">KENKO[[#This Row],[DPP]]*11%</f>
        <v>1537475.5495495494</v>
      </c>
      <c r="M8" s="1">
        <f ca="1">KENKO[[#This Row],[DPP]]+KENKO[[#This Row],[PPN (11%)]]</f>
        <v>15514525.999999998</v>
      </c>
      <c r="N8" s="1" t="str">
        <f ca="1">INDEX(PAJAK[ID_P],MATCH(KENKO[[#This Row],[ID]],PAJAK[ID],0))</f>
        <v>KEN_0901_447-9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13</v>
      </c>
      <c r="C9" s="12">
        <f ca="1">HYPERLINK("[NOTA_.xlsx]PAJAK!b"&amp;KENKO[[#This Row],[//PAJAK]],IF(KENKO[[#This Row],[//PAJAK]]="","",INDEX(INDIRECT("PAJAK["&amp;KENKO[#Headers]&amp;"]"),KENKO[[#This Row],[//PAJAK]]-1)))</f>
        <v>39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44935</v>
      </c>
      <c r="F9" s="2">
        <f ca="1">IF(KENKO[[#This Row],[//PAJAK]]="","",INDEX(INDIRECT("PAJAK["&amp;KENKO[#Headers]&amp;"]"),KENKO[[#This Row],[//PAJAK]]-1))</f>
        <v>44933</v>
      </c>
      <c r="G9" s="9" t="str">
        <f ca="1">IF(KENKO[[#This Row],[//PAJAK]]="","",INDEX(INDIRECT("PAJAK["&amp;KENKO[#Headers]&amp;"]"),KENKO[[#This Row],[//PAJAK]]-1))</f>
        <v>23010462</v>
      </c>
      <c r="H9" s="3" t="str">
        <f ca="1">IF(KENKO[[#This Row],[//PAJAK]]="","",INDEX(INDIRECT("PAJAK["&amp;KENKO[#Headers]&amp;"]"),KENKO[[#This Row],[//PAJAK]]-1))</f>
        <v>SA 39403</v>
      </c>
      <c r="I9" s="1">
        <f ca="1">IF(KENKO[[#This Row],[//PAJAK]]="","",INDEX(INDIRECT("PAJAK["&amp;KENKO[#Headers]&amp;"]"),KENKO[[#This Row],[//PAJAK]]-1))</f>
        <v>21766600</v>
      </c>
      <c r="J9" s="1">
        <f ca="1">IF(KENKO[[#This Row],[//PAJAK]]="","",INDEX(INDIRECT("PAJAK["&amp;KENKO[#Headers]&amp;"]"),KENKO[[#This Row],[//PAJAK]]-1))</f>
        <v>3700322</v>
      </c>
      <c r="K9" s="1">
        <f ca="1">(KENKO[[#This Row],[SUB TOTAL]]-KENKO[[#This Row],[DISKON]])/1.11</f>
        <v>16275926.126126125</v>
      </c>
      <c r="L9" s="1">
        <f ca="1">KENKO[[#This Row],[DPP]]*11%</f>
        <v>1790351.8738738738</v>
      </c>
      <c r="M9" s="1">
        <f ca="1">KENKO[[#This Row],[DPP]]+KENKO[[#This Row],[PPN (11%)]]</f>
        <v>18066278</v>
      </c>
      <c r="N9" s="1" t="str">
        <f ca="1">INDEX(PAJAK[ID_P],MATCH(KENKO[[#This Row],[ID]],PAJAK[ID],0))</f>
        <v>KEN_0901_462-10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197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40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44935</v>
      </c>
      <c r="F10" s="2">
        <f ca="1">IF(KENKO[[#This Row],[//PAJAK]]="","",INDEX(INDIRECT("PAJAK["&amp;KENKO[#Headers]&amp;"]"),KENKO[[#This Row],[//PAJAK]]-1))</f>
        <v>44930</v>
      </c>
      <c r="G10" s="9" t="str">
        <f ca="1">IF(KENKO[[#This Row],[//PAJAK]]="","",INDEX(INDIRECT("PAJAK["&amp;KENKO[#Headers]&amp;"]"),KENKO[[#This Row],[//PAJAK]]-1))</f>
        <v>23010132</v>
      </c>
      <c r="H10" s="3" t="str">
        <f ca="1">IF(KENKO[[#This Row],[//PAJAK]]="","",INDEX(INDIRECT("PAJAK["&amp;KENKO[#Headers]&amp;"]"),KENKO[[#This Row],[//PAJAK]]-1))</f>
        <v>SA 39304</v>
      </c>
      <c r="I10" s="1">
        <f ca="1">IF(KENKO[[#This Row],[//PAJAK]]="","",INDEX(INDIRECT("PAJAK["&amp;KENKO[#Headers]&amp;"]"),KENKO[[#This Row],[//PAJAK]]-1))</f>
        <v>46848000</v>
      </c>
      <c r="J10" s="1">
        <f ca="1">IF(KENKO[[#This Row],[//PAJAK]]="","",INDEX(INDIRECT("PAJAK["&amp;KENKO[#Headers]&amp;"]"),KENKO[[#This Row],[//PAJAK]]-1))</f>
        <v>7964160</v>
      </c>
      <c r="K10" s="1">
        <f ca="1">(KENKO[[#This Row],[SUB TOTAL]]-KENKO[[#This Row],[DISKON]])/1.11</f>
        <v>35030486.486486487</v>
      </c>
      <c r="L10" s="1">
        <f ca="1">KENKO[[#This Row],[DPP]]*11%</f>
        <v>3853353.5135135134</v>
      </c>
      <c r="M10" s="1">
        <f ca="1">KENKO[[#This Row],[DPP]]+KENKO[[#This Row],[PPN (11%)]]</f>
        <v>38883840</v>
      </c>
      <c r="N10" s="1" t="str">
        <f ca="1">INDEX(PAJAK[ID_P],MATCH(KENKO[[#This Row],[ID]],PAJAK[ID],0))</f>
        <v>KEN_0901_132-3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201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15</v>
      </c>
      <c r="C11" s="7">
        <f ca="1">HYPERLINK("[NOTA_.xlsx]PAJAK!b"&amp;KENKO[[#This Row],[//PAJAK]],IF(KENKO[[#This Row],[//PAJAK]]="","",INDEX(INDIRECT("PAJAK["&amp;KENKO[#Headers]&amp;"]"),KENKO[[#This Row],[//PAJAK]]-1)))</f>
        <v>41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44935</v>
      </c>
      <c r="F11" s="2">
        <f ca="1">IF(KENKO[[#This Row],[//PAJAK]]="","",INDEX(INDIRECT("PAJAK["&amp;KENKO[#Headers]&amp;"]"),KENKO[[#This Row],[//PAJAK]]-1))</f>
        <v>44930</v>
      </c>
      <c r="G11" s="9" t="str">
        <f ca="1">IF(KENKO[[#This Row],[//PAJAK]]="","",INDEX(INDIRECT("PAJAK["&amp;KENKO[#Headers]&amp;"]"),KENKO[[#This Row],[//PAJAK]]-1))</f>
        <v>23010152</v>
      </c>
      <c r="H11" s="3" t="str">
        <f ca="1">IF(KENKO[[#This Row],[//PAJAK]]="","",INDEX(INDIRECT("PAJAK["&amp;KENKO[#Headers]&amp;"]"),KENKO[[#This Row],[//PAJAK]]-1))</f>
        <v>SA 39327</v>
      </c>
      <c r="I11" s="1">
        <f ca="1">IF(KENKO[[#This Row],[//PAJAK]]="","",INDEX(INDIRECT("PAJAK["&amp;KENKO[#Headers]&amp;"]"),KENKO[[#This Row],[//PAJAK]]-1))</f>
        <v>38163200</v>
      </c>
      <c r="J11" s="1">
        <f ca="1">IF(KENKO[[#This Row],[//PAJAK]]="","",INDEX(INDIRECT("PAJAK["&amp;KENKO[#Headers]&amp;"]"),KENKO[[#This Row],[//PAJAK]]-1))</f>
        <v>6487744</v>
      </c>
      <c r="K11" s="1">
        <f ca="1">(KENKO[[#This Row],[SUB TOTAL]]-KENKO[[#This Row],[DISKON]])/1.11</f>
        <v>28536446.846846845</v>
      </c>
      <c r="L11" s="1">
        <f ca="1">KENKO[[#This Row],[DPP]]*11%</f>
        <v>3139009.1531531531</v>
      </c>
      <c r="M11" s="1">
        <f ca="1">KENKO[[#This Row],[DPP]]+KENKO[[#This Row],[PPN (11%)]]</f>
        <v>31675456</v>
      </c>
      <c r="N11" s="1" t="str">
        <f ca="1">INDEX(PAJAK[ID_P],MATCH(KENKO[[#This Row],[ID]],PAJAK[ID],0))</f>
        <v>KEN_0901_152-9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211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16</v>
      </c>
      <c r="C12" s="7">
        <f ca="1">HYPERLINK("[NOTA_.xlsx]PAJAK!b"&amp;KENKO[[#This Row],[//PAJAK]],IF(KENKO[[#This Row],[//PAJAK]]="","",INDEX(INDIRECT("PAJAK["&amp;KENKO[#Headers]&amp;"]"),KENKO[[#This Row],[//PAJAK]]-1)))</f>
        <v>42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44935</v>
      </c>
      <c r="F12" s="2">
        <f ca="1">IF(KENKO[[#This Row],[//PAJAK]]="","",INDEX(INDIRECT("PAJAK["&amp;KENKO[#Headers]&amp;"]"),KENKO[[#This Row],[//PAJAK]]-1))</f>
        <v>44931</v>
      </c>
      <c r="G12" s="9" t="str">
        <f ca="1">IF(KENKO[[#This Row],[//PAJAK]]="","",INDEX(INDIRECT("PAJAK["&amp;KENKO[#Headers]&amp;"]"),KENKO[[#This Row],[//PAJAK]]-1))</f>
        <v>23010249</v>
      </c>
      <c r="H12" s="3" t="str">
        <f ca="1">IF(KENKO[[#This Row],[//PAJAK]]="","",INDEX(INDIRECT("PAJAK["&amp;KENKO[#Headers]&amp;"]"),KENKO[[#This Row],[//PAJAK]]-1))</f>
        <v>SA 39358</v>
      </c>
      <c r="I12" s="1">
        <f ca="1">IF(KENKO[[#This Row],[//PAJAK]]="","",INDEX(INDIRECT("PAJAK["&amp;KENKO[#Headers]&amp;"]"),KENKO[[#This Row],[//PAJAK]]-1))</f>
        <v>10854000</v>
      </c>
      <c r="J12" s="1">
        <f ca="1">IF(KENKO[[#This Row],[//PAJAK]]="","",INDEX(INDIRECT("PAJAK["&amp;KENKO[#Headers]&amp;"]"),KENKO[[#This Row],[//PAJAK]]-1))</f>
        <v>1845180.0000000002</v>
      </c>
      <c r="K12" s="1">
        <f ca="1">(KENKO[[#This Row],[SUB TOTAL]]-KENKO[[#This Row],[DISKON]])/1.11</f>
        <v>8116054.0540540535</v>
      </c>
      <c r="L12" s="1">
        <f ca="1">KENKO[[#This Row],[DPP]]*11%</f>
        <v>892765.94594594592</v>
      </c>
      <c r="M12" s="1">
        <f ca="1">KENKO[[#This Row],[DPP]]+KENKO[[#This Row],[PPN (11%)]]</f>
        <v>9008820</v>
      </c>
      <c r="N12" s="1" t="str">
        <f ca="1">INDEX(PAJAK[ID_P],MATCH(KENKO[[#This Row],[ID]],PAJAK[ID],0))</f>
        <v>KEN_0901_249-1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213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17</v>
      </c>
      <c r="C13" s="12">
        <f ca="1">HYPERLINK("[NOTA_.xlsx]PAJAK!b"&amp;KENKO[[#This Row],[//PAJAK]],IF(KENKO[[#This Row],[//PAJAK]]="","",INDEX(INDIRECT("PAJAK["&amp;KENKO[#Headers]&amp;"]"),KENKO[[#This Row],[//PAJAK]]-1)))</f>
        <v>43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44935</v>
      </c>
      <c r="F13" s="2">
        <f ca="1">IF(KENKO[[#This Row],[//PAJAK]]="","",INDEX(INDIRECT("PAJAK["&amp;KENKO[#Headers]&amp;"]"),KENKO[[#This Row],[//PAJAK]]-1))</f>
        <v>44931</v>
      </c>
      <c r="G13" s="6" t="str">
        <f ca="1">IF(KENKO[[#This Row],[//PAJAK]]="","",INDEX(INDIRECT("PAJAK["&amp;KENKO[#Headers]&amp;"]"),KENKO[[#This Row],[//PAJAK]]-1))</f>
        <v>23010211</v>
      </c>
      <c r="H13" t="str">
        <f ca="1">IF(KENKO[[#This Row],[//PAJAK]]="","",INDEX(INDIRECT("PAJAK["&amp;KENKO[#Headers]&amp;"]"),KENKO[[#This Row],[//PAJAK]]-1))</f>
        <v>SA 39328</v>
      </c>
      <c r="I13" s="1">
        <f ca="1">IF(KENKO[[#This Row],[//PAJAK]]="","",INDEX(INDIRECT("PAJAK["&amp;KENKO[#Headers]&amp;"]"),KENKO[[#This Row],[//PAJAK]]-1))</f>
        <v>25041600</v>
      </c>
      <c r="J13" s="1">
        <f ca="1">IF(KENKO[[#This Row],[//PAJAK]]="","",INDEX(INDIRECT("PAJAK["&amp;KENKO[#Headers]&amp;"]"),KENKO[[#This Row],[//PAJAK]]-1))</f>
        <v>4257072</v>
      </c>
      <c r="K13" s="1">
        <f ca="1">(KENKO[[#This Row],[SUB TOTAL]]-KENKO[[#This Row],[DISKON]])/1.11</f>
        <v>18724800</v>
      </c>
      <c r="L13" s="1">
        <f ca="1">KENKO[[#This Row],[DPP]]*11%</f>
        <v>2059728</v>
      </c>
      <c r="M13" s="1">
        <f ca="1">KENKO[[#This Row],[DPP]]+KENKO[[#This Row],[PPN (11%)]]</f>
        <v>20784528</v>
      </c>
      <c r="N13" s="1" t="str">
        <f ca="1">INDEX(PAJAK[ID_P],MATCH(KENKO[[#This Row],[ID]],PAJAK[ID],0))</f>
        <v>KEN_0901_211-7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221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18</v>
      </c>
      <c r="C14" s="12">
        <f ca="1">HYPERLINK("[NOTA_.xlsx]PAJAK!b"&amp;KENKO[[#This Row],[//PAJAK]],IF(KENKO[[#This Row],[//PAJAK]]="","",INDEX(INDIRECT("PAJAK["&amp;KENKO[#Headers]&amp;"]"),KENKO[[#This Row],[//PAJAK]]-1)))</f>
        <v>44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44935</v>
      </c>
      <c r="F14" s="2">
        <f ca="1">IF(KENKO[[#This Row],[//PAJAK]]="","",INDEX(INDIRECT("PAJAK["&amp;KENKO[#Headers]&amp;"]"),KENKO[[#This Row],[//PAJAK]]-1))</f>
        <v>44932</v>
      </c>
      <c r="G14" s="6" t="str">
        <f ca="1">IF(KENKO[[#This Row],[//PAJAK]]="","",INDEX(INDIRECT("PAJAK["&amp;KENKO[#Headers]&amp;"]"),KENKO[[#This Row],[//PAJAK]]-1))</f>
        <v>23010343</v>
      </c>
      <c r="H14" t="str">
        <f ca="1">IF(KENKO[[#This Row],[//PAJAK]]="","",INDEX(INDIRECT("PAJAK["&amp;KENKO[#Headers]&amp;"]"),KENKO[[#This Row],[//PAJAK]]-1))</f>
        <v>SA 39372</v>
      </c>
      <c r="I14" s="1">
        <f ca="1">IF(KENKO[[#This Row],[//PAJAK]]="","",INDEX(INDIRECT("PAJAK["&amp;KENKO[#Headers]&amp;"]"),KENKO[[#This Row],[//PAJAK]]-1))</f>
        <v>29440800</v>
      </c>
      <c r="J14" s="1">
        <f ca="1">IF(KENKO[[#This Row],[//PAJAK]]="","",INDEX(INDIRECT("PAJAK["&amp;KENKO[#Headers]&amp;"]"),KENKO[[#This Row],[//PAJAK]]-1))</f>
        <v>5004936.0000000009</v>
      </c>
      <c r="K14" s="1">
        <f ca="1">(KENKO[[#This Row],[SUB TOTAL]]-KENKO[[#This Row],[DISKON]])/1.11</f>
        <v>22014291.891891889</v>
      </c>
      <c r="L14" s="1">
        <f ca="1">KENKO[[#This Row],[DPP]]*11%</f>
        <v>2421572.1081081079</v>
      </c>
      <c r="M14" s="1">
        <f ca="1">KENKO[[#This Row],[DPP]]+KENKO[[#This Row],[PPN (11%)]]</f>
        <v>24435863.999999996</v>
      </c>
      <c r="N14" s="1" t="str">
        <f ca="1">INDEX(PAJAK[ID_P],MATCH(KENKO[[#This Row],[ID]],PAJAK[ID],0))</f>
        <v>KEN_0901_343-4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12">
        <f ca="1">HYPERLINK("[NOTA_.xlsx]PAJAK!b"&amp;KENKO[[#This Row],[//PAJAK]],IF(KENKO[[#This Row],[//PAJAK]]="","",INDEX(INDIRECT("PAJAK["&amp;KENKO[#Headers]&amp;"]"),KENKO[[#This Row],[//PAJAK]]-1)))</f>
        <v>45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44935</v>
      </c>
      <c r="F15" s="2">
        <f ca="1">IF(KENKO[[#This Row],[//PAJAK]]="","",INDEX(INDIRECT("PAJAK["&amp;KENKO[#Headers]&amp;"]"),KENKO[[#This Row],[//PAJAK]]-1))</f>
        <v>44932</v>
      </c>
      <c r="G15" s="6" t="str">
        <f ca="1">IF(KENKO[[#This Row],[//PAJAK]]="","",INDEX(INDIRECT("PAJAK["&amp;KENKO[#Headers]&amp;"]"),KENKO[[#This Row],[//PAJAK]]-1))</f>
        <v>23010336</v>
      </c>
      <c r="H15" t="str">
        <f ca="1">IF(KENKO[[#This Row],[//PAJAK]]="","",INDEX(INDIRECT("PAJAK["&amp;KENKO[#Headers]&amp;"]"),KENKO[[#This Row],[//PAJAK]]-1))</f>
        <v>SA 39358</v>
      </c>
      <c r="I15" s="1">
        <f ca="1">IF(KENKO[[#This Row],[//PAJAK]]="","",INDEX(INDIRECT("PAJAK["&amp;KENKO[#Headers]&amp;"]"),KENKO[[#This Row],[//PAJAK]]-1))</f>
        <v>49284000</v>
      </c>
      <c r="J15" s="1">
        <f ca="1">IF(KENKO[[#This Row],[//PAJAK]]="","",INDEX(INDIRECT("PAJAK["&amp;KENKO[#Headers]&amp;"]"),KENKO[[#This Row],[//PAJAK]]-1))</f>
        <v>8378280</v>
      </c>
      <c r="K15" s="1">
        <f ca="1">(KENKO[[#This Row],[SUB TOTAL]]-KENKO[[#This Row],[DISKON]])/1.11</f>
        <v>36852000</v>
      </c>
      <c r="L15" s="1">
        <f ca="1">KENKO[[#This Row],[DPP]]*11%</f>
        <v>4053720</v>
      </c>
      <c r="M15" s="1">
        <f ca="1">KENKO[[#This Row],[DPP]]+KENKO[[#This Row],[PPN (11%)]]</f>
        <v>40905720</v>
      </c>
      <c r="N15" s="1" t="str">
        <f ca="1">INDEX(PAJAK[ID_P],MATCH(KENKO[[#This Row],[ID]],PAJAK[ID],0))</f>
        <v>KEN_0901_336-10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297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57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44937</v>
      </c>
      <c r="F16" s="2">
        <f ca="1">IF(KENKO[[#This Row],[//PAJAK]]="","",INDEX(INDIRECT("PAJAK["&amp;KENKO[#Headers]&amp;"]"),KENKO[[#This Row],[//PAJAK]]-1))</f>
        <v>44935</v>
      </c>
      <c r="G16" s="9" t="str">
        <f ca="1">IF(KENKO[[#This Row],[//PAJAK]]="","",INDEX(INDIRECT("PAJAK["&amp;KENKO[#Headers]&amp;"]"),KENKO[[#This Row],[//PAJAK]]-1))</f>
        <v>23010542</v>
      </c>
      <c r="H16" s="3" t="str">
        <f ca="1">IF(KENKO[[#This Row],[//PAJAK]]="","",INDEX(INDIRECT("PAJAK["&amp;KENKO[#Headers]&amp;"]"),KENKO[[#This Row],[//PAJAK]]-1))</f>
        <v>SA 39419</v>
      </c>
      <c r="I16" s="1">
        <f ca="1">IF(KENKO[[#This Row],[//PAJAK]]="","",INDEX(INDIRECT("PAJAK["&amp;KENKO[#Headers]&amp;"]"),KENKO[[#This Row],[//PAJAK]]-1))</f>
        <v>66351200</v>
      </c>
      <c r="J16" s="1">
        <f ca="1">IF(KENKO[[#This Row],[//PAJAK]]="","",INDEX(INDIRECT("PAJAK["&amp;KENKO[#Headers]&amp;"]"),KENKO[[#This Row],[//PAJAK]]-1))</f>
        <v>11279704</v>
      </c>
      <c r="K16" s="1">
        <f ca="1">(KENKO[[#This Row],[SUB TOTAL]]-KENKO[[#This Row],[DISKON]])/1.11</f>
        <v>49613960.360360354</v>
      </c>
      <c r="L16" s="1">
        <f ca="1">KENKO[[#This Row],[DPP]]*11%</f>
        <v>5457535.6396396393</v>
      </c>
      <c r="M16" s="1">
        <f ca="1">KENKO[[#This Row],[DPP]]+KENKO[[#This Row],[PPN (11%)]]</f>
        <v>55071495.999999993</v>
      </c>
      <c r="N16" s="1" t="str">
        <f ca="1">INDEX(PAJAK[ID_P],MATCH(KENKO[[#This Row],[ID]],PAJAK[ID],0))</f>
        <v>KEN_1101_542-9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307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58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44937</v>
      </c>
      <c r="F17" s="2">
        <f ca="1">IF(KENKO[[#This Row],[//PAJAK]]="","",INDEX(INDIRECT("PAJAK["&amp;KENKO[#Headers]&amp;"]"),KENKO[[#This Row],[//PAJAK]]-1))</f>
        <v>44935</v>
      </c>
      <c r="G17" s="6" t="str">
        <f ca="1">IF(KENKO[[#This Row],[//PAJAK]]="","",INDEX(INDIRECT("PAJAK["&amp;KENKO[#Headers]&amp;"]"),KENKO[[#This Row],[//PAJAK]]-1))</f>
        <v>23010528</v>
      </c>
      <c r="H17" t="str">
        <f ca="1">IF(KENKO[[#This Row],[//PAJAK]]="","",INDEX(INDIRECT("PAJAK["&amp;KENKO[#Headers]&amp;"]"),KENKO[[#This Row],[//PAJAK]]-1))</f>
        <v>SA 39409</v>
      </c>
      <c r="I17" s="1">
        <f ca="1">IF(KENKO[[#This Row],[//PAJAK]]="","",INDEX(INDIRECT("PAJAK["&amp;KENKO[#Headers]&amp;"]"),KENKO[[#This Row],[//PAJAK]]-1))</f>
        <v>11064000</v>
      </c>
      <c r="J17" s="1">
        <f ca="1">IF(KENKO[[#This Row],[//PAJAK]]="","",INDEX(INDIRECT("PAJAK["&amp;KENKO[#Headers]&amp;"]"),KENKO[[#This Row],[//PAJAK]]-1))</f>
        <v>1880880.0000000002</v>
      </c>
      <c r="K17" s="1">
        <f ca="1">(KENKO[[#This Row],[SUB TOTAL]]-KENKO[[#This Row],[DISKON]])/1.11</f>
        <v>8273081.0810810803</v>
      </c>
      <c r="L17" s="1">
        <f ca="1">KENKO[[#This Row],[DPP]]*11%</f>
        <v>910038.91891891882</v>
      </c>
      <c r="M17" s="1">
        <f ca="1">KENKO[[#This Row],[DPP]]+KENKO[[#This Row],[PPN (11%)]]</f>
        <v>9183120</v>
      </c>
      <c r="N17" s="1" t="str">
        <f ca="1">INDEX(PAJAK[ID_P],MATCH(KENKO[[#This Row],[ID]],PAJAK[ID],0))</f>
        <v>KEN_1101_528-2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359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31</v>
      </c>
      <c r="C18" s="7">
        <f ca="1">HYPERLINK("[NOTA_.xlsx]PAJAK!b"&amp;KENKO[[#This Row],[//PAJAK]],IF(KENKO[[#This Row],[//PAJAK]]="","",INDEX(INDIRECT("PAJAK["&amp;KENKO[#Headers]&amp;"]"),KENKO[[#This Row],[//PAJAK]]-1)))</f>
        <v>69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44938</v>
      </c>
      <c r="F18" s="2">
        <f ca="1">IF(KENKO[[#This Row],[//PAJAK]]="","",INDEX(INDIRECT("PAJAK["&amp;KENKO[#Headers]&amp;"]"),KENKO[[#This Row],[//PAJAK]]-1))</f>
        <v>44936</v>
      </c>
      <c r="G18" s="9" t="str">
        <f ca="1">IF(KENKO[[#This Row],[//PAJAK]]="","",INDEX(INDIRECT("PAJAK["&amp;KENKO[#Headers]&amp;"]"),KENKO[[#This Row],[//PAJAK]]-1))</f>
        <v>23010574</v>
      </c>
      <c r="H18" s="3" t="str">
        <f ca="1">IF(KENKO[[#This Row],[//PAJAK]]="","",INDEX(INDIRECT("PAJAK["&amp;KENKO[#Headers]&amp;"]"),KENKO[[#This Row],[//PAJAK]]-1))</f>
        <v>SA 39427</v>
      </c>
      <c r="I18" s="1">
        <f ca="1">IF(KENKO[[#This Row],[//PAJAK]]="","",INDEX(INDIRECT("PAJAK["&amp;KENKO[#Headers]&amp;"]"),KENKO[[#This Row],[//PAJAK]]-1))</f>
        <v>19532000</v>
      </c>
      <c r="J18" s="1">
        <f ca="1">IF(KENKO[[#This Row],[//PAJAK]]="","",INDEX(INDIRECT("PAJAK["&amp;KENKO[#Headers]&amp;"]"),KENKO[[#This Row],[//PAJAK]]-1))</f>
        <v>3320440</v>
      </c>
      <c r="K18" s="1">
        <f ca="1">(KENKO[[#This Row],[SUB TOTAL]]-KENKO[[#This Row],[DISKON]])/1.11</f>
        <v>14605009.009009007</v>
      </c>
      <c r="L18" s="1">
        <f ca="1">KENKO[[#This Row],[DPP]]*11%</f>
        <v>1606550.9909909908</v>
      </c>
      <c r="M18" s="1">
        <f ca="1">KENKO[[#This Row],[DPP]]+KENKO[[#This Row],[PPN (11%)]]</f>
        <v>16211559.999999998</v>
      </c>
      <c r="N18" s="1" t="str">
        <f ca="1">INDEX(PAJAK[ID_P],MATCH(KENKO[[#This Row],[ID]],PAJAK[ID],0))</f>
        <v>KEN_1201_574-10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HYPERLINK("[NOTA_.xlsx]PAJAK!b"&amp;KENKO[[#This Row],[//PAJAK]],IF(KENKO[[#This Row],[//PAJAK]]="","",INDEX(INDIRECT("PAJAK["&amp;KENKO[#Headers]&amp;"]"),KENKO[[#This Row],[//PAJAK]]-1)))</f>
        <v>70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44938</v>
      </c>
      <c r="F19" s="2">
        <f ca="1">IF(KENKO[[#This Row],[//PAJAK]]="","",INDEX(INDIRECT("PAJAK["&amp;KENKO[#Headers]&amp;"]"),KENKO[[#This Row],[//PAJAK]]-1))</f>
        <v>44936</v>
      </c>
      <c r="G19" s="6" t="str">
        <f ca="1">IF(KENKO[[#This Row],[//PAJAK]]="","",INDEX(INDIRECT("PAJAK["&amp;KENKO[#Headers]&amp;"]"),KENKO[[#This Row],[//PAJAK]]-1))</f>
        <v>23010575</v>
      </c>
      <c r="H19" t="str">
        <f ca="1">IF(KENKO[[#This Row],[//PAJAK]]="","",INDEX(INDIRECT("PAJAK["&amp;KENKO[#Headers]&amp;"]"),KENKO[[#This Row],[//PAJAK]]-1))</f>
        <v>SA 39433</v>
      </c>
      <c r="I19" s="1">
        <f ca="1">IF(KENKO[[#This Row],[//PAJAK]]="","",INDEX(INDIRECT("PAJAK["&amp;KENKO[#Headers]&amp;"]"),KENKO[[#This Row],[//PAJAK]]-1))</f>
        <v>8280000</v>
      </c>
      <c r="J19" s="1">
        <f ca="1">IF(KENKO[[#This Row],[//PAJAK]]="","",INDEX(INDIRECT("PAJAK["&amp;KENKO[#Headers]&amp;"]"),KENKO[[#This Row],[//PAJAK]]-1))</f>
        <v>1407600</v>
      </c>
      <c r="K19" s="1">
        <f ca="1">(KENKO[[#This Row],[SUB TOTAL]]-KENKO[[#This Row],[DISKON]])/1.11</f>
        <v>6191351.3513513505</v>
      </c>
      <c r="L19" s="1">
        <f ca="1">KENKO[[#This Row],[DPP]]*11%</f>
        <v>681048.64864864852</v>
      </c>
      <c r="M19" s="1">
        <f ca="1">KENKO[[#This Row],[DPP]]+KENKO[[#This Row],[PPN (11%)]]</f>
        <v>6872399.9999999991</v>
      </c>
      <c r="N19" s="1" t="str">
        <f ca="1">INDEX(PAJAK[ID_P],MATCH(KENKO[[#This Row],[ID]],PAJAK[ID],0))</f>
        <v>KEN_1201_575-2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33</v>
      </c>
      <c r="C20" s="7">
        <f ca="1">HYPERLINK("[NOTA_.xlsx]PAJAK!b"&amp;KENKO[[#This Row],[//PAJAK]],IF(KENKO[[#This Row],[//PAJAK]]="","",INDEX(INDIRECT("PAJAK["&amp;KENKO[#Headers]&amp;"]"),KENKO[[#This Row],[//PAJAK]]-1)))</f>
        <v>72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44938</v>
      </c>
      <c r="F20" s="2">
        <f ca="1">IF(KENKO[[#This Row],[//PAJAK]]="","",INDEX(INDIRECT("PAJAK["&amp;KENKO[#Headers]&amp;"]"),KENKO[[#This Row],[//PAJAK]]-1))</f>
        <v>0</v>
      </c>
      <c r="G20" s="9">
        <f ca="1">IF(KENKO[[#This Row],[//PAJAK]]="","",INDEX(INDIRECT("PAJAK["&amp;KENKO[#Headers]&amp;"]"),KENKO[[#This Row],[//PAJAK]]-1))</f>
        <v>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27621600</v>
      </c>
      <c r="J20" s="1">
        <f ca="1">IF(KENKO[[#This Row],[//PAJAK]]="","",INDEX(INDIRECT("PAJAK["&amp;KENKO[#Headers]&amp;"]"),KENKO[[#This Row],[//PAJAK]]-1))</f>
        <v>4695672</v>
      </c>
      <c r="K20" s="1">
        <f ca="1">(KENKO[[#This Row],[SUB TOTAL]]-KENKO[[#This Row],[DISKON]])/1.11</f>
        <v>20653989.189189188</v>
      </c>
      <c r="L20" s="1">
        <f ca="1">KENKO[[#This Row],[DPP]]*11%</f>
        <v>2271938.8108108109</v>
      </c>
      <c r="M20" s="1">
        <f ca="1">KENKO[[#This Row],[DPP]]+KENKO[[#This Row],[PPN (11%)]]</f>
        <v>22925928</v>
      </c>
      <c r="N20" s="1" t="str">
        <f ca="1">INDEX(PAJAK[ID_P],MATCH(KENKO[[#This Row],[ID]],PAJAK[ID],0))</f>
        <v>KEN_1201_-4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34</v>
      </c>
      <c r="C21" s="7">
        <f ca="1">HYPERLINK("[NOTA_.xlsx]PAJAK!b"&amp;KENKO[[#This Row],[//PAJAK]],IF(KENKO[[#This Row],[//PAJAK]]="","",INDEX(INDIRECT("PAJAK["&amp;KENKO[#Headers]&amp;"]"),KENKO[[#This Row],[//PAJAK]]-1)))</f>
        <v>73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44938</v>
      </c>
      <c r="F21" s="2">
        <f ca="1">IF(KENKO[[#This Row],[//PAJAK]]="","",INDEX(INDIRECT("PAJAK["&amp;KENKO[#Headers]&amp;"]"),KENKO[[#This Row],[//PAJAK]]-1))</f>
        <v>44938</v>
      </c>
      <c r="G21" s="9" t="str">
        <f ca="1">IF(KENKO[[#This Row],[//PAJAK]]="","",INDEX(INDIRECT("PAJAK["&amp;KENKO[#Headers]&amp;"]"),KENKO[[#This Row],[//PAJAK]]-1))</f>
        <v>23010775</v>
      </c>
      <c r="H21" s="3" t="str">
        <f ca="1">IF(KENKO[[#This Row],[//PAJAK]]="","",INDEX(INDIRECT("PAJAK["&amp;KENKO[#Headers]&amp;"]"),KENKO[[#This Row],[//PAJAK]]-1))</f>
        <v>SA 39467</v>
      </c>
      <c r="I21" s="1">
        <f ca="1">IF(KENKO[[#This Row],[//PAJAK]]="","",INDEX(INDIRECT("PAJAK["&amp;KENKO[#Headers]&amp;"]"),KENKO[[#This Row],[//PAJAK]]-1))</f>
        <v>30225600</v>
      </c>
      <c r="J21" s="1">
        <f ca="1">IF(KENKO[[#This Row],[//PAJAK]]="","",INDEX(INDIRECT("PAJAK["&amp;KENKO[#Headers]&amp;"]"),KENKO[[#This Row],[//PAJAK]]-1))</f>
        <v>5138352</v>
      </c>
      <c r="K21" s="1">
        <f ca="1">(KENKO[[#This Row],[SUB TOTAL]]-KENKO[[#This Row],[DISKON]])/1.11</f>
        <v>22601124.324324321</v>
      </c>
      <c r="L21" s="1">
        <f ca="1">KENKO[[#This Row],[DPP]]*11%</f>
        <v>2486123.6756756753</v>
      </c>
      <c r="M21" s="1">
        <f ca="1">KENKO[[#This Row],[DPP]]+KENKO[[#This Row],[PPN (11%)]]</f>
        <v>25087247.999999996</v>
      </c>
      <c r="N21" s="1" t="str">
        <f ca="1">INDEX(PAJAK[ID_P],MATCH(KENKO[[#This Row],[ID]],PAJAK[ID],0))</f>
        <v>KEN_1201_775-4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37</v>
      </c>
      <c r="C22" s="7">
        <f ca="1">HYPERLINK("[NOTA_.xlsx]PAJAK!b"&amp;KENKO[[#This Row],[//PAJAK]],IF(KENKO[[#This Row],[//PAJAK]]="","",INDEX(INDIRECT("PAJAK["&amp;KENKO[#Headers]&amp;"]"),KENKO[[#This Row],[//PAJAK]]-1)))</f>
        <v>81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44942</v>
      </c>
      <c r="F22" s="2">
        <f ca="1">IF(KENKO[[#This Row],[//PAJAK]]="","",INDEX(INDIRECT("PAJAK["&amp;KENKO[#Headers]&amp;"]"),KENKO[[#This Row],[//PAJAK]]-1))</f>
        <v>44939</v>
      </c>
      <c r="G22" s="9" t="str">
        <f ca="1">IF(KENKO[[#This Row],[//PAJAK]]="","",INDEX(INDIRECT("PAJAK["&amp;KENKO[#Headers]&amp;"]"),KENKO[[#This Row],[//PAJAK]]-1))</f>
        <v>23010870</v>
      </c>
      <c r="H22" s="3" t="str">
        <f ca="1">IF(KENKO[[#This Row],[//PAJAK]]="","",INDEX(INDIRECT("PAJAK["&amp;KENKO[#Headers]&amp;"]"),KENKO[[#This Row],[//PAJAK]]-1))</f>
        <v>SA 39502</v>
      </c>
      <c r="I22" s="1">
        <f ca="1">IF(KENKO[[#This Row],[//PAJAK]]="","",INDEX(INDIRECT("PAJAK["&amp;KENKO[#Headers]&amp;"]"),KENKO[[#This Row],[//PAJAK]]-1))</f>
        <v>67809600</v>
      </c>
      <c r="J22" s="1">
        <f ca="1">IF(KENKO[[#This Row],[//PAJAK]]="","",INDEX(INDIRECT("PAJAK["&amp;KENKO[#Headers]&amp;"]"),KENKO[[#This Row],[//PAJAK]]-1))</f>
        <v>11527632</v>
      </c>
      <c r="K22" s="1">
        <f ca="1">(KENKO[[#This Row],[SUB TOTAL]]-KENKO[[#This Row],[DISKON]])/1.11</f>
        <v>50704475.675675668</v>
      </c>
      <c r="L22" s="1">
        <f ca="1">KENKO[[#This Row],[DPP]]*11%</f>
        <v>5577492.3243243238</v>
      </c>
      <c r="M22" s="1">
        <f ca="1">KENKO[[#This Row],[DPP]]+KENKO[[#This Row],[PPN (11%)]]</f>
        <v>56281967.999999993</v>
      </c>
      <c r="N22" s="1" t="str">
        <f ca="1">INDEX(PAJAK[ID_P],MATCH(KENKO[[#This Row],[ID]],PAJAK[ID],0))</f>
        <v>KEN_1601_870-4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441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38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44942</v>
      </c>
      <c r="F23" s="2">
        <f ca="1">IF(KENKO[[#This Row],[//PAJAK]]="","",INDEX(INDIRECT("PAJAK["&amp;KENKO[#Headers]&amp;"]"),KENKO[[#This Row],[//PAJAK]]-1))</f>
        <v>44940</v>
      </c>
      <c r="G23" s="9" t="str">
        <f ca="1">IF(KENKO[[#This Row],[//PAJAK]]="","",INDEX(INDIRECT("PAJAK["&amp;KENKO[#Headers]&amp;"]"),KENKO[[#This Row],[//PAJAK]]-1))</f>
        <v>23010988</v>
      </c>
      <c r="H23" s="3" t="str">
        <f ca="1">IF(KENKO[[#This Row],[//PAJAK]]="","",INDEX(INDIRECT("PAJAK["&amp;KENKO[#Headers]&amp;"]"),KENKO[[#This Row],[//PAJAK]]-1))</f>
        <v>SA 39526</v>
      </c>
      <c r="I23" s="1">
        <f ca="1">IF(KENKO[[#This Row],[//PAJAK]]="","",INDEX(INDIRECT("PAJAK["&amp;KENKO[#Headers]&amp;"]"),KENKO[[#This Row],[//PAJAK]]-1))</f>
        <v>37649400</v>
      </c>
      <c r="J23" s="1">
        <f ca="1">IF(KENKO[[#This Row],[//PAJAK]]="","",INDEX(INDIRECT("PAJAK["&amp;KENKO[#Headers]&amp;"]"),KENKO[[#This Row],[//PAJAK]]-1))</f>
        <v>6400398</v>
      </c>
      <c r="K23" s="1">
        <f ca="1">(KENKO[[#This Row],[SUB TOTAL]]-KENKO[[#This Row],[DISKON]])/1.11</f>
        <v>28152254.054054052</v>
      </c>
      <c r="L23" s="1">
        <f ca="1">KENKO[[#This Row],[DPP]]*11%</f>
        <v>3096747.9459459456</v>
      </c>
      <c r="M23" s="1">
        <f ca="1">KENKO[[#This Row],[DPP]]+KENKO[[#This Row],[PPN (11%)]]</f>
        <v>31249001.999999996</v>
      </c>
      <c r="N23" s="1" t="str">
        <f ca="1">INDEX(PAJAK[ID_P],MATCH(KENKO[[#This Row],[ID]],PAJAK[ID],0))</f>
        <v>KEN_1601_988-4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48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44944</v>
      </c>
      <c r="F24" s="2">
        <f ca="1">IF(KENKO[[#This Row],[//PAJAK]]="","",INDEX(INDIRECT("PAJAK["&amp;KENKO[#Headers]&amp;"]"),KENKO[[#This Row],[//PAJAK]]-1))</f>
        <v>44942</v>
      </c>
      <c r="G24" s="9" t="str">
        <f ca="1">IF(KENKO[[#This Row],[//PAJAK]]="","",INDEX(INDIRECT("PAJAK["&amp;KENKO[#Headers]&amp;"]"),KENKO[[#This Row],[//PAJAK]]-1))</f>
        <v>23011110</v>
      </c>
      <c r="H24" s="3" t="str">
        <f ca="1">IF(KENKO[[#This Row],[//PAJAK]]="","",INDEX(INDIRECT("PAJAK["&amp;KENKO[#Headers]&amp;"]"),KENKO[[#This Row],[//PAJAK]]-1))</f>
        <v>SA 39546</v>
      </c>
      <c r="I24" s="1">
        <f ca="1">IF(KENKO[[#This Row],[//PAJAK]]="","",INDEX(INDIRECT("PAJAK["&amp;KENKO[#Headers]&amp;"]"),KENKO[[#This Row],[//PAJAK]]-1))</f>
        <v>13564800</v>
      </c>
      <c r="J24" s="1">
        <f ca="1">IF(KENKO[[#This Row],[//PAJAK]]="","",INDEX(INDIRECT("PAJAK["&amp;KENKO[#Headers]&amp;"]"),KENKO[[#This Row],[//PAJAK]]-1))</f>
        <v>2306016</v>
      </c>
      <c r="K24" s="1">
        <f ca="1">(KENKO[[#This Row],[SUB TOTAL]]-KENKO[[#This Row],[DISKON]])/1.11</f>
        <v>10143048.648648648</v>
      </c>
      <c r="L24" s="1">
        <f ca="1">KENKO[[#This Row],[DPP]]*11%</f>
        <v>1115735.3513513512</v>
      </c>
      <c r="M24" s="1">
        <f ca="1">KENKO[[#This Row],[DPP]]+KENKO[[#This Row],[PPN (11%)]]</f>
        <v>11258783.999999998</v>
      </c>
      <c r="N24" s="1" t="str">
        <f ca="1">INDEX(PAJAK[ID_P],MATCH(KENKO[[#This Row],[ID]],PAJAK[ID],0))</f>
        <v>KEN_1801_110-2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595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54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44946</v>
      </c>
      <c r="F25" s="2">
        <f ca="1">IF(KENKO[[#This Row],[//PAJAK]]="","",INDEX(INDIRECT("PAJAK["&amp;KENKO[#Headers]&amp;"]"),KENKO[[#This Row],[//PAJAK]]-1))</f>
        <v>44944</v>
      </c>
      <c r="G25" s="9" t="str">
        <f ca="1">IF(KENKO[[#This Row],[//PAJAK]]="","",INDEX(INDIRECT("PAJAK["&amp;KENKO[#Headers]&amp;"]"),KENKO[[#This Row],[//PAJAK]]-1))</f>
        <v>23011377</v>
      </c>
      <c r="H25" s="3" t="str">
        <f ca="1">IF(KENKO[[#This Row],[//PAJAK]]="","",INDEX(INDIRECT("PAJAK["&amp;KENKO[#Headers]&amp;"]"),KENKO[[#This Row],[//PAJAK]]-1))</f>
        <v>SA 39615</v>
      </c>
      <c r="I25" s="1">
        <f ca="1">IF(KENKO[[#This Row],[//PAJAK]]="","",INDEX(INDIRECT("PAJAK["&amp;KENKO[#Headers]&amp;"]"),KENKO[[#This Row],[//PAJAK]]-1))</f>
        <v>23928800</v>
      </c>
      <c r="J25" s="1">
        <f ca="1">IF(KENKO[[#This Row],[//PAJAK]]="","",INDEX(INDIRECT("PAJAK["&amp;KENKO[#Headers]&amp;"]"),KENKO[[#This Row],[//PAJAK]]-1))</f>
        <v>4067896.0000000009</v>
      </c>
      <c r="K25" s="1">
        <f ca="1">(KENKO[[#This Row],[SUB TOTAL]]-KENKO[[#This Row],[DISKON]])/1.11</f>
        <v>17892706.306306306</v>
      </c>
      <c r="L25" s="1">
        <f ca="1">KENKO[[#This Row],[DPP]]*11%</f>
        <v>1968197.6936936937</v>
      </c>
      <c r="M25" s="1">
        <f ca="1">KENKO[[#This Row],[DPP]]+KENKO[[#This Row],[PPN (11%)]]</f>
        <v>19860904</v>
      </c>
      <c r="N25" s="1" t="str">
        <f ca="1">INDEX(PAJAK[ID_P],MATCH(KENKO[[#This Row],[ID]],PAJAK[ID],0))</f>
        <v>KEN_2001_377-3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599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44946</v>
      </c>
      <c r="F26" s="2">
        <f ca="1">IF(KENKO[[#This Row],[//PAJAK]]="","",INDEX(INDIRECT("PAJAK["&amp;KENKO[#Headers]&amp;"]"),KENKO[[#This Row],[//PAJAK]]-1))</f>
        <v>44943</v>
      </c>
      <c r="G26" s="9" t="str">
        <f ca="1">IF(KENKO[[#This Row],[//PAJAK]]="","",INDEX(INDIRECT("PAJAK["&amp;KENKO[#Headers]&amp;"]"),KENKO[[#This Row],[//PAJAK]]-1))</f>
        <v>23011158</v>
      </c>
      <c r="H26" s="3" t="str">
        <f ca="1">IF(KENKO[[#This Row],[//PAJAK]]="","",INDEX(INDIRECT("PAJAK["&amp;KENKO[#Headers]&amp;"]"),KENKO[[#This Row],[//PAJAK]]-1))</f>
        <v>SA 39589</v>
      </c>
      <c r="I26" s="1">
        <f ca="1">IF(KENKO[[#This Row],[//PAJAK]]="","",INDEX(INDIRECT("PAJAK["&amp;KENKO[#Headers]&amp;"]"),KENKO[[#This Row],[//PAJAK]]-1))</f>
        <v>14688000</v>
      </c>
      <c r="J26" s="1">
        <f ca="1">IF(KENKO[[#This Row],[//PAJAK]]="","",INDEX(INDIRECT("PAJAK["&amp;KENKO[#Headers]&amp;"]"),KENKO[[#This Row],[//PAJAK]]-1))</f>
        <v>2496960</v>
      </c>
      <c r="K26" s="1">
        <f ca="1">(KENKO[[#This Row],[SUB TOTAL]]-KENKO[[#This Row],[DISKON]])/1.11</f>
        <v>10982918.918918919</v>
      </c>
      <c r="L26" s="1">
        <f ca="1">KENKO[[#This Row],[DPP]]*11%</f>
        <v>1208121.0810810812</v>
      </c>
      <c r="M26" s="1">
        <f ca="1">KENKO[[#This Row],[DPP]]+KENKO[[#This Row],[PPN (11%)]]</f>
        <v>12191040</v>
      </c>
      <c r="N26" s="1" t="str">
        <f ca="1">INDEX(PAJAK[ID_P],MATCH(KENKO[[#This Row],[ID]],PAJAK[ID],0))</f>
        <v>KEN_2001_158-2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64</v>
      </c>
      <c r="C27" s="7">
        <f ca="1">HYPERLINK("[NOTA_.xlsx]PAJAK!b"&amp;KENKO[[#This Row],[//PAJAK]],IF(KENKO[[#This Row],[//PAJAK]]="","",INDEX(INDIRECT("PAJAK["&amp;KENKO[#Headers]&amp;"]"),KENKO[[#This Row],[//PAJAK]]-1)))</f>
        <v>149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44954</v>
      </c>
      <c r="F27" s="2">
        <f ca="1">IF(KENKO[[#This Row],[//PAJAK]]="","",INDEX(INDIRECT("PAJAK["&amp;KENKO[#Headers]&amp;"]"),KENKO[[#This Row],[//PAJAK]]-1))</f>
        <v>0</v>
      </c>
      <c r="G27" s="9">
        <f ca="1">IF(KENKO[[#This Row],[//PAJAK]]="","",INDEX(INDIRECT("PAJAK["&amp;KENKO[#Headers]&amp;"]"),KENKO[[#This Row],[//PAJAK]]-1))</f>
        <v>0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60450000</v>
      </c>
      <c r="J27" s="1">
        <f ca="1">IF(KENKO[[#This Row],[//PAJAK]]="","",INDEX(INDIRECT("PAJAK["&amp;KENKO[#Headers]&amp;"]"),KENKO[[#This Row],[//PAJAK]]-1))</f>
        <v>10276500</v>
      </c>
      <c r="K27" s="1">
        <f ca="1">(KENKO[[#This Row],[SUB TOTAL]]-KENKO[[#This Row],[DISKON]])/1.11</f>
        <v>45201351.351351351</v>
      </c>
      <c r="L27" s="1">
        <f ca="1">KENKO[[#This Row],[DPP]]*11%</f>
        <v>4972148.6486486485</v>
      </c>
      <c r="M27" s="1">
        <f ca="1">KENKO[[#This Row],[DPP]]+KENKO[[#This Row],[PPN (11%)]]</f>
        <v>50173500</v>
      </c>
      <c r="N27" s="1" t="str">
        <f ca="1">INDEX(PAJAK[ID_P],MATCH(KENKO[[#This Row],[ID]],PAJAK[ID],0))</f>
        <v>KEN_2801_-6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782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65</v>
      </c>
      <c r="C28" s="7">
        <f ca="1">HYPERLINK("[NOTA_.xlsx]PAJAK!b"&amp;KENKO[[#This Row],[//PAJAK]],IF(KENKO[[#This Row],[//PAJAK]]="","",INDEX(INDIRECT("PAJAK["&amp;KENKO[#Headers]&amp;"]"),KENKO[[#This Row],[//PAJAK]]-1)))</f>
        <v>150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44954</v>
      </c>
      <c r="F28" s="2">
        <f ca="1">IF(KENKO[[#This Row],[//PAJAK]]="","",INDEX(INDIRECT("PAJAK["&amp;KENKO[#Headers]&amp;"]"),KENKO[[#This Row],[//PAJAK]]-1))</f>
        <v>0</v>
      </c>
      <c r="G28" s="9">
        <f ca="1">IF(KENKO[[#This Row],[//PAJAK]]="","",INDEX(INDIRECT("PAJAK["&amp;KENKO[#Headers]&amp;"]"),KENKO[[#This Row],[//PAJAK]]-1))</f>
        <v>0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52695400</v>
      </c>
      <c r="J28" s="1">
        <f ca="1">IF(KENKO[[#This Row],[//PAJAK]]="","",INDEX(INDIRECT("PAJAK["&amp;KENKO[#Headers]&amp;"]"),KENKO[[#This Row],[//PAJAK]]-1))</f>
        <v>8958218</v>
      </c>
      <c r="K28" s="1">
        <f ca="1">(KENKO[[#This Row],[SUB TOTAL]]-KENKO[[#This Row],[DISKON]])/1.11</f>
        <v>39402866.666666664</v>
      </c>
      <c r="L28" s="1">
        <f ca="1">KENKO[[#This Row],[DPP]]*11%</f>
        <v>4334315.333333333</v>
      </c>
      <c r="M28" s="1">
        <f ca="1">KENKO[[#This Row],[DPP]]+KENKO[[#This Row],[PPN (11%)]]</f>
        <v>43737182</v>
      </c>
      <c r="N28" s="1" t="str">
        <f ca="1">INDEX(PAJAK[ID_P],MATCH(KENKO[[#This Row],[ID]],PAJAK[ID],0))</f>
        <v>KEN_2801_-10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67</v>
      </c>
      <c r="C29" s="7">
        <f ca="1">HYPERLINK("[NOTA_.xlsx]PAJAK!b"&amp;KENKO[[#This Row],[//PAJAK]],IF(KENKO[[#This Row],[//PAJAK]]="","",INDEX(INDIRECT("PAJAK["&amp;KENKO[#Headers]&amp;"]"),KENKO[[#This Row],[//PAJAK]]-1)))</f>
        <v>152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44954</v>
      </c>
      <c r="F29" s="2">
        <f ca="1">IF(KENKO[[#This Row],[//PAJAK]]="","",INDEX(INDIRECT("PAJAK["&amp;KENKO[#Headers]&amp;"]"),KENKO[[#This Row],[//PAJAK]]-1))</f>
        <v>44952</v>
      </c>
      <c r="G29" s="9" t="str">
        <f ca="1">IF(KENKO[[#This Row],[//PAJAK]]="","",INDEX(INDIRECT("PAJAK["&amp;KENKO[#Headers]&amp;"]"),KENKO[[#This Row],[//PAJAK]]-1))</f>
        <v>23011764</v>
      </c>
      <c r="H29" s="3" t="str">
        <f ca="1">IF(KENKO[[#This Row],[//PAJAK]]="","",INDEX(INDIRECT("PAJAK["&amp;KENKO[#Headers]&amp;"]"),KENKO[[#This Row],[//PAJAK]]-1))</f>
        <v>SA 39678</v>
      </c>
      <c r="I29" s="1">
        <f ca="1">IF(KENKO[[#This Row],[//PAJAK]]="","",INDEX(INDIRECT("PAJAK["&amp;KENKO[#Headers]&amp;"]"),KENKO[[#This Row],[//PAJAK]]-1))</f>
        <v>58380000</v>
      </c>
      <c r="J29" s="1">
        <f ca="1">IF(KENKO[[#This Row],[//PAJAK]]="","",INDEX(INDIRECT("PAJAK["&amp;KENKO[#Headers]&amp;"]"),KENKO[[#This Row],[//PAJAK]]-1))</f>
        <v>9924600.0000000019</v>
      </c>
      <c r="K29" s="1">
        <f ca="1">(KENKO[[#This Row],[SUB TOTAL]]-KENKO[[#This Row],[DISKON]])/1.11</f>
        <v>43653513.513513513</v>
      </c>
      <c r="L29" s="1">
        <f ca="1">KENKO[[#This Row],[DPP]]*11%</f>
        <v>4801886.4864864862</v>
      </c>
      <c r="M29" s="1">
        <f ca="1">KENKO[[#This Row],[DPP]]+KENKO[[#This Row],[PPN (11%)]]</f>
        <v>48455400</v>
      </c>
      <c r="N29" s="1" t="str">
        <f ca="1">INDEX(PAJAK[ID_P],MATCH(KENKO[[#This Row],[ID]],PAJAK[ID],0))</f>
        <v>KEN_2801_764-6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802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68</v>
      </c>
      <c r="C30" s="7">
        <f ca="1">HYPERLINK("[NOTA_.xlsx]PAJAK!b"&amp;KENKO[[#This Row],[//PAJAK]],IF(KENKO[[#This Row],[//PAJAK]]="","",INDEX(INDIRECT("PAJAK["&amp;KENKO[#Headers]&amp;"]"),KENKO[[#This Row],[//PAJAK]]-1)))</f>
        <v>153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44954</v>
      </c>
      <c r="F30" s="2">
        <f ca="1">IF(KENKO[[#This Row],[//PAJAK]]="","",INDEX(INDIRECT("PAJAK["&amp;KENKO[#Headers]&amp;"]"),KENKO[[#This Row],[//PAJAK]]-1))</f>
        <v>44952</v>
      </c>
      <c r="G30" s="9" t="str">
        <f ca="1">IF(KENKO[[#This Row],[//PAJAK]]="","",INDEX(INDIRECT("PAJAK["&amp;KENKO[#Headers]&amp;"]"),KENKO[[#This Row],[//PAJAK]]-1))</f>
        <v>23011733</v>
      </c>
      <c r="H30" s="3" t="str">
        <f ca="1">IF(KENKO[[#This Row],[//PAJAK]]="","",INDEX(INDIRECT("PAJAK["&amp;KENKO[#Headers]&amp;"]"),KENKO[[#This Row],[//PAJAK]]-1))</f>
        <v>SA 39622</v>
      </c>
      <c r="I30" s="1">
        <f ca="1">IF(KENKO[[#This Row],[//PAJAK]]="","",INDEX(INDIRECT("PAJAK["&amp;KENKO[#Headers]&amp;"]"),KENKO[[#This Row],[//PAJAK]]-1))</f>
        <v>31450400</v>
      </c>
      <c r="J30" s="1">
        <f ca="1">IF(KENKO[[#This Row],[//PAJAK]]="","",INDEX(INDIRECT("PAJAK["&amp;KENKO[#Headers]&amp;"]"),KENKO[[#This Row],[//PAJAK]]-1))</f>
        <v>5346568</v>
      </c>
      <c r="K30" s="1">
        <f ca="1">(KENKO[[#This Row],[SUB TOTAL]]-KENKO[[#This Row],[DISKON]])/1.11</f>
        <v>23516965.765765764</v>
      </c>
      <c r="L30" s="1">
        <f ca="1">KENKO[[#This Row],[DPP]]*11%</f>
        <v>2586866.2342342339</v>
      </c>
      <c r="M30" s="1">
        <f ca="1">KENKO[[#This Row],[DPP]]+KENKO[[#This Row],[PPN (11%)]]</f>
        <v>26103831.999999996</v>
      </c>
      <c r="N30" s="1" t="str">
        <f ca="1">INDEX(PAJAK[ID_P],MATCH(KENKO[[#This Row],[ID]],PAJAK[ID],0))</f>
        <v>KEN_2801_733-10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827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70</v>
      </c>
      <c r="C31" s="7">
        <f ca="1">HYPERLINK("[NOTA_.xlsx]PAJAK!b"&amp;KENKO[[#This Row],[//PAJAK]],IF(KENKO[[#This Row],[//PAJAK]]="","",INDEX(INDIRECT("PAJAK["&amp;KENKO[#Headers]&amp;"]"),KENKO[[#This Row],[//PAJAK]]-1)))</f>
        <v>158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44956</v>
      </c>
      <c r="F31" s="2">
        <f ca="1">IF(KENKO[[#This Row],[//PAJAK]]="","",INDEX(INDIRECT("PAJAK["&amp;KENKO[#Headers]&amp;"]"),KENKO[[#This Row],[//PAJAK]]-1))</f>
        <v>44953</v>
      </c>
      <c r="G31" s="9" t="str">
        <f ca="1">IF(KENKO[[#This Row],[//PAJAK]]="","",INDEX(INDIRECT("PAJAK["&amp;KENKO[#Headers]&amp;"]"),KENKO[[#This Row],[//PAJAK]]-1))</f>
        <v>23011870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26682000</v>
      </c>
      <c r="J31" s="1">
        <f ca="1">IF(KENKO[[#This Row],[//PAJAK]]="","",INDEX(INDIRECT("PAJAK["&amp;KENKO[#Headers]&amp;"]"),KENKO[[#This Row],[//PAJAK]]-1))</f>
        <v>4535940</v>
      </c>
      <c r="K31" s="1">
        <f ca="1">(KENKO[[#This Row],[SUB TOTAL]]-KENKO[[#This Row],[DISKON]])/1.11</f>
        <v>19951405.405405402</v>
      </c>
      <c r="L31" s="1">
        <f ca="1">KENKO[[#This Row],[DPP]]*11%</f>
        <v>2194654.5945945941</v>
      </c>
      <c r="M31" s="1">
        <f ca="1">KENKO[[#This Row],[DPP]]+KENKO[[#This Row],[PPN (11%)]]</f>
        <v>22146059.999999996</v>
      </c>
      <c r="N31" s="1" t="str">
        <f ca="1">INDEX(PAJAK[ID_P],MATCH(KENKO[[#This Row],[ID]],PAJAK[ID],0))</f>
        <v>KEN_3001_870-7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33</v>
      </c>
      <c r="F1" t="str">
        <f ca="1">MID(G1,FIND("]",G1)+1,LEN(G1)-FIND("]",G1))</f>
        <v>ATALI</v>
      </c>
      <c r="G1" s="4" t="str">
        <f ca="1">CELL("filename",G1)</f>
        <v>D:\kerja\BANK EXP\BARU\2023\01 JAN\[NOTA 01 JAN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10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44931</v>
      </c>
      <c r="F3" s="2">
        <f ca="1">IF(ATALI[[#This Row],[//PAJAK]]="","",INDEX(INDIRECT("PAJAK["&amp;ATALI[#Headers]&amp;"]"),ATALI[[#This Row],[//PAJAK]]-1))</f>
        <v>44928</v>
      </c>
      <c r="G3" s="7" t="str">
        <f ca="1">IF(ATALI[[#This Row],[//PAJAK]]="","",INDEX(INDIRECT("PAJAK["&amp;ATALI[#Headers]&amp;"]"),ATALI[[#This Row],[//PAJAK]]-1))</f>
        <v>SA230100053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21815325</v>
      </c>
      <c r="J3" s="1">
        <f ca="1">IF(ATALI[[#This Row],[//PAJAK]]="","",INDEX(PAJAK[DISC DLL],ATALI[[#This Row],[//PAJAK]]-1))</f>
        <v>323190</v>
      </c>
      <c r="K3" s="1">
        <f ca="1">(ATALI[[#This Row],[SUB TOTAL]]-ATALI[[#This Row],[DISKON]])/1.11</f>
        <v>19362283.783783782</v>
      </c>
      <c r="L3" s="1">
        <f ca="1">ATALI[[#This Row],[DPP]]*11%</f>
        <v>2129851.2162162159</v>
      </c>
      <c r="M3" s="1">
        <f ca="1">ATALI[[#This Row],[DPP]]+ATALI[[#This Row],[PPN (11%)]]</f>
        <v>21492135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7</v>
      </c>
      <c r="C4" s="12">
        <f ca="1">HYPERLINK("[NOTA_.xlsx]PAJAK!b"&amp;ATALI[[#This Row],[//PAJAK]],IF(ATALI[[#This Row],[//PAJAK]]="","",INDEX(INDIRECT("PAJAK["&amp;ATALI[#Headers]&amp;"]"),ATALI[[#This Row],[//PAJAK]]-1)))</f>
        <v>26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44933</v>
      </c>
      <c r="F4" s="2">
        <f ca="1">IF(ATALI[[#This Row],[//PAJAK]]="","",INDEX(INDIRECT("PAJAK["&amp;ATALI[#Headers]&amp;"]"),ATALI[[#This Row],[//PAJAK]]-1))</f>
        <v>44931</v>
      </c>
      <c r="G4" s="5" t="str">
        <f ca="1">IF(ATALI[[#This Row],[//PAJAK]]="","",INDEX(INDIRECT("PAJAK["&amp;ATALI[#Headers]&amp;"]"),ATALI[[#This Row],[//PAJAK]]-1))</f>
        <v>SA230100214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12360540.25</v>
      </c>
      <c r="J4" s="1">
        <f ca="1">IF(ATALI[[#This Row],[//PAJAK]]="","",INDEX(PAJAK[DISC DLL],ATALI[[#This Row],[//PAJAK]]-1))</f>
        <v>96444</v>
      </c>
      <c r="K4" s="1">
        <f ca="1">(ATALI[[#This Row],[SUB TOTAL]]-ATALI[[#This Row],[DISKON]])/1.11</f>
        <v>11048735.36036036</v>
      </c>
      <c r="L4" s="1">
        <f ca="1">ATALI[[#This Row],[DPP]]*11%</f>
        <v>1215360.8896396395</v>
      </c>
      <c r="M4" s="1">
        <f ca="1">ATALI[[#This Row],[DPP]]+ATALI[[#This Row],[PPN (11%)]]</f>
        <v>12264096.25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27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44933</v>
      </c>
      <c r="F5" s="2">
        <f ca="1">IF(ATALI[[#This Row],[//PAJAK]]="","",INDEX(INDIRECT("PAJAK["&amp;ATALI[#Headers]&amp;"]"),ATALI[[#This Row],[//PAJAK]]-1))</f>
        <v>44930</v>
      </c>
      <c r="G5" s="5" t="str">
        <f ca="1">IF(ATALI[[#This Row],[//PAJAK]]="","",INDEX(INDIRECT("PAJAK["&amp;ATALI[#Headers]&amp;"]"),ATALI[[#This Row],[//PAJAK]]-1))</f>
        <v>SA230100135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6363218.75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5732629.5045045037</v>
      </c>
      <c r="L5" s="1">
        <f ca="1">ATALI[[#This Row],[DPP]]*11%</f>
        <v>630589.24549549539</v>
      </c>
      <c r="M5" s="1">
        <f ca="1">ATALI[[#This Row],[DPP]]+ATALI[[#This Row],[PPN (11%)]]</f>
        <v>6363218.7499999991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28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44933</v>
      </c>
      <c r="F6" s="2">
        <f ca="1">IF(ATALI[[#This Row],[//PAJAK]]="","",INDEX(INDIRECT("PAJAK["&amp;ATALI[#Headers]&amp;"]"),ATALI[[#This Row],[//PAJAK]]-1))</f>
        <v>44564</v>
      </c>
      <c r="G6" s="5" t="str">
        <f ca="1">IF(ATALI[[#This Row],[//PAJAK]]="","",INDEX(INDIRECT("PAJAK["&amp;ATALI[#Headers]&amp;"]"),ATALI[[#This Row],[//PAJAK]]-1))</f>
        <v>SA230100107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23100437.5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20811204.954954952</v>
      </c>
      <c r="L6" s="1">
        <f ca="1">ATALI[[#This Row],[DPP]]*11%</f>
        <v>2289232.5450450447</v>
      </c>
      <c r="M6" s="1">
        <f ca="1">ATALI[[#This Row],[DPP]]+ATALI[[#This Row],[PPN (11%)]]</f>
        <v>23100437.499999996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253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20</v>
      </c>
      <c r="C7" s="12">
        <f ca="1">HYPERLINK("[NOTA_.xlsx]PAJAK!b"&amp;ATALI[[#This Row],[//PAJAK]],IF(ATALI[[#This Row],[//PAJAK]]="","",INDEX(INDIRECT("PAJAK["&amp;ATALI[#Headers]&amp;"]"),ATALI[[#This Row],[//PAJAK]]-1)))</f>
        <v>52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44937</v>
      </c>
      <c r="F7" s="2">
        <f ca="1">IF(ATALI[[#This Row],[//PAJAK]]="","",INDEX(INDIRECT("PAJAK["&amp;ATALI[#Headers]&amp;"]"),ATALI[[#This Row],[//PAJAK]]-1))</f>
        <v>44932</v>
      </c>
      <c r="G7" s="5" t="str">
        <f ca="1">IF(ATALI[[#This Row],[//PAJAK]]="","",INDEX(INDIRECT("PAJAK["&amp;ATALI[#Headers]&amp;"]"),ATALI[[#This Row],[//PAJAK]]-1))</f>
        <v>SA230100292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9293484.25</v>
      </c>
      <c r="J7" s="1">
        <f ca="1">IF(ATALI[[#This Row],[//PAJAK]]="","",INDEX(PAJAK[DISC DLL],ATALI[[#This Row],[//PAJAK]]-1))</f>
        <v>69768</v>
      </c>
      <c r="K7" s="1">
        <f ca="1">(ATALI[[#This Row],[SUB TOTAL]]-ATALI[[#This Row],[DISKON]])/1.11</f>
        <v>8309654.2792792786</v>
      </c>
      <c r="L7" s="1">
        <f ca="1">ATALI[[#This Row],[DPP]]*11%</f>
        <v>914061.97072072059</v>
      </c>
      <c r="M7" s="1">
        <f ca="1">ATALI[[#This Row],[DPP]]+ATALI[[#This Row],[PPN (11%)]]</f>
        <v>9223716.25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262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21</v>
      </c>
      <c r="C8" s="12">
        <f ca="1">HYPERLINK("[NOTA_.xlsx]PAJAK!b"&amp;ATALI[[#This Row],[//PAJAK]],IF(ATALI[[#This Row],[//PAJAK]]="","",INDEX(INDIRECT("PAJAK["&amp;ATALI[#Headers]&amp;"]"),ATALI[[#This Row],[//PAJAK]]-1)))</f>
        <v>53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44937</v>
      </c>
      <c r="F8" s="2">
        <f ca="1">IF(ATALI[[#This Row],[//PAJAK]]="","",INDEX(INDIRECT("PAJAK["&amp;ATALI[#Headers]&amp;"]"),ATALI[[#This Row],[//PAJAK]]-1))</f>
        <v>44932</v>
      </c>
      <c r="G8" s="5" t="str">
        <f ca="1">IF(ATALI[[#This Row],[//PAJAK]]="","",INDEX(INDIRECT("PAJAK["&amp;ATALI[#Headers]&amp;"]"),ATALI[[#This Row],[//PAJAK]]-1))</f>
        <v>SA230100352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20117613.25</v>
      </c>
      <c r="J8" s="1">
        <f ca="1">IF(ATALI[[#This Row],[//PAJAK]]="","",INDEX(PAJAK[DISC DLL],ATALI[[#This Row],[//PAJAK]]-1))</f>
        <v>43092</v>
      </c>
      <c r="K8" s="1">
        <f ca="1">(ATALI[[#This Row],[SUB TOTAL]]-ATALI[[#This Row],[DISKON]])/1.11</f>
        <v>18085154.279279277</v>
      </c>
      <c r="L8" s="1">
        <f ca="1">ATALI[[#This Row],[DPP]]*11%</f>
        <v>1989366.9707207205</v>
      </c>
      <c r="M8" s="1">
        <f ca="1">ATALI[[#This Row],[DPP]]+ATALI[[#This Row],[PPN (11%)]]</f>
        <v>20074521.249999996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273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22</v>
      </c>
      <c r="C9" s="12">
        <f ca="1">HYPERLINK("[NOTA_.xlsx]PAJAK!b"&amp;ATALI[[#This Row],[//PAJAK]],IF(ATALI[[#This Row],[//PAJAK]]="","",INDEX(INDIRECT("PAJAK["&amp;ATALI[#Headers]&amp;"]"),ATALI[[#This Row],[//PAJAK]]-1)))</f>
        <v>54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44937</v>
      </c>
      <c r="F9" s="2">
        <f ca="1">IF(ATALI[[#This Row],[//PAJAK]]="","",INDEX(INDIRECT("PAJAK["&amp;ATALI[#Headers]&amp;"]"),ATALI[[#This Row],[//PAJAK]]-1))</f>
        <v>44932</v>
      </c>
      <c r="G9" s="5" t="str">
        <f ca="1">IF(ATALI[[#This Row],[//PAJAK]]="","",INDEX(INDIRECT("PAJAK["&amp;ATALI[#Headers]&amp;"]"),ATALI[[#This Row],[//PAJAK]]-1))</f>
        <v>SA230100291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19734290.625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17778640.202702701</v>
      </c>
      <c r="L9" s="1">
        <f ca="1">ATALI[[#This Row],[DPP]]*11%</f>
        <v>1955650.422297297</v>
      </c>
      <c r="M9" s="1">
        <f ca="1">ATALI[[#This Row],[DPP]]+ATALI[[#This Row],[PPN (11%)]]</f>
        <v>19734290.625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56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44937</v>
      </c>
      <c r="F10" s="2">
        <f ca="1">IF(ATALI[[#This Row],[//PAJAK]]="","",INDEX(INDIRECT("PAJAK["&amp;ATALI[#Headers]&amp;"]"),ATALI[[#This Row],[//PAJAK]]-1))</f>
        <v>44933</v>
      </c>
      <c r="G10" s="5" t="str">
        <f ca="1">IF(ATALI[[#This Row],[//PAJAK]]="","",INDEX(INDIRECT("PAJAK["&amp;ATALI[#Headers]&amp;"]"),ATALI[[#This Row],[//PAJAK]]-1))</f>
        <v>SA230100433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31870125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28711824.324324321</v>
      </c>
      <c r="L10" s="1">
        <f ca="1">ATALI[[#This Row],[DPP]]*11%</f>
        <v>3158300.6756756753</v>
      </c>
      <c r="M10" s="1">
        <f ca="1">ATALI[[#This Row],[DPP]]+ATALI[[#This Row],[PPN (11%)]]</f>
        <v>31870124.999999996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44938</v>
      </c>
      <c r="F11" s="2">
        <f ca="1">IF(ATALI[[#This Row],[//PAJAK]]="","",INDEX(INDIRECT("PAJAK["&amp;ATALI[#Headers]&amp;"]"),ATALI[[#This Row],[//PAJAK]]-1))</f>
        <v>44933</v>
      </c>
      <c r="G11" s="5" t="str">
        <f ca="1">IF(ATALI[[#This Row],[//PAJAK]]="","",INDEX(INDIRECT("PAJAK["&amp;ATALI[#Headers]&amp;"]"),ATALI[[#This Row],[//PAJAK]]-1))</f>
        <v>SA230100431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57676281.25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51960613.738738731</v>
      </c>
      <c r="L11" s="1">
        <f ca="1">ATALI[[#This Row],[DPP]]*11%</f>
        <v>5715667.5112612601</v>
      </c>
      <c r="M11" s="1">
        <f ca="1">ATALI[[#This Row],[DPP]]+ATALI[[#This Row],[PPN (11%)]]</f>
        <v>57676281.249999993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335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44938</v>
      </c>
      <c r="F12" s="2">
        <f ca="1">IF(ATALI[[#This Row],[//PAJAK]]="","",INDEX(INDIRECT("PAJAK["&amp;ATALI[#Headers]&amp;"]"),ATALI[[#This Row],[//PAJAK]]-1))</f>
        <v>44933</v>
      </c>
      <c r="G12" s="5" t="str">
        <f ca="1">IF(ATALI[[#This Row],[//PAJAK]]="","",INDEX(INDIRECT("PAJAK["&amp;ATALI[#Headers]&amp;"]"),ATALI[[#This Row],[//PAJAK]]-1))</f>
        <v>SA230100432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19618830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17674621.62162162</v>
      </c>
      <c r="L12" s="1">
        <f ca="1">ATALI[[#This Row],[DPP]]*11%</f>
        <v>1944208.3783783782</v>
      </c>
      <c r="M12" s="1">
        <f ca="1">ATALI[[#This Row],[DPP]]+ATALI[[#This Row],[PPN (11%)]]</f>
        <v>19618830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385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74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44940</v>
      </c>
      <c r="F13" s="2">
        <f ca="1">IF(ATALI[[#This Row],[//PAJAK]]="","",INDEX(INDIRECT("PAJAK["&amp;ATALI[#Headers]&amp;"]"),ATALI[[#This Row],[//PAJAK]]-1))</f>
        <v>44937</v>
      </c>
      <c r="G13" s="5" t="str">
        <f ca="1">IF(ATALI[[#This Row],[//PAJAK]]="","",INDEX(INDIRECT("PAJAK["&amp;ATALI[#Headers]&amp;"]"),ATALI[[#This Row],[//PAJAK]]-1))</f>
        <v>SA230100612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28728000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25881081.081081077</v>
      </c>
      <c r="L13" s="1">
        <f ca="1">ATALI[[#This Row],[DPP]]*11%</f>
        <v>2846918.9189189184</v>
      </c>
      <c r="M13" s="1">
        <f ca="1">ATALI[[#This Row],[DPP]]+ATALI[[#This Row],[PPN (11%)]]</f>
        <v>28727999.999999996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446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39</v>
      </c>
      <c r="C14" s="12">
        <f ca="1">HYPERLINK("[NOTA_.xlsx]PAJAK!b"&amp;ATALI[[#This Row],[//PAJAK]],IF(ATALI[[#This Row],[//PAJAK]]="","",INDEX(INDIRECT("PAJAK["&amp;ATALI[#Headers]&amp;"]"),ATALI[[#This Row],[//PAJAK]]-1)))</f>
        <v>83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44942</v>
      </c>
      <c r="F14" s="2">
        <f ca="1">IF(ATALI[[#This Row],[//PAJAK]]="","",INDEX(INDIRECT("PAJAK["&amp;ATALI[#Headers]&amp;"]"),ATALI[[#This Row],[//PAJAK]]-1))</f>
        <v>44938</v>
      </c>
      <c r="G14" s="5" t="str">
        <f ca="1">IF(ATALI[[#This Row],[//PAJAK]]="","",INDEX(INDIRECT("PAJAK["&amp;ATALI[#Headers]&amp;"]"),ATALI[[#This Row],[//PAJAK]]-1))</f>
        <v>SA230100770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2371390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2136387.387387387</v>
      </c>
      <c r="L14" s="1">
        <f ca="1">ATALI[[#This Row],[DPP]]*11%</f>
        <v>235002.61261261257</v>
      </c>
      <c r="M14" s="1">
        <f ca="1">ATALI[[#This Row],[DPP]]+ATALI[[#This Row],[PPN (11%)]]</f>
        <v>2371389.9999999995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449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2">
        <f ca="1">HYPERLINK("[NOTA_.xlsx]PAJAK!b"&amp;ATALI[[#This Row],[//PAJAK]],IF(ATALI[[#This Row],[//PAJAK]]="","",INDEX(INDIRECT("PAJAK["&amp;ATALI[#Headers]&amp;"]"),ATALI[[#This Row],[//PAJAK]]-1)))</f>
        <v>84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44942</v>
      </c>
      <c r="F15" s="2">
        <f ca="1">IF(ATALI[[#This Row],[//PAJAK]]="","",INDEX(INDIRECT("PAJAK["&amp;ATALI[#Headers]&amp;"]"),ATALI[[#This Row],[//PAJAK]]-1))</f>
        <v>44938</v>
      </c>
      <c r="G15" s="5" t="str">
        <f ca="1">IF(ATALI[[#This Row],[//PAJAK]]="","",INDEX(INDIRECT("PAJAK["&amp;ATALI[#Headers]&amp;"]"),ATALI[[#This Row],[//PAJAK]]-1))</f>
        <v>SA230100693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19800956.875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17838699.887387387</v>
      </c>
      <c r="L15" s="1">
        <f ca="1">ATALI[[#This Row],[DPP]]*11%</f>
        <v>1962256.9876126125</v>
      </c>
      <c r="M15" s="1">
        <f ca="1">ATALI[[#This Row],[DPP]]+ATALI[[#This Row],[PPN (11%)]]</f>
        <v>19800956.875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460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41</v>
      </c>
      <c r="C16" s="12">
        <f ca="1">HYPERLINK("[NOTA_.xlsx]PAJAK!b"&amp;ATALI[[#This Row],[//PAJAK]],IF(ATALI[[#This Row],[//PAJAK]]="","",INDEX(INDIRECT("PAJAK["&amp;ATALI[#Headers]&amp;"]"),ATALI[[#This Row],[//PAJAK]]-1)))</f>
        <v>85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44942</v>
      </c>
      <c r="F16" s="2">
        <f ca="1">IF(ATALI[[#This Row],[//PAJAK]]="","",INDEX(INDIRECT("PAJAK["&amp;ATALI[#Headers]&amp;"]"),ATALI[[#This Row],[//PAJAK]]-1))</f>
        <v>44938</v>
      </c>
      <c r="G16" s="5" t="str">
        <f ca="1">IF(ATALI[[#This Row],[//PAJAK]]="","",INDEX(INDIRECT("PAJAK["&amp;ATALI[#Headers]&amp;"]"),ATALI[[#This Row],[//PAJAK]]-1))</f>
        <v>SA230100694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6092730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5488945.9459459456</v>
      </c>
      <c r="L16" s="1">
        <f ca="1">ATALI[[#This Row],[DPP]]*11%</f>
        <v>603784.05405405397</v>
      </c>
      <c r="M16" s="1">
        <f ca="1">ATALI[[#This Row],[DPP]]+ATALI[[#This Row],[PPN (11%)]]</f>
        <v>6092730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472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42</v>
      </c>
      <c r="C17" s="12">
        <f ca="1">HYPERLINK("[NOTA_.xlsx]PAJAK!b"&amp;ATALI[[#This Row],[//PAJAK]],IF(ATALI[[#This Row],[//PAJAK]]="","",INDEX(INDIRECT("PAJAK["&amp;ATALI[#Headers]&amp;"]"),ATALI[[#This Row],[//PAJAK]]-1)))</f>
        <v>89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44944</v>
      </c>
      <c r="F17" s="2">
        <f ca="1">IF(ATALI[[#This Row],[//PAJAK]]="","",INDEX(INDIRECT("PAJAK["&amp;ATALI[#Headers]&amp;"]"),ATALI[[#This Row],[//PAJAK]]-1))</f>
        <v>44939</v>
      </c>
      <c r="G17" s="5" t="str">
        <f ca="1">IF(ATALI[[#This Row],[//PAJAK]]="","",INDEX(INDIRECT("PAJAK["&amp;ATALI[#Headers]&amp;"]"),ATALI[[#This Row],[//PAJAK]]-1))</f>
        <v>SA230100823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25691776.25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23145744.369369369</v>
      </c>
      <c r="L17" s="1">
        <f ca="1">ATALI[[#This Row],[DPP]]*11%</f>
        <v>2546031.8806306305</v>
      </c>
      <c r="M17" s="1">
        <f ca="1">ATALI[[#This Row],[DPP]]+ATALI[[#This Row],[PPN (11%)]]</f>
        <v>25691776.25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484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43</v>
      </c>
      <c r="C18" s="12">
        <f ca="1">HYPERLINK("[NOTA_.xlsx]PAJAK!b"&amp;ATALI[[#This Row],[//PAJAK]],IF(ATALI[[#This Row],[//PAJAK]]="","",INDEX(INDIRECT("PAJAK["&amp;ATALI[#Headers]&amp;"]"),ATALI[[#This Row],[//PAJAK]]-1)))</f>
        <v>90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44944</v>
      </c>
      <c r="F18" s="2">
        <f ca="1">IF(ATALI[[#This Row],[//PAJAK]]="","",INDEX(INDIRECT("PAJAK["&amp;ATALI[#Headers]&amp;"]"),ATALI[[#This Row],[//PAJAK]]-1))</f>
        <v>44939</v>
      </c>
      <c r="G18" s="7" t="str">
        <f ca="1">IF(ATALI[[#This Row],[//PAJAK]]="","",INDEX(INDIRECT("PAJAK["&amp;ATALI[#Headers]&amp;"]"),ATALI[[#This Row],[//PAJAK]]-1))</f>
        <v>SA230100824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14757181.25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13294757.882882882</v>
      </c>
      <c r="L18" s="1">
        <f ca="1">ATALI[[#This Row],[DPP]]*11%</f>
        <v>1462423.3671171169</v>
      </c>
      <c r="M18" s="1">
        <f ca="1">ATALI[[#This Row],[DPP]]+ATALI[[#This Row],[PPN (11%)]]</f>
        <v>14757181.249999998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495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44</v>
      </c>
      <c r="C19" s="12">
        <f ca="1">HYPERLINK("[NOTA_.xlsx]PAJAK!b"&amp;ATALI[[#This Row],[//PAJAK]],IF(ATALI[[#This Row],[//PAJAK]]="","",INDEX(INDIRECT("PAJAK["&amp;ATALI[#Headers]&amp;"]"),ATALI[[#This Row],[//PAJAK]]-1)))</f>
        <v>91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44944</v>
      </c>
      <c r="F19" s="2">
        <f ca="1">IF(ATALI[[#This Row],[//PAJAK]]="","",INDEX(INDIRECT("PAJAK["&amp;ATALI[#Headers]&amp;"]"),ATALI[[#This Row],[//PAJAK]]-1))</f>
        <v>44939</v>
      </c>
      <c r="G19" s="7" t="str">
        <f ca="1">IF(ATALI[[#This Row],[//PAJAK]]="","",INDEX(INDIRECT("PAJAK["&amp;ATALI[#Headers]&amp;"]"),ATALI[[#This Row],[//PAJAK]]-1))</f>
        <v>SA230100825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8779995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7909905.405405405</v>
      </c>
      <c r="L19" s="1">
        <f ca="1">ATALI[[#This Row],[DPP]]*11%</f>
        <v>870089.59459459456</v>
      </c>
      <c r="M19" s="1">
        <f ca="1">ATALI[[#This Row],[DPP]]+ATALI[[#This Row],[PPN (11%)]]</f>
        <v>8779995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509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93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44944</v>
      </c>
      <c r="F20" s="2">
        <f ca="1">IF(ATALI[[#This Row],[//PAJAK]]="","",INDEX(INDIRECT("PAJAK["&amp;ATALI[#Headers]&amp;"]"),ATALI[[#This Row],[//PAJAK]]-1))</f>
        <v>44940</v>
      </c>
      <c r="G20" s="7" t="str">
        <f ca="1">IF(ATALI[[#This Row],[//PAJAK]]="","",INDEX(INDIRECT("PAJAK["&amp;ATALI[#Headers]&amp;"]"),ATALI[[#This Row],[//PAJAK]]-1))</f>
        <v>SA230100904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17417205</v>
      </c>
      <c r="J20" s="1">
        <f ca="1">IF(ATALI[[#This Row],[//PAJAK]]="","",INDEX(PAJAK[DISC DLL],ATALI[[#This Row],[//PAJAK]]-1))</f>
        <v>120555</v>
      </c>
      <c r="K20" s="1">
        <f ca="1">(ATALI[[#This Row],[SUB TOTAL]]-ATALI[[#This Row],[DISKON]])/1.11</f>
        <v>15582567.567567566</v>
      </c>
      <c r="L20" s="1">
        <f ca="1">ATALI[[#This Row],[DPP]]*11%</f>
        <v>1714082.4324324324</v>
      </c>
      <c r="M20" s="1">
        <f ca="1">ATALI[[#This Row],[DPP]]+ATALI[[#This Row],[PPN (11%)]]</f>
        <v>17296650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47</v>
      </c>
      <c r="C21" s="12">
        <f ca="1">HYPERLINK("[NOTA_.xlsx]PAJAK!b"&amp;ATALI[[#This Row],[//PAJAK]],IF(ATALI[[#This Row],[//PAJAK]]="","",INDEX(INDIRECT("PAJAK["&amp;ATALI[#Headers]&amp;"]"),ATALI[[#This Row],[//PAJAK]]-1)))</f>
        <v>94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44944</v>
      </c>
      <c r="F21" s="2">
        <f ca="1">IF(ATALI[[#This Row],[//PAJAK]]="","",INDEX(INDIRECT("PAJAK["&amp;ATALI[#Headers]&amp;"]"),ATALI[[#This Row],[//PAJAK]]-1))</f>
        <v>44940</v>
      </c>
      <c r="G21" s="7" t="str">
        <f ca="1">IF(ATALI[[#This Row],[//PAJAK]]="","",INDEX(INDIRECT("PAJAK["&amp;ATALI[#Headers]&amp;"]"),ATALI[[#This Row],[//PAJAK]]-1))</f>
        <v>SA230100903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19048260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17160594.594594594</v>
      </c>
      <c r="L21" s="1">
        <f ca="1">ATALI[[#This Row],[DPP]]*11%</f>
        <v>1887665.4054054054</v>
      </c>
      <c r="M21" s="1">
        <f ca="1">ATALI[[#This Row],[DPP]]+ATALI[[#This Row],[PPN (11%)]]</f>
        <v>19048260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2">
        <f ca="1">HYPERLINK("[NOTA_.xlsx]PAJAK!b"&amp;ATALI[[#This Row],[//PAJAK]],IF(ATALI[[#This Row],[//PAJAK]]="","",INDEX(INDIRECT("PAJAK["&amp;ATALI[#Headers]&amp;"]"),ATALI[[#This Row],[//PAJAK]]-1)))</f>
        <v>106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44946</v>
      </c>
      <c r="F22" s="2">
        <f ca="1">IF(ATALI[[#This Row],[//PAJAK]]="","",INDEX(INDIRECT("PAJAK["&amp;ATALI[#Headers]&amp;"]"),ATALI[[#This Row],[//PAJAK]]-1))</f>
        <v>44943</v>
      </c>
      <c r="G22" s="7" t="str">
        <f ca="1">IF(ATALI[[#This Row],[//PAJAK]]="","",INDEX(INDIRECT("PAJAK["&amp;ATALI[#Headers]&amp;"]"),ATALI[[#This Row],[//PAJAK]]-1))</f>
        <v>SA230101015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27834240</v>
      </c>
      <c r="J22" s="1">
        <f ca="1">IF(ATALI[[#This Row],[//PAJAK]]="","",INDEX(PAJAK[DISC DLL],ATALI[[#This Row],[//PAJAK]]-1))</f>
        <v>375060</v>
      </c>
      <c r="K22" s="1">
        <f ca="1">(ATALI[[#This Row],[SUB TOTAL]]-ATALI[[#This Row],[DISKON]])/1.11</f>
        <v>24737999.999999996</v>
      </c>
      <c r="L22" s="1">
        <f ca="1">ATALI[[#This Row],[DPP]]*11%</f>
        <v>2721179.9999999995</v>
      </c>
      <c r="M22" s="1">
        <f ca="1">ATALI[[#This Row],[DPP]]+ATALI[[#This Row],[PPN (11%)]]</f>
        <v>27459179.999999996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51</v>
      </c>
      <c r="C23" s="12">
        <f ca="1">HYPERLINK("[NOTA_.xlsx]PAJAK!b"&amp;ATALI[[#This Row],[//PAJAK]],IF(ATALI[[#This Row],[//PAJAK]]="","",INDEX(INDIRECT("PAJAK["&amp;ATALI[#Headers]&amp;"]"),ATALI[[#This Row],[//PAJAK]]-1)))</f>
        <v>107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44946</v>
      </c>
      <c r="F23" s="2">
        <f ca="1">IF(ATALI[[#This Row],[//PAJAK]]="","",INDEX(INDIRECT("PAJAK["&amp;ATALI[#Headers]&amp;"]"),ATALI[[#This Row],[//PAJAK]]-1))</f>
        <v>44943</v>
      </c>
      <c r="G23" s="7" t="str">
        <f ca="1">IF(ATALI[[#This Row],[//PAJAK]]="","",INDEX(INDIRECT("PAJAK["&amp;ATALI[#Headers]&amp;"]"),ATALI[[#This Row],[//PAJAK]]-1))</f>
        <v>SA230101013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24737667.5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22286186.936936934</v>
      </c>
      <c r="L23" s="1">
        <f ca="1">ATALI[[#This Row],[DPP]]*11%</f>
        <v>2451480.5630630627</v>
      </c>
      <c r="M23" s="1">
        <f ca="1">ATALI[[#This Row],[DPP]]+ATALI[[#This Row],[PPN (11%)]]</f>
        <v>24737667.499999996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585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52</v>
      </c>
      <c r="C24" s="12">
        <f ca="1">HYPERLINK("[NOTA_.xlsx]PAJAK!b"&amp;ATALI[[#This Row],[//PAJAK]],IF(ATALI[[#This Row],[//PAJAK]]="","",INDEX(INDIRECT("PAJAK["&amp;ATALI[#Headers]&amp;"]"),ATALI[[#This Row],[//PAJAK]]-1)))</f>
        <v>108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44946</v>
      </c>
      <c r="F24" s="2">
        <f ca="1">IF(ATALI[[#This Row],[//PAJAK]]="","",INDEX(INDIRECT("PAJAK["&amp;ATALI[#Headers]&amp;"]"),ATALI[[#This Row],[//PAJAK]]-1))</f>
        <v>44943</v>
      </c>
      <c r="G24" s="7" t="str">
        <f ca="1">IF(ATALI[[#This Row],[//PAJAK]]="","",INDEX(INDIRECT("PAJAK["&amp;ATALI[#Headers]&amp;"]"),ATALI[[#This Row],[//PAJAK]]-1))</f>
        <v>SA230101014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11906825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10726869.369369369</v>
      </c>
      <c r="L24" s="1">
        <f ca="1">ATALI[[#This Row],[DPP]]*11%</f>
        <v>1179955.6306306305</v>
      </c>
      <c r="M24" s="1">
        <f ca="1">ATALI[[#This Row],[DPP]]+ATALI[[#This Row],[PPN (11%)]]</f>
        <v>11906825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632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57</v>
      </c>
      <c r="C25" s="12">
        <f ca="1">HYPERLINK("[NOTA_.xlsx]PAJAK!b"&amp;ATALI[[#This Row],[//PAJAK]],IF(ATALI[[#This Row],[//PAJAK]]="","",INDEX(INDIRECT("PAJAK["&amp;ATALI[#Headers]&amp;"]"),ATALI[[#This Row],[//PAJAK]]-1)))</f>
        <v>123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44947</v>
      </c>
      <c r="F25" s="2">
        <f ca="1">IF(ATALI[[#This Row],[//PAJAK]]="","",INDEX(INDIRECT("PAJAK["&amp;ATALI[#Headers]&amp;"]"),ATALI[[#This Row],[//PAJAK]]-1))</f>
        <v>44944</v>
      </c>
      <c r="G25" s="7" t="str">
        <f ca="1">IF(ATALI[[#This Row],[//PAJAK]]="","",INDEX(INDIRECT("PAJAK["&amp;ATALI[#Headers]&amp;"]"),ATALI[[#This Row],[//PAJAK]]-1))</f>
        <v>SA230101066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35647914</v>
      </c>
      <c r="J25" s="1">
        <f ca="1">IF(ATALI[[#This Row],[//PAJAK]]="","",INDEX(PAJAK[DISC DLL],ATALI[[#This Row],[//PAJAK]]-1))</f>
        <v>458109</v>
      </c>
      <c r="K25" s="1">
        <f ca="1">(ATALI[[#This Row],[SUB TOTAL]]-ATALI[[#This Row],[DISKON]])/1.11</f>
        <v>31702527.027027026</v>
      </c>
      <c r="L25" s="1">
        <f ca="1">ATALI[[#This Row],[DPP]]*11%</f>
        <v>3487277.9729729728</v>
      </c>
      <c r="M25" s="1">
        <f ca="1">ATALI[[#This Row],[DPP]]+ATALI[[#This Row],[PPN (11%)]]</f>
        <v>35189805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641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58</v>
      </c>
      <c r="C26" s="12">
        <f ca="1">HYPERLINK("[NOTA_.xlsx]PAJAK!b"&amp;ATALI[[#This Row],[//PAJAK]],IF(ATALI[[#This Row],[//PAJAK]]="","",INDEX(INDIRECT("PAJAK["&amp;ATALI[#Headers]&amp;"]"),ATALI[[#This Row],[//PAJAK]]-1)))</f>
        <v>124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44950</v>
      </c>
      <c r="F26" s="2">
        <f ca="1">IF(ATALI[[#This Row],[//PAJAK]]="","",INDEX(INDIRECT("PAJAK["&amp;ATALI[#Headers]&amp;"]"),ATALI[[#This Row],[//PAJAK]]-1))</f>
        <v>44946</v>
      </c>
      <c r="G26" s="7" t="str">
        <f ca="1">IF(ATALI[[#This Row],[//PAJAK]]="","",INDEX(INDIRECT("PAJAK["&amp;ATALI[#Headers]&amp;"]"),ATALI[[#This Row],[//PAJAK]]-1))</f>
        <v>SA230101229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14591772</v>
      </c>
      <c r="J26" s="1">
        <f ca="1">IF(ATALI[[#This Row],[//PAJAK]]="","",INDEX(PAJAK[DISC DLL],ATALI[[#This Row],[//PAJAK]]-1))</f>
        <v>48222</v>
      </c>
      <c r="K26" s="1">
        <f ca="1">(ATALI[[#This Row],[SUB TOTAL]]-ATALI[[#This Row],[DISKON]])/1.11</f>
        <v>13102297.297297297</v>
      </c>
      <c r="L26" s="1">
        <f ca="1">ATALI[[#This Row],[DPP]]*11%</f>
        <v>1441252.7027027027</v>
      </c>
      <c r="M26" s="1">
        <f ca="1">ATALI[[#This Row],[DPP]]+ATALI[[#This Row],[PPN (11%)]]</f>
        <v>14543550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647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59</v>
      </c>
      <c r="C27" s="12">
        <f ca="1">HYPERLINK("[NOTA_.xlsx]PAJAK!b"&amp;ATALI[[#This Row],[//PAJAK]],IF(ATALI[[#This Row],[//PAJAK]]="","",INDEX(INDIRECT("PAJAK["&amp;ATALI[#Headers]&amp;"]"),ATALI[[#This Row],[//PAJAK]]-1)))</f>
        <v>125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44950</v>
      </c>
      <c r="F27" s="2">
        <f ca="1">IF(ATALI[[#This Row],[//PAJAK]]="","",INDEX(INDIRECT("PAJAK["&amp;ATALI[#Headers]&amp;"]"),ATALI[[#This Row],[//PAJAK]]-1))</f>
        <v>44946</v>
      </c>
      <c r="G27" s="7" t="str">
        <f ca="1">IF(ATALI[[#This Row],[//PAJAK]]="","",INDEX(INDIRECT("PAJAK["&amp;ATALI[#Headers]&amp;"]"),ATALI[[#This Row],[//PAJAK]]-1))</f>
        <v>SA230101237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9935100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8950540.5405405406</v>
      </c>
      <c r="L27" s="1">
        <f ca="1">ATALI[[#This Row],[DPP]]*11%</f>
        <v>984559.45945945953</v>
      </c>
      <c r="M27" s="1">
        <f ca="1">ATALI[[#This Row],[DPP]]+ATALI[[#This Row],[PPN (11%)]]</f>
        <v>9935100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60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44950</v>
      </c>
      <c r="F28" s="2">
        <f ca="1">IF(ATALI[[#This Row],[//PAJAK]]="","",INDEX(INDIRECT("PAJAK["&amp;ATALI[#Headers]&amp;"]"),ATALI[[#This Row],[//PAJAK]]-1))</f>
        <v>44946</v>
      </c>
      <c r="G28" s="7" t="str">
        <f ca="1">IF(ATALI[[#This Row],[//PAJAK]]="","",INDEX(INDIRECT("PAJAK["&amp;ATALI[#Headers]&amp;"]"),ATALI[[#This Row],[//PAJAK]]-1))</f>
        <v>SA230101228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26070660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23487081.081081077</v>
      </c>
      <c r="L28" s="1">
        <f ca="1">ATALI[[#This Row],[DPP]]*11%</f>
        <v>2583578.9189189184</v>
      </c>
      <c r="M28" s="1">
        <f ca="1">ATALI[[#This Row],[DPP]]+ATALI[[#This Row],[PPN (11%)]]</f>
        <v>26070659.999999996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715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136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44952</v>
      </c>
      <c r="F29" s="2">
        <f ca="1">IF(ATALI[[#This Row],[//PAJAK]]="","",INDEX(INDIRECT("PAJAK["&amp;ATALI[#Headers]&amp;"]"),ATALI[[#This Row],[//PAJAK]]-1))</f>
        <v>0</v>
      </c>
      <c r="G29" s="7">
        <f ca="1">IF(ATALI[[#This Row],[//PAJAK]]="","",INDEX(INDIRECT("PAJAK["&amp;ATALI[#Headers]&amp;"]"),ATALI[[#This Row],[//PAJAK]]-1))</f>
        <v>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11808843.9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10638598.108108107</v>
      </c>
      <c r="L29" s="1">
        <f ca="1">ATALI[[#This Row],[DPP]]*11%</f>
        <v>1170245.7918918917</v>
      </c>
      <c r="M29" s="1">
        <f ca="1">ATALI[[#This Row],[DPP]]+ATALI[[#This Row],[PPN (11%)]]</f>
        <v>11808843.899999999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773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63</v>
      </c>
      <c r="C30" s="12">
        <f ca="1">HYPERLINK("[NOTA_.xlsx]PAJAK!b"&amp;ATALI[[#This Row],[//PAJAK]],IF(ATALI[[#This Row],[//PAJAK]]="","",INDEX(INDIRECT("PAJAK["&amp;ATALI[#Headers]&amp;"]"),ATALI[[#This Row],[//PAJAK]]-1)))</f>
        <v>148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44954</v>
      </c>
      <c r="F30" s="2">
        <f ca="1">IF(ATALI[[#This Row],[//PAJAK]]="","",INDEX(INDIRECT("PAJAK["&amp;ATALI[#Headers]&amp;"]"),ATALI[[#This Row],[//PAJAK]]-1))</f>
        <v>0</v>
      </c>
      <c r="G30" s="7">
        <f ca="1">IF(ATALI[[#This Row],[//PAJAK]]="","",INDEX(INDIRECT("PAJAK["&amp;ATALI[#Headers]&amp;"]"),ATALI[[#This Row],[//PAJAK]]-1))</f>
        <v>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26034750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23454729.729729727</v>
      </c>
      <c r="L30" s="1">
        <f ca="1">ATALI[[#This Row],[DPP]]*11%</f>
        <v>2580020.2702702698</v>
      </c>
      <c r="M30" s="1">
        <f ca="1">ATALI[[#This Row],[DPP]]+ATALI[[#This Row],[PPN (11%)]]</f>
        <v>26034749.999999996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66</v>
      </c>
      <c r="C31" s="12">
        <f ca="1">HYPERLINK("[NOTA_.xlsx]PAJAK!b"&amp;ATALI[[#This Row],[//PAJAK]],IF(ATALI[[#This Row],[//PAJAK]]="","",INDEX(INDIRECT("PAJAK["&amp;ATALI[#Headers]&amp;"]"),ATALI[[#This Row],[//PAJAK]]-1)))</f>
        <v>151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44954</v>
      </c>
      <c r="F31" s="2">
        <f ca="1">IF(ATALI[[#This Row],[//PAJAK]]="","",INDEX(INDIRECT("PAJAK["&amp;ATALI[#Headers]&amp;"]"),ATALI[[#This Row],[//PAJAK]]-1))</f>
        <v>44951</v>
      </c>
      <c r="G31" s="7" t="str">
        <f ca="1">IF(ATALI[[#This Row],[//PAJAK]]="","",INDEX(INDIRECT("PAJAK["&amp;ATALI[#Headers]&amp;"]"),ATALI[[#This Row],[//PAJAK]]-1))</f>
        <v>SA230101441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20827800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18763783.783783782</v>
      </c>
      <c r="L31" s="1">
        <f ca="1">ATALI[[#This Row],[DPP]]*11%</f>
        <v>2064016.2162162161</v>
      </c>
      <c r="M31" s="1">
        <f ca="1">ATALI[[#This Row],[DPP]]+ATALI[[#This Row],[PPN (11%)]]</f>
        <v>20827800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820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69</v>
      </c>
      <c r="C32" s="12">
        <f ca="1">HYPERLINK("[NOTA_.xlsx]PAJAK!b"&amp;ATALI[[#This Row],[//PAJAK]],IF(ATALI[[#This Row],[//PAJAK]]="","",INDEX(INDIRECT("PAJAK["&amp;ATALI[#Headers]&amp;"]"),ATALI[[#This Row],[//PAJAK]]-1)))</f>
        <v>157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44956</v>
      </c>
      <c r="F32" s="2">
        <f ca="1">IF(ATALI[[#This Row],[//PAJAK]]="","",INDEX(INDIRECT("PAJAK["&amp;ATALI[#Headers]&amp;"]"),ATALI[[#This Row],[//PAJAK]]-1))</f>
        <v>44953</v>
      </c>
      <c r="G32" s="7" t="str">
        <f ca="1">IF(ATALI[[#This Row],[//PAJAK]]="","",INDEX(INDIRECT("PAJAK["&amp;ATALI[#Headers]&amp;"]"),ATALI[[#This Row],[//PAJAK]]-1))</f>
        <v>SA230101591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20269532.5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18260840.090090089</v>
      </c>
      <c r="L32" s="1">
        <f ca="1">ATALI[[#This Row],[DPP]]*11%</f>
        <v>2008692.4099099098</v>
      </c>
      <c r="M32" s="1">
        <f ca="1">ATALI[[#This Row],[DPP]]+ATALI[[#This Row],[PPN (11%)]]</f>
        <v>20269532.5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846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73</v>
      </c>
      <c r="C33" s="12">
        <f ca="1">HYPERLINK("[NOTA_.xlsx]PAJAK!b"&amp;ATALI[[#This Row],[//PAJAK]],IF(ATALI[[#This Row],[//PAJAK]]="","",INDEX(INDIRECT("PAJAK["&amp;ATALI[#Headers]&amp;"]"),ATALI[[#This Row],[//PAJAK]]-1)))</f>
        <v>162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44959</v>
      </c>
      <c r="F33" s="2">
        <f ca="1">IF(ATALI[[#This Row],[//PAJAK]]="","",INDEX(INDIRECT("PAJAK["&amp;ATALI[#Headers]&amp;"]"),ATALI[[#This Row],[//PAJAK]]-1))</f>
        <v>44956</v>
      </c>
      <c r="G33" s="7" t="str">
        <f ca="1">IF(ATALI[[#This Row],[//PAJAK]]="","",INDEX(INDIRECT("PAJAK["&amp;ATALI[#Headers]&amp;"]"),ATALI[[#This Row],[//PAJAK]]-1))</f>
        <v>SA230101701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7361550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6632027.0270270268</v>
      </c>
      <c r="L33" s="1">
        <f ca="1">ATALI[[#This Row],[DPP]]*11%</f>
        <v>729522.9729729729</v>
      </c>
      <c r="M33" s="1">
        <f ca="1">ATALI[[#This Row],[DPP]]+ATALI[[#This Row],[PPN (11%)]]</f>
        <v>7361550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848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74</v>
      </c>
      <c r="C34" s="12">
        <f ca="1">HYPERLINK("[NOTA_.xlsx]PAJAK!b"&amp;ATALI[[#This Row],[//PAJAK]],IF(ATALI[[#This Row],[//PAJAK]]="","",INDEX(INDIRECT("PAJAK["&amp;ATALI[#Headers]&amp;"]"),ATALI[[#This Row],[//PAJAK]]-1)))</f>
        <v>163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44959</v>
      </c>
      <c r="F34" s="2">
        <f ca="1">IF(ATALI[[#This Row],[//PAJAK]]="","",INDEX(INDIRECT("PAJAK["&amp;ATALI[#Headers]&amp;"]"),ATALI[[#This Row],[//PAJAK]]-1))</f>
        <v>44957</v>
      </c>
      <c r="G34" s="7" t="str">
        <f ca="1">IF(ATALI[[#This Row],[//PAJAK]]="","",INDEX(INDIRECT("PAJAK["&amp;ATALI[#Headers]&amp;"]"),ATALI[[#This Row],[//PAJAK]]-1))</f>
        <v>SA230101817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10975559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9887890.9909909908</v>
      </c>
      <c r="L34" s="1">
        <f ca="1">ATALI[[#This Row],[DPP]]*11%</f>
        <v>1087668.009009009</v>
      </c>
      <c r="M34" s="1">
        <f ca="1">ATALI[[#This Row],[DPP]]+ATALI[[#This Row],[PPN (11%)]]</f>
        <v>10975559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859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75</v>
      </c>
      <c r="C35" s="12">
        <f ca="1">HYPERLINK("[NOTA_.xlsx]PAJAK!b"&amp;ATALI[[#This Row],[//PAJAK]],IF(ATALI[[#This Row],[//PAJAK]]="","",INDEX(INDIRECT("PAJAK["&amp;ATALI[#Headers]&amp;"]"),ATALI[[#This Row],[//PAJAK]]-1)))</f>
        <v>164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44959</v>
      </c>
      <c r="F35" s="2">
        <f ca="1">IF(ATALI[[#This Row],[//PAJAK]]="","",INDEX(INDIRECT("PAJAK["&amp;ATALI[#Headers]&amp;"]"),ATALI[[#This Row],[//PAJAK]]-1))</f>
        <v>44957</v>
      </c>
      <c r="G35" s="7" t="str">
        <f ca="1">IF(ATALI[[#This Row],[//PAJAK]]="","",INDEX(INDIRECT("PAJAK["&amp;ATALI[#Headers]&amp;"]"),ATALI[[#This Row],[//PAJAK]]-1))</f>
        <v>SA230101822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4341120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3910918.9189189184</v>
      </c>
      <c r="L35" s="1">
        <f ca="1">ATALI[[#This Row],[DPP]]*11%</f>
        <v>430201.08108108101</v>
      </c>
      <c r="M35" s="1">
        <f ca="1">ATALI[[#This Row],[DPP]]+ATALI[[#This Row],[PPN (11%)]]</f>
        <v>4341119.9999999991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5</v>
      </c>
      <c r="F1" t="str">
        <f ca="1">MID(G1,FIND("]",G1)+1,LEN(G1)-FIND("]",G1))</f>
        <v>KALINDO</v>
      </c>
      <c r="G1" s="4" t="str">
        <f ca="1">CELL("filename",G1)</f>
        <v>D:\kerja\BANK EXP\BARU\2023\01 JAN\[NOTA 01 JAN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285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23</v>
      </c>
      <c r="C3" s="12">
        <f ca="1">HYPERLINK("[NOTA_.xlsx]PAJAK!b"&amp;KALINDO[[#This Row],[//PAJAK]],IF(KALINDO[[#This Row],[//PAJAK]]="","",INDEX(INDIRECT("PAJAK["&amp;KALINDO[#Headers]&amp;"]"),KALINDO[[#This Row],[//PAJAK]]-1)))</f>
        <v>55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44937</v>
      </c>
      <c r="F3" s="2">
        <f ca="1">IF(KALINDO[[#This Row],[//PAJAK]]="","",INDEX(INDIRECT("PAJAK["&amp;KALINDO[#Headers]&amp;"]"),KALINDO[[#This Row],[//PAJAK]]-1))</f>
        <v>44932</v>
      </c>
      <c r="G3" s="7" t="str">
        <f ca="1">IF(KALINDO[[#This Row],[//PAJAK]]="","",INDEX(INDIRECT("PAJAK["&amp;KALINDO[#Headers]&amp;"]"),KALINDO[[#This Row],[//PAJAK]]-1))</f>
        <v>SN23010066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23688000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21340540.540540539</v>
      </c>
      <c r="L3" s="1">
        <f ca="1">KALINDO[[#This Row],[DPP]]*11%</f>
        <v>2347459.4594594594</v>
      </c>
      <c r="M3" s="1">
        <f ca="1">KALINDO[[#This Row],[DPP]]+KALINDO[[#This Row],[PPN (11%)]]</f>
        <v>23688000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345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29</v>
      </c>
      <c r="C4" s="12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44938</v>
      </c>
      <c r="F4" s="2">
        <f ca="1">IF(KALINDO[[#This Row],[//PAJAK]]="","",INDEX(INDIRECT("PAJAK["&amp;KALINDO[#Headers]&amp;"]"),KALINDO[[#This Row],[//PAJAK]]-1))</f>
        <v>44935</v>
      </c>
      <c r="G4" s="7" t="str">
        <f ca="1">IF(KALINDO[[#This Row],[//PAJAK]]="","",INDEX(INDIRECT("PAJAK["&amp;KALINDO[#Headers]&amp;"]"),KALINDO[[#This Row],[//PAJAK]]-1))</f>
        <v>SN23010093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32278750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29079954.954954952</v>
      </c>
      <c r="L4" s="1">
        <f ca="1">KALINDO[[#This Row],[DPP]]*11%</f>
        <v>3198795.0450450447</v>
      </c>
      <c r="M4" s="1">
        <f ca="1">KALINDO[[#This Row],[DPP]]+KALINDO[[#This Row],[PPN (11%)]]</f>
        <v>32278749.999999996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357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30</v>
      </c>
      <c r="C5" s="12">
        <f ca="1">HYPERLINK("[NOTA_.xlsx]PAJAK!b"&amp;KALINDO[[#This Row],[//PAJAK]],IF(KALINDO[[#This Row],[//PAJAK]]="","",INDEX(INDIRECT("PAJAK["&amp;KALINDO[#Headers]&amp;"]"),KALINDO[[#This Row],[//PAJAK]]-1)))</f>
        <v>68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44938</v>
      </c>
      <c r="F5" s="2">
        <f ca="1">IF(KALINDO[[#This Row],[//PAJAK]]="","",INDEX(INDIRECT("PAJAK["&amp;KALINDO[#Headers]&amp;"]"),KALINDO[[#This Row],[//PAJAK]]-1))</f>
        <v>44935</v>
      </c>
      <c r="G5" s="7" t="str">
        <f ca="1">IF(KALINDO[[#This Row],[//PAJAK]]="","",INDEX(INDIRECT("PAJAK["&amp;KALINDO[#Headers]&amp;"]"),KALINDO[[#This Row],[//PAJAK]]-1))</f>
        <v>SN23010094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3940125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3549662.1621621619</v>
      </c>
      <c r="L5" s="1">
        <f ca="1">KALINDO[[#This Row],[DPP]]*11%</f>
        <v>390462.83783783781</v>
      </c>
      <c r="M5" s="1">
        <f ca="1">KALINDO[[#This Row],[DPP]]+KALINDO[[#This Row],[PPN (11%)]]</f>
        <v>3940124.9999999995</v>
      </c>
    </row>
    <row r="6" spans="1:13" x14ac:dyDescent="0.25">
      <c r="A6" s="13">
        <f ca="1">HYPERLINK("[NOTA_.xlsx]NOTA!A"&amp;MATCH(KALINDO[[#This Row],[ID]],NOTA[ID],0)+2,IF(KALINDO[[#This Row],[//PAJAK]]="","",MATCH(KALINDO[[#This Row],[ID]],NOTA[ID],0)+2))</f>
        <v>501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45</v>
      </c>
      <c r="C6" s="12">
        <f ca="1">HYPERLINK("[NOTA_.xlsx]PAJAK!b"&amp;KALINDO[[#This Row],[//PAJAK]],IF(KALINDO[[#This Row],[//PAJAK]]="","",INDEX(INDIRECT("PAJAK["&amp;KALINDO[#Headers]&amp;"]"),KALINDO[[#This Row],[//PAJAK]]-1)))</f>
        <v>92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44944</v>
      </c>
      <c r="F6" s="2">
        <f ca="1">IF(KALINDO[[#This Row],[//PAJAK]]="","",INDEX(INDIRECT("PAJAK["&amp;KALINDO[#Headers]&amp;"]"),KALINDO[[#This Row],[//PAJAK]]-1))</f>
        <v>44939</v>
      </c>
      <c r="G6" s="7" t="str">
        <f ca="1">IF(KALINDO[[#This Row],[//PAJAK]]="","",INDEX(INDIRECT("PAJAK["&amp;KALINDO[#Headers]&amp;"]"),KALINDO[[#This Row],[//PAJAK]]-1))</f>
        <v>SN23010133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19866875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17898085.585585583</v>
      </c>
      <c r="L6" s="1">
        <f ca="1">KALINDO[[#This Row],[DPP]]*11%</f>
        <v>1968789.4144144142</v>
      </c>
      <c r="M6" s="1">
        <f ca="1">KALINDO[[#This Row],[DPP]]+KALINDO[[#This Row],[PPN (11%)]]</f>
        <v>19866874.999999996</v>
      </c>
    </row>
    <row r="7" spans="1:13" x14ac:dyDescent="0.25">
      <c r="A7" s="13">
        <f ca="1">HYPERLINK("[NOTA_.xlsx]NOTA!A"&amp;MATCH(KALINDO[[#This Row],[ID]],NOTA[ID],0)+2,IF(KALINDO[[#This Row],[//PAJAK]]="","",MATCH(KALINDO[[#This Row],[ID]],NOTA[ID],0)+2))</f>
        <v>591</v>
      </c>
      <c r="B7" s="5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>53</v>
      </c>
      <c r="C7" s="12">
        <f ca="1">HYPERLINK("[NOTA_.xlsx]PAJAK!b"&amp;KALINDO[[#This Row],[//PAJAK]],IF(KALINDO[[#This Row],[//PAJAK]]="","",INDEX(INDIRECT("PAJAK["&amp;KALINDO[#Headers]&amp;"]"),KALINDO[[#This Row],[//PAJAK]]-1)))</f>
        <v>109</v>
      </c>
      <c r="D7" s="3" t="str">
        <f ca="1">IF(KALINDO[[#This Row],[//PAJAK]]="","",INDEX(INDIRECT("PAJAK["&amp;KALINDO[#Headers]&amp;"]"),KALINDO[[#This Row],[//PAJAK]]-1))</f>
        <v>PT KALINDO SUKSES</v>
      </c>
      <c r="E7" s="2">
        <f ca="1">IF(KALINDO[[#This Row],[//PAJAK]]="","",INDEX(INDIRECT("PAJAK["&amp;KALINDO[#Headers]&amp;"]"),KALINDO[[#This Row],[//PAJAK]]-1))</f>
        <v>44946</v>
      </c>
      <c r="F7" s="2">
        <f ca="1">IF(KALINDO[[#This Row],[//PAJAK]]="","",INDEX(INDIRECT("PAJAK["&amp;KALINDO[#Headers]&amp;"]"),KALINDO[[#This Row],[//PAJAK]]-1))</f>
        <v>44943</v>
      </c>
      <c r="G7" s="7" t="str">
        <f ca="1">IF(KALINDO[[#This Row],[//PAJAK]]="","",INDEX(INDIRECT("PAJAK["&amp;KALINDO[#Headers]&amp;"]"),KALINDO[[#This Row],[//PAJAK]]-1))</f>
        <v>SN23010172</v>
      </c>
      <c r="H7" s="3" t="str">
        <f ca="1">IF(KALINDO[[#This Row],[//PAJAK]]="","",INDEX(INDIRECT("PAJAK["&amp;KALINDO[#Headers]&amp;"]"),KALINDO[[#This Row],[//PAJAK]]-1))</f>
        <v/>
      </c>
      <c r="I7" s="1">
        <f ca="1">IF(KALINDO[[#This Row],[//PAJAK]]="","",INDEX(PAJAK[SUB T-DISC],KALINDO[[#This Row],[//PAJAK]]-1))</f>
        <v>4688250</v>
      </c>
      <c r="J7" s="1">
        <f ca="1">IF(KALINDO[[#This Row],[//PAJAK]]="","",INDEX(PAJAK[DISC DLL],KALINDO[[#This Row],[//PAJAK]]-1))</f>
        <v>0</v>
      </c>
      <c r="K7" s="1">
        <f ca="1">(KALINDO[[#This Row],[SUB TOTAL]]-KALINDO[[#This Row],[DISKON]])/1.11</f>
        <v>4223648.6486486485</v>
      </c>
      <c r="L7" s="1">
        <f ca="1">KALINDO[[#This Row],[DPP]]*11%</f>
        <v>464601.35135135136</v>
      </c>
      <c r="M7" s="1">
        <f ca="1">KALINDO[[#This Row],[DPP]]+KALINDO[[#This Row],[PPN (11%)]]</f>
        <v>4688250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EXP\BARU\2023\01 JAN\[NOTA 01 JAN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387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36</v>
      </c>
      <c r="C3" s="12">
        <f ca="1">HYPERLINK("[NOTA_.xlsx]PAJAK!b"&amp;J_UTAMA[[#This Row],[//PAJAK]],IF(J_UTAMA[[#This Row],[//PAJAK]]="","",INDEX(INDIRECT("PAJAK["&amp;J_UTAMA[#Headers]&amp;"]"),J_UTAMA[[#This Row],[//PAJAK]]-1)))</f>
        <v>75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44940</v>
      </c>
      <c r="F3" s="2">
        <f ca="1">IF(J_UTAMA[[#This Row],[//PAJAK]]="","",INDEX(INDIRECT("PAJAK["&amp;J_UTAMA[#Headers]&amp;"]"),J_UTAMA[[#This Row],[//PAJAK]]-1))</f>
        <v>44938</v>
      </c>
      <c r="G3" s="25" t="str">
        <f ca="1">IF(J_UTAMA[[#This Row],[//PAJAK]]="","",INDEX(INDIRECT("PAJAK["&amp;J_UTAMA[#Headers]&amp;"]"),J_UTAMA[[#This Row],[//PAJAK]]-1))</f>
        <v>JUA325/23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8760000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7891891.8918918911</v>
      </c>
      <c r="L3" s="1">
        <f ca="1">J_UTAMA[[#This Row],[DPP]]*11%</f>
        <v>868108.10810810805</v>
      </c>
      <c r="M3" s="1">
        <f ca="1">J_UTAMA[[#This Row],[DPP]]+J_UTAMA[[#This Row],[PPN (11%)]]</f>
        <v>8760000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G1" workbookViewId="0">
      <selection activeCell="N3" sqref="N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89" bestFit="1" customWidth="1"/>
    <col min="9" max="9" width="14" style="189" bestFit="1" customWidth="1"/>
    <col min="10" max="10" width="15.28515625" style="189" bestFit="1" customWidth="1"/>
    <col min="11" max="11" width="16.28515625" style="189" bestFit="1" customWidth="1"/>
    <col min="12" max="12" width="15.28515625" style="18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EXP\BARU\2023\01 JAN\[NOTA 01 JAN 2023.xlsx]SDI</v>
      </c>
      <c r="K1" s="189">
        <f ca="1">(400881.99*(100/11))*1.11+I3</f>
        <v>4170374.9696727279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90" t="s">
        <v>39</v>
      </c>
      <c r="I2" s="190" t="s">
        <v>40</v>
      </c>
      <c r="J2" s="190" t="s">
        <v>42</v>
      </c>
      <c r="K2" s="190" t="s">
        <v>45</v>
      </c>
      <c r="L2" s="190" t="s">
        <v>22</v>
      </c>
      <c r="M2" s="11" t="s">
        <v>836</v>
      </c>
      <c r="N2" s="11" t="s">
        <v>837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56</v>
      </c>
      <c r="B3" s="12">
        <f ca="1">HYPERLINK("[NOTA_.xlsx]PAJAK!b"&amp;SDI[[#This Row],[//PAJAK]],IF(SDI[[#This Row],[//PAJAK]]="","",INDEX(INDIRECT("PAJAK["&amp;SDI[#Headers]&amp;"]"),SDI[[#This Row],[//PAJAK]]-1)))</f>
        <v>122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44947</v>
      </c>
      <c r="E3" s="2">
        <f ca="1">IF(SDI[[#This Row],[//PAJAK]]="","",INDEX(INDIRECT("PAJAK["&amp;SDI[#Headers]&amp;"]"),SDI[[#This Row],[//PAJAK]]-1))</f>
        <v>44945</v>
      </c>
      <c r="F3" s="25" t="str">
        <f ca="1">IF(SDI[[#This Row],[//PAJAK]]="","",INDEX(INDIRECT("PAJAK["&amp;SDI[#Headers]&amp;"]"),SDI[[#This Row],[//PAJAK]]-1))</f>
        <v>SINV99-230100000430</v>
      </c>
      <c r="G3" s="3" t="str">
        <f ca="1">IF(SDI[[#This Row],[//PAJAK]]="","",INDEX(INDIRECT("PAJAK["&amp;SDI[#Headers]&amp;"]"),SDI[[#This Row],[//PAJAK]]-1))</f>
        <v/>
      </c>
      <c r="H3" s="188">
        <f ca="1">IF(SDI[[#This Row],[//PAJAK]]="","",((INDEX(INDIRECT("PAJAK["&amp;SDI[#Headers]&amp;"]"),SDI[[#This Row],[//PAJAK]]-1))-SDI[[#This Row],[H_DISKON]])*1.11)</f>
        <v>4170380.4450000003</v>
      </c>
      <c r="I3" s="188">
        <f ca="1">IF(SDI[[#This Row],[//PAJAK]]="","",SDI[[#This Row],[H_DISC DLL]]*1.11)</f>
        <v>125111.25240000001</v>
      </c>
      <c r="J3" s="188">
        <f ca="1">(SDI[[#This Row],[SUB TOTAL]]-SDI[[#This Row],[DISKON]])/1.11</f>
        <v>3644386.6599999997</v>
      </c>
      <c r="K3" s="188">
        <f ca="1">SDI[[#This Row],[DPP]]*11%</f>
        <v>400882.53259999998</v>
      </c>
      <c r="L3" s="188">
        <f ca="1">SDI[[#This Row],[DPP]]+SDI[[#This Row],[PPN (11%)]]</f>
        <v>4045269.1925999997</v>
      </c>
      <c r="M3" s="188">
        <f ca="1">IF(SDI[[#This Row],[//PAJAK]]="","",INDEX(PAJAK[DISKON],SDI[[#This Row],[//PAJAK]]-1))</f>
        <v>796960.5</v>
      </c>
      <c r="N3" s="188">
        <f ca="1">IF(SDI[[#This Row],[//PAJAK]]="","",INDEX(PAJAK[DISC DLL],SDI[[#This Row],[//PAJAK]]-1))</f>
        <v>112712.84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89" t="str">
        <f ca="1">IF(SDI[[#This Row],[//PAJAK]]="","",((INDEX(INDIRECT("PAJAK["&amp;SDI[#Headers]&amp;"]"),SDI[[#This Row],[//PAJAK]]-1))-SDI[[#This Row],[H_DISKON]])*1.11)</f>
        <v/>
      </c>
      <c r="I4" s="189" t="str">
        <f ca="1">IF(SDI[[#This Row],[//PAJAK]]="","",SDI[[#This Row],[H_DISC DLL]]*1.11)</f>
        <v/>
      </c>
      <c r="J4" s="189" t="e">
        <f ca="1">(SDI[[#This Row],[SUB TOTAL]]-SDI[[#This Row],[DISKON]])/1.11</f>
        <v>#VALUE!</v>
      </c>
      <c r="K4" s="189" t="e">
        <f ca="1">SDI[[#This Row],[DPP]]*11%</f>
        <v>#VALUE!</v>
      </c>
      <c r="L4" s="189" t="e">
        <f ca="1">SDI[[#This Row],[DPP]]+SDI[[#This Row],[PPN (11%)]]</f>
        <v>#VALUE!</v>
      </c>
      <c r="M4" s="189" t="str">
        <f ca="1">IF(SDI[[#This Row],[//PAJAK]]="","",INDEX(PAJAK[DISKON],SDI[[#This Row],[//PAJAK]]-1))</f>
        <v/>
      </c>
      <c r="N4" s="18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89" t="str">
        <f ca="1">IF(SDI[[#This Row],[//PAJAK]]="","",((INDEX(INDIRECT("PAJAK["&amp;SDI[#Headers]&amp;"]"),SDI[[#This Row],[//PAJAK]]-1))-SDI[[#This Row],[H_DISKON]])*1.11)</f>
        <v/>
      </c>
      <c r="I5" s="189" t="str">
        <f ca="1">IF(SDI[[#This Row],[//PAJAK]]="","",SDI[[#This Row],[H_DISC DLL]]*1.11)</f>
        <v/>
      </c>
      <c r="J5" s="189" t="e">
        <f ca="1">(SDI[[#This Row],[SUB TOTAL]]-SDI[[#This Row],[DISKON]])/1.11</f>
        <v>#VALUE!</v>
      </c>
      <c r="K5" s="189" t="e">
        <f ca="1">SDI[[#This Row],[DPP]]*11%</f>
        <v>#VALUE!</v>
      </c>
      <c r="L5" s="189" t="e">
        <f ca="1">SDI[[#This Row],[DPP]]+SDI[[#This Row],[PPN (11%)]]</f>
        <v>#VALUE!</v>
      </c>
      <c r="M5" s="189" t="str">
        <f ca="1">IF(SDI[[#This Row],[//PAJAK]]="","",INDEX(PAJAK[DISKON],SDI[[#This Row],[//PAJAK]]-1))</f>
        <v/>
      </c>
      <c r="N5" s="18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89" t="str">
        <f ca="1">IF(SDI[[#This Row],[//PAJAK]]="","",((INDEX(INDIRECT("PAJAK["&amp;SDI[#Headers]&amp;"]"),SDI[[#This Row],[//PAJAK]]-1))-SDI[[#This Row],[H_DISKON]])*1.11)</f>
        <v/>
      </c>
      <c r="I6" s="189" t="str">
        <f ca="1">IF(SDI[[#This Row],[//PAJAK]]="","",SDI[[#This Row],[H_DISC DLL]]*1.11)</f>
        <v/>
      </c>
      <c r="J6" s="189" t="e">
        <f ca="1">(SDI[[#This Row],[SUB TOTAL]]-SDI[[#This Row],[DISKON]])/1.11</f>
        <v>#VALUE!</v>
      </c>
      <c r="K6" s="189" t="e">
        <f ca="1">SDI[[#This Row],[DPP]]*11%</f>
        <v>#VALUE!</v>
      </c>
      <c r="L6" s="189" t="e">
        <f ca="1">SDI[[#This Row],[DPP]]+SDI[[#This Row],[PPN (11%)]]</f>
        <v>#VALUE!</v>
      </c>
      <c r="M6" s="189" t="str">
        <f ca="1">IF(SDI[[#This Row],[//PAJAK]]="","",INDEX(PAJAK[DISKON],SDI[[#This Row],[//PAJAK]]-1))</f>
        <v/>
      </c>
      <c r="N6" s="18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89" t="str">
        <f ca="1">IF(SDI[[#This Row],[//PAJAK]]="","",((INDEX(INDIRECT("PAJAK["&amp;SDI[#Headers]&amp;"]"),SDI[[#This Row],[//PAJAK]]-1))-SDI[[#This Row],[H_DISKON]])*1.11)</f>
        <v/>
      </c>
      <c r="I7" s="189" t="str">
        <f ca="1">IF(SDI[[#This Row],[//PAJAK]]="","",SDI[[#This Row],[H_DISC DLL]]*1.11)</f>
        <v/>
      </c>
      <c r="J7" s="189" t="e">
        <f ca="1">(SDI[[#This Row],[SUB TOTAL]]-SDI[[#This Row],[DISKON]])/1.11</f>
        <v>#VALUE!</v>
      </c>
      <c r="K7" s="189" t="e">
        <f ca="1">SDI[[#This Row],[DPP]]*11%</f>
        <v>#VALUE!</v>
      </c>
      <c r="L7" s="189" t="e">
        <f ca="1">SDI[[#This Row],[DPP]]+SDI[[#This Row],[PPN (11%)]]</f>
        <v>#VALUE!</v>
      </c>
      <c r="M7" s="189" t="str">
        <f ca="1">IF(SDI[[#This Row],[//PAJAK]]="","",INDEX(PAJAK[DISKON],SDI[[#This Row],[//PAJAK]]-1))</f>
        <v/>
      </c>
      <c r="N7" s="18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89" t="str">
        <f ca="1">IF(SDI[[#This Row],[//PAJAK]]="","",((INDEX(INDIRECT("PAJAK["&amp;SDI[#Headers]&amp;"]"),SDI[[#This Row],[//PAJAK]]-1))-SDI[[#This Row],[H_DISKON]])*1.11)</f>
        <v/>
      </c>
      <c r="I8" s="189" t="str">
        <f ca="1">IF(SDI[[#This Row],[//PAJAK]]="","",SDI[[#This Row],[H_DISC DLL]]*1.11)</f>
        <v/>
      </c>
      <c r="J8" s="189" t="e">
        <f ca="1">(SDI[[#This Row],[SUB TOTAL]]-SDI[[#This Row],[DISKON]])/1.11</f>
        <v>#VALUE!</v>
      </c>
      <c r="K8" s="189" t="e">
        <f ca="1">SDI[[#This Row],[DPP]]*11%</f>
        <v>#VALUE!</v>
      </c>
      <c r="L8" s="189" t="e">
        <f ca="1">SDI[[#This Row],[DPP]]+SDI[[#This Row],[PPN (11%)]]</f>
        <v>#VALUE!</v>
      </c>
      <c r="M8" s="189" t="str">
        <f ca="1">IF(SDI[[#This Row],[//PAJAK]]="","",INDEX(PAJAK[DISKON],SDI[[#This Row],[//PAJAK]]-1))</f>
        <v/>
      </c>
      <c r="N8" s="18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89" t="str">
        <f ca="1">IF(SDI[[#This Row],[//PAJAK]]="","",((INDEX(INDIRECT("PAJAK["&amp;SDI[#Headers]&amp;"]"),SDI[[#This Row],[//PAJAK]]-1))-SDI[[#This Row],[H_DISKON]])*1.11)</f>
        <v/>
      </c>
      <c r="I9" s="189" t="str">
        <f ca="1">IF(SDI[[#This Row],[//PAJAK]]="","",SDI[[#This Row],[H_DISC DLL]]*1.11)</f>
        <v/>
      </c>
      <c r="J9" s="189" t="e">
        <f ca="1">(SDI[[#This Row],[SUB TOTAL]]-SDI[[#This Row],[DISKON]])/1.11</f>
        <v>#VALUE!</v>
      </c>
      <c r="K9" s="189" t="e">
        <f ca="1">SDI[[#This Row],[DPP]]*11%</f>
        <v>#VALUE!</v>
      </c>
      <c r="L9" s="189" t="e">
        <f ca="1">SDI[[#This Row],[DPP]]+SDI[[#This Row],[PPN (11%)]]</f>
        <v>#VALUE!</v>
      </c>
      <c r="M9" s="189" t="str">
        <f ca="1">IF(SDI[[#This Row],[//PAJAK]]="","",INDEX(PAJAK[DISKON],SDI[[#This Row],[//PAJAK]]-1))</f>
        <v/>
      </c>
      <c r="N9" s="18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89" t="str">
        <f ca="1">IF(SDI[[#This Row],[//PAJAK]]="","",((INDEX(INDIRECT("PAJAK["&amp;SDI[#Headers]&amp;"]"),SDI[[#This Row],[//PAJAK]]-1))-SDI[[#This Row],[H_DISKON]])*1.11)</f>
        <v/>
      </c>
      <c r="I10" s="189" t="str">
        <f ca="1">IF(SDI[[#This Row],[//PAJAK]]="","",SDI[[#This Row],[H_DISC DLL]]*1.11)</f>
        <v/>
      </c>
      <c r="J10" s="189" t="e">
        <f ca="1">(SDI[[#This Row],[SUB TOTAL]]-SDI[[#This Row],[DISKON]])/1.11</f>
        <v>#VALUE!</v>
      </c>
      <c r="K10" s="189" t="e">
        <f ca="1">SDI[[#This Row],[DPP]]*11%</f>
        <v>#VALUE!</v>
      </c>
      <c r="L10" s="189" t="e">
        <f ca="1">SDI[[#This Row],[DPP]]+SDI[[#This Row],[PPN (11%)]]</f>
        <v>#VALUE!</v>
      </c>
      <c r="M10" s="189" t="str">
        <f ca="1">IF(SDI[[#This Row],[//PAJAK]]="","",INDEX(PAJAK[DISKON],SDI[[#This Row],[//PAJAK]]-1))</f>
        <v/>
      </c>
      <c r="N10" s="18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89" t="str">
        <f ca="1">IF(SDI[[#This Row],[//PAJAK]]="","",((INDEX(INDIRECT("PAJAK["&amp;SDI[#Headers]&amp;"]"),SDI[[#This Row],[//PAJAK]]-1))-SDI[[#This Row],[H_DISKON]])*1.11)</f>
        <v/>
      </c>
      <c r="I11" s="189" t="str">
        <f ca="1">IF(SDI[[#This Row],[//PAJAK]]="","",SDI[[#This Row],[H_DISC DLL]]*1.11)</f>
        <v/>
      </c>
      <c r="J11" s="189" t="e">
        <f ca="1">(SDI[[#This Row],[SUB TOTAL]]-SDI[[#This Row],[DISKON]])/1.11</f>
        <v>#VALUE!</v>
      </c>
      <c r="K11" s="189" t="e">
        <f ca="1">SDI[[#This Row],[DPP]]*11%</f>
        <v>#VALUE!</v>
      </c>
      <c r="L11" s="189" t="e">
        <f ca="1">SDI[[#This Row],[DPP]]+SDI[[#This Row],[PPN (11%)]]</f>
        <v>#VALUE!</v>
      </c>
      <c r="M11" s="189" t="str">
        <f ca="1">IF(SDI[[#This Row],[//PAJAK]]="","",INDEX(PAJAK[DISKON],SDI[[#This Row],[//PAJAK]]-1))</f>
        <v/>
      </c>
      <c r="N11" s="18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EXP\BARU\2023\01 JAN\[NOTA 01 JAN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740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62</v>
      </c>
      <c r="C3" s="12">
        <f ca="1">HYPERLINK("[NOTA_.xlsx]PAJAK!b"&amp;SAJ[[#This Row],[//PAJAK]],IF(SAJ[[#This Row],[//PAJAK]]="","",INDEX(INDIRECT("PAJAK["&amp;SAJ[#Headers]&amp;"]"),SAJ[[#This Row],[//PAJAK]]-1)))</f>
        <v>139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44953</v>
      </c>
      <c r="F3" s="2">
        <f ca="1">IF(SAJ[[#This Row],[//PAJAK]]="","",INDEX(INDIRECT("PAJAK["&amp;SAJ[#Headers]&amp;"]"),SAJ[[#This Row],[//PAJAK]]-1))</f>
        <v>44940</v>
      </c>
      <c r="G3" s="25" t="str">
        <f ca="1">IF(SAJ[[#This Row],[//PAJAK]]="","",INDEX(INDIRECT("PAJAK["&amp;SAJ[#Headers]&amp;"]"),SAJ[[#This Row],[//PAJAK]]-1))</f>
        <v>JL-61231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5472000</v>
      </c>
      <c r="J3" s="1">
        <f ca="1">IF(SAJ[[#This Row],[//PAJAK]]="","",INDEX(INDIRECT("PAJAK["&amp;SAJ[#Headers]&amp;"]"),SAJ[[#This Row],[//PAJAK]]-1))</f>
        <v>273600</v>
      </c>
      <c r="K3" s="1">
        <f ca="1">(SAJ[[#This Row],[SUB TOTAL]]-SAJ[[#This Row],[DISKON]])/1.11</f>
        <v>4683243.2432432426</v>
      </c>
      <c r="L3" s="1">
        <f ca="1">SAJ[[#This Row],[DPP]]*11%</f>
        <v>515156.75675675669</v>
      </c>
      <c r="M3" s="1">
        <f ca="1">SAJ[[#This Row],[DPP]]+SAJ[[#This Row],[PPN (11%)]]</f>
        <v>5198399.9999999991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840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160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44958</v>
      </c>
      <c r="F4" s="2">
        <f ca="1">IF(SAJ[[#This Row],[//PAJAK]]="","",INDEX(INDIRECT("PAJAK["&amp;SAJ[#Headers]&amp;"]"),SAJ[[#This Row],[//PAJAK]]-1))</f>
        <v>44957</v>
      </c>
      <c r="G4" t="str">
        <f ca="1">IF(SAJ[[#This Row],[//PAJAK]]="","",INDEX(INDIRECT("PAJAK["&amp;SAJ[#Headers]&amp;"]"),SAJ[[#This Row],[//PAJAK]]-1))</f>
        <v>JL-61563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43668000</v>
      </c>
      <c r="J4" s="1">
        <f ca="1">IF(SAJ[[#This Row],[//PAJAK]]="","",INDEX(INDIRECT("PAJAK["&amp;SAJ[#Headers]&amp;"]"),SAJ[[#This Row],[//PAJAK]]-1))</f>
        <v>2183400</v>
      </c>
      <c r="K4" s="1">
        <f ca="1">(SAJ[[#This Row],[SUB TOTAL]]-SAJ[[#This Row],[DISKON]])/1.11</f>
        <v>37373513.513513513</v>
      </c>
      <c r="L4" s="1">
        <f ca="1">SAJ[[#This Row],[DPP]]*11%</f>
        <v>4111086.4864864866</v>
      </c>
      <c r="M4" s="1">
        <f ca="1">SAJ[[#This Row],[DPP]]+SAJ[[#This Row],[PPN (11%)]]</f>
        <v>41484600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EXP\BARU\2023\01 JAN\[NOTA 01 JAN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49</v>
      </c>
      <c r="C3" s="12">
        <f ca="1">HYPERLINK("[NOTA_.xlsx]PAJAK!b"&amp;MGN[[#This Row],[//PAJAK]],IF(MGN[[#This Row],[//PAJAK]]="","",INDEX(INDIRECT("PAJAK["&amp;MGN[#Headers]&amp;"]"),MGN[[#This Row],[//PAJAK]]-1)))</f>
        <v>105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44946</v>
      </c>
      <c r="F3" s="2">
        <f ca="1">IF(MGN[[#This Row],[//PAJAK]]="","",INDEX(INDIRECT("PAJAK["&amp;MGN[#Headers]&amp;"]"),MGN[[#This Row],[//PAJAK]]-1))</f>
        <v>44945</v>
      </c>
      <c r="G3" s="25" t="str">
        <f ca="1">IF(MGN[[#This Row],[//PAJAK]]="","",INDEX(INDIRECT("PAJAK["&amp;MGN[#Headers]&amp;"]"),MGN[[#This Row],[//PAJAK]]-1))</f>
        <v>L201055</v>
      </c>
      <c r="H3" s="3">
        <f ca="1">IF(MGN[[#This Row],[//PAJAK]]="","",INDEX(INDIRECT("PAJAK["&amp;MGN[#Headers]&amp;"]"),MGN[[#This Row],[//PAJAK]]-1))</f>
        <v>201126</v>
      </c>
      <c r="I3" s="1">
        <f ca="1">IF(MGN[[#This Row],[//PAJAK]]="","",INDEX(INDIRECT("PAJAK["&amp;MGN[#Headers]&amp;"]"),MGN[[#This Row],[//PAJAK]]-1))</f>
        <v>48000000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39459459.459459454</v>
      </c>
      <c r="L3" s="1">
        <f ca="1">MGN[[#This Row],[DPP]]*11%</f>
        <v>4340540.5405405397</v>
      </c>
      <c r="M3" s="1">
        <f ca="1">MGN[[#This Row],[DPP]]+MGN[[#This Row],[PPN (11%)]]</f>
        <v>43799999.999999993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2023-02-04T09:21:40Z</dcterms:modified>
</cp:coreProperties>
</file>