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2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PAJAK!$D$3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PAJAK!$G$3</definedName>
    <definedName name="ponter">PAJAK!$G$3</definedName>
  </definedNames>
  <calcPr calcId="152511"/>
  <pivotCaches>
    <pivotCache cacheId="10" r:id="rId6"/>
  </pivotCaches>
</workbook>
</file>

<file path=xl/calcChain.xml><?xml version="1.0" encoding="utf-8"?>
<calcChain xmlns="http://schemas.openxmlformats.org/spreadsheetml/2006/main">
  <c r="B4" i="1" l="1"/>
  <c r="B5" i="1"/>
  <c r="B7" i="1"/>
  <c r="B8" i="1"/>
  <c r="B10" i="1"/>
  <c r="B11" i="1"/>
  <c r="B12" i="1"/>
  <c r="B14" i="1"/>
  <c r="B15" i="1"/>
  <c r="B16" i="1"/>
  <c r="B17" i="1"/>
  <c r="B18" i="1"/>
  <c r="B19" i="1"/>
  <c r="B21" i="1"/>
  <c r="B22" i="1"/>
  <c r="B23" i="1"/>
  <c r="B24" i="1"/>
  <c r="B26" i="1"/>
  <c r="B27" i="1"/>
  <c r="B29" i="1"/>
  <c r="B31" i="1"/>
  <c r="B33" i="1"/>
  <c r="B35" i="1"/>
  <c r="B36" i="1"/>
  <c r="B37" i="1"/>
  <c r="B38" i="1"/>
  <c r="B39" i="1"/>
  <c r="B41" i="1"/>
  <c r="B43" i="1"/>
  <c r="B44" i="1"/>
  <c r="B45" i="1"/>
  <c r="B46" i="1"/>
  <c r="B47" i="1"/>
  <c r="B48" i="1"/>
  <c r="B50" i="1"/>
  <c r="B52" i="1"/>
  <c r="B53" i="1"/>
  <c r="B55" i="1"/>
  <c r="B56" i="1"/>
  <c r="B58" i="1"/>
  <c r="B60" i="1"/>
  <c r="B61" i="1"/>
  <c r="B62" i="1"/>
  <c r="B63" i="1"/>
  <c r="B64" i="1"/>
  <c r="B65" i="1"/>
  <c r="B67" i="1"/>
  <c r="B68" i="1"/>
  <c r="B69" i="1"/>
  <c r="B70" i="1"/>
  <c r="B72" i="1"/>
  <c r="B73" i="1"/>
  <c r="B75" i="1"/>
  <c r="B76" i="1"/>
  <c r="B77" i="1"/>
  <c r="B79" i="1"/>
  <c r="B81" i="1"/>
  <c r="B82" i="1"/>
  <c r="B83" i="1"/>
  <c r="B84" i="1"/>
  <c r="B86" i="1"/>
  <c r="B88" i="1"/>
  <c r="B90" i="1"/>
  <c r="B91" i="1"/>
  <c r="B93" i="1"/>
  <c r="B94" i="1"/>
  <c r="B96" i="1"/>
  <c r="B97" i="1"/>
  <c r="B99" i="1"/>
  <c r="B101" i="1"/>
  <c r="B102" i="1"/>
  <c r="B103" i="1"/>
  <c r="B105" i="1"/>
  <c r="B106" i="1"/>
  <c r="B108" i="1"/>
  <c r="B109" i="1"/>
  <c r="B111" i="1"/>
  <c r="B112" i="1"/>
  <c r="B114" i="1"/>
  <c r="B115" i="1"/>
  <c r="B116" i="1"/>
  <c r="B117" i="1"/>
  <c r="B118" i="1"/>
  <c r="B119" i="1"/>
  <c r="B121" i="1"/>
  <c r="B123" i="1"/>
  <c r="B124" i="1"/>
  <c r="B125" i="1"/>
  <c r="B126" i="1"/>
  <c r="B128" i="1"/>
  <c r="B130" i="1"/>
  <c r="B132" i="1"/>
  <c r="B133" i="1"/>
  <c r="B135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7" i="1"/>
  <c r="B168" i="1"/>
  <c r="B169" i="1"/>
  <c r="B171" i="1"/>
  <c r="B172" i="1"/>
  <c r="B173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3" i="1"/>
  <c r="B6" i="1"/>
  <c r="B9" i="1"/>
  <c r="B13" i="1"/>
  <c r="B20" i="1"/>
  <c r="B25" i="1"/>
  <c r="B28" i="1"/>
  <c r="B30" i="1"/>
  <c r="B32" i="1"/>
  <c r="B34" i="1"/>
  <c r="B40" i="1"/>
  <c r="B42" i="1"/>
  <c r="B49" i="1"/>
  <c r="B51" i="1"/>
  <c r="B54" i="1"/>
  <c r="B57" i="1"/>
  <c r="B59" i="1"/>
  <c r="B66" i="1"/>
  <c r="B71" i="1"/>
  <c r="B74" i="1"/>
  <c r="B78" i="1"/>
  <c r="B80" i="1"/>
  <c r="B85" i="1"/>
  <c r="B87" i="1"/>
  <c r="B89" i="1"/>
  <c r="B92" i="1"/>
  <c r="B95" i="1"/>
  <c r="B98" i="1"/>
  <c r="B100" i="1"/>
  <c r="B104" i="1"/>
  <c r="B107" i="1"/>
  <c r="B110" i="1"/>
  <c r="B113" i="1"/>
  <c r="B120" i="1"/>
  <c r="B122" i="1"/>
  <c r="B127" i="1"/>
  <c r="B129" i="1"/>
  <c r="B131" i="1"/>
  <c r="B134" i="1"/>
  <c r="C133" i="1" l="1"/>
  <c r="H133" i="1"/>
  <c r="A133" i="1" s="1"/>
  <c r="AD133" i="1" s="1"/>
  <c r="I133" i="1"/>
  <c r="J133" i="1"/>
  <c r="O133" i="1"/>
  <c r="T133" i="1"/>
  <c r="W133" i="1"/>
  <c r="X133" i="1" s="1"/>
  <c r="Y133" i="1"/>
  <c r="Z133" i="1"/>
  <c r="AA133" i="1"/>
  <c r="AB133" i="1"/>
  <c r="AC133" i="1"/>
  <c r="AF133" i="1"/>
  <c r="B136" i="1"/>
  <c r="B153" i="1"/>
  <c r="B166" i="1"/>
  <c r="C90" i="1" l="1"/>
  <c r="H90" i="1"/>
  <c r="A90" i="1" s="1"/>
  <c r="AD90" i="1" s="1"/>
  <c r="I90" i="1"/>
  <c r="J90" i="1"/>
  <c r="O90" i="1"/>
  <c r="Y90" i="1"/>
  <c r="Z90" i="1" s="1"/>
  <c r="AA90" i="1"/>
  <c r="AF90" i="1"/>
  <c r="C101" i="1"/>
  <c r="C102" i="1"/>
  <c r="H101" i="1"/>
  <c r="A101" i="1" s="1"/>
  <c r="AD101" i="1" s="1"/>
  <c r="H102" i="1"/>
  <c r="A102" i="1" s="1"/>
  <c r="AD102" i="1" s="1"/>
  <c r="I101" i="1"/>
  <c r="I102" i="1"/>
  <c r="J101" i="1"/>
  <c r="J102" i="1"/>
  <c r="O101" i="1"/>
  <c r="O102" i="1"/>
  <c r="W102" i="1"/>
  <c r="X102" i="1" s="1"/>
  <c r="Y101" i="1"/>
  <c r="Y102" i="1"/>
  <c r="Z101" i="1"/>
  <c r="Z102" i="1"/>
  <c r="AA101" i="1"/>
  <c r="AA102" i="1"/>
  <c r="AB101" i="1"/>
  <c r="AB102" i="1"/>
  <c r="AC101" i="1"/>
  <c r="T101" i="1" s="1"/>
  <c r="AC102" i="1"/>
  <c r="T102" i="1" s="1"/>
  <c r="AF101" i="1"/>
  <c r="AF102" i="1"/>
  <c r="B170" i="1"/>
  <c r="B174" i="1" s="1"/>
  <c r="AB90" i="1" l="1"/>
  <c r="AC90" i="1" s="1"/>
  <c r="T90" i="1" s="1"/>
  <c r="C92" i="1"/>
  <c r="G3" i="4" l="1"/>
  <c r="C13" i="1" l="1"/>
  <c r="N3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R3" i="4"/>
  <c r="R5" i="4" s="1"/>
  <c r="T3" i="4"/>
  <c r="Q3" i="4"/>
  <c r="S3" i="4"/>
  <c r="U3" i="4"/>
  <c r="V3" i="4"/>
  <c r="W3" i="4"/>
  <c r="R56" i="4" l="1"/>
  <c r="R52" i="4"/>
  <c r="R48" i="4"/>
  <c r="R44" i="4"/>
  <c r="R40" i="4"/>
  <c r="R36" i="4"/>
  <c r="R32" i="4"/>
  <c r="R28" i="4"/>
  <c r="R24" i="4"/>
  <c r="R20" i="4"/>
  <c r="R16" i="4"/>
  <c r="R12" i="4"/>
  <c r="R8" i="4"/>
  <c r="R54" i="4"/>
  <c r="R50" i="4"/>
  <c r="R46" i="4"/>
  <c r="R42" i="4"/>
  <c r="R38" i="4"/>
  <c r="R34" i="4"/>
  <c r="R30" i="4"/>
  <c r="R26" i="4"/>
  <c r="R22" i="4"/>
  <c r="R18" i="4"/>
  <c r="R14" i="4"/>
  <c r="R10" i="4"/>
  <c r="R6" i="4"/>
  <c r="R57" i="4"/>
  <c r="R55" i="4"/>
  <c r="R53" i="4"/>
  <c r="R51" i="4"/>
  <c r="R49" i="4"/>
  <c r="R47" i="4"/>
  <c r="R45" i="4"/>
  <c r="R43" i="4"/>
  <c r="R41" i="4"/>
  <c r="R39" i="4"/>
  <c r="R37" i="4"/>
  <c r="R35" i="4"/>
  <c r="R33" i="4"/>
  <c r="R31" i="4"/>
  <c r="R29" i="4"/>
  <c r="R27" i="4"/>
  <c r="R25" i="4"/>
  <c r="R23" i="4"/>
  <c r="R21" i="4"/>
  <c r="R19" i="4"/>
  <c r="R17" i="4"/>
  <c r="R15" i="4"/>
  <c r="R13" i="4"/>
  <c r="R11" i="4"/>
  <c r="R9" i="4"/>
  <c r="R7" i="4"/>
  <c r="C3" i="1" l="1"/>
  <c r="C4" i="1"/>
  <c r="C5" i="1"/>
  <c r="C6" i="1"/>
  <c r="C7" i="1"/>
  <c r="C8" i="1"/>
  <c r="C9" i="1"/>
  <c r="C10" i="1"/>
  <c r="C11" i="1"/>
  <c r="C12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1" i="1"/>
  <c r="C93" i="1"/>
  <c r="C94" i="1"/>
  <c r="C95" i="1"/>
  <c r="C96" i="1"/>
  <c r="C97" i="1"/>
  <c r="C98" i="1"/>
  <c r="C99" i="1"/>
  <c r="C100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H224" i="1" l="1"/>
  <c r="A224" i="1" s="1"/>
  <c r="AD224" i="1" s="1"/>
  <c r="I224" i="1"/>
  <c r="J224" i="1"/>
  <c r="Y224" i="1"/>
  <c r="Z224" i="1" s="1"/>
  <c r="AF224" i="1"/>
  <c r="AA224" i="1" l="1"/>
  <c r="AB224" i="1" s="1"/>
  <c r="AC224" i="1" s="1"/>
  <c r="T224" i="1" s="1"/>
  <c r="H178" i="1" l="1"/>
  <c r="A178" i="1" s="1"/>
  <c r="AD178" i="1" s="1"/>
  <c r="I178" i="1"/>
  <c r="J178" i="1"/>
  <c r="O178" i="1"/>
  <c r="W178" i="1"/>
  <c r="X178" i="1" s="1"/>
  <c r="Y178" i="1"/>
  <c r="Z178" i="1" s="1"/>
  <c r="AB178" i="1"/>
  <c r="AC178" i="1"/>
  <c r="T178" i="1" s="1"/>
  <c r="AF178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AA178" i="1" l="1"/>
  <c r="O162" i="1"/>
  <c r="H155" i="1" l="1"/>
  <c r="A155" i="1" s="1"/>
  <c r="AD155" i="1" s="1"/>
  <c r="I155" i="1"/>
  <c r="J155" i="1"/>
  <c r="O155" i="1"/>
  <c r="Y155" i="1"/>
  <c r="Z155" i="1" s="1"/>
  <c r="AF155" i="1"/>
  <c r="AA155" i="1" l="1"/>
  <c r="AB155" i="1" s="1"/>
  <c r="AC155" i="1" s="1"/>
  <c r="T155" i="1" s="1"/>
  <c r="H149" i="1"/>
  <c r="A149" i="1" s="1"/>
  <c r="AD149" i="1" s="1"/>
  <c r="I149" i="1"/>
  <c r="J149" i="1"/>
  <c r="O149" i="1"/>
  <c r="Y149" i="1"/>
  <c r="Z149" i="1" s="1"/>
  <c r="AF149" i="1"/>
  <c r="AA149" i="1" l="1"/>
  <c r="AB149" i="1" s="1"/>
  <c r="AC149" i="1" s="1"/>
  <c r="T149" i="1" s="1"/>
  <c r="H137" i="1"/>
  <c r="A137" i="1" s="1"/>
  <c r="AD137" i="1" s="1"/>
  <c r="I137" i="1"/>
  <c r="J137" i="1"/>
  <c r="O137" i="1"/>
  <c r="Y137" i="1"/>
  <c r="Z137" i="1" s="1"/>
  <c r="AF137" i="1"/>
  <c r="I131" i="1"/>
  <c r="J131" i="1"/>
  <c r="O131" i="1"/>
  <c r="Y131" i="1"/>
  <c r="Z131" i="1" s="1"/>
  <c r="AF131" i="1"/>
  <c r="H115" i="1"/>
  <c r="A115" i="1" s="1"/>
  <c r="AD115" i="1" s="1"/>
  <c r="H116" i="1"/>
  <c r="A116" i="1" s="1"/>
  <c r="AD116" i="1" s="1"/>
  <c r="H117" i="1"/>
  <c r="A117" i="1" s="1"/>
  <c r="AD117" i="1" s="1"/>
  <c r="H118" i="1"/>
  <c r="A118" i="1" s="1"/>
  <c r="AD118" i="1" s="1"/>
  <c r="H119" i="1"/>
  <c r="A119" i="1" s="1"/>
  <c r="AD119" i="1" s="1"/>
  <c r="H121" i="1"/>
  <c r="A121" i="1" s="1"/>
  <c r="AD121" i="1" s="1"/>
  <c r="H123" i="1"/>
  <c r="A123" i="1" s="1"/>
  <c r="AD123" i="1" s="1"/>
  <c r="H114" i="1"/>
  <c r="A114" i="1" s="1"/>
  <c r="AD114" i="1" s="1"/>
  <c r="I113" i="1"/>
  <c r="I114" i="1"/>
  <c r="I115" i="1"/>
  <c r="I116" i="1"/>
  <c r="I117" i="1"/>
  <c r="I118" i="1"/>
  <c r="I119" i="1"/>
  <c r="I120" i="1"/>
  <c r="I121" i="1"/>
  <c r="I122" i="1"/>
  <c r="I123" i="1"/>
  <c r="J113" i="1"/>
  <c r="J114" i="1"/>
  <c r="J115" i="1"/>
  <c r="J116" i="1"/>
  <c r="J117" i="1"/>
  <c r="J118" i="1"/>
  <c r="J119" i="1"/>
  <c r="J120" i="1"/>
  <c r="J121" i="1"/>
  <c r="J122" i="1"/>
  <c r="J123" i="1"/>
  <c r="O113" i="1"/>
  <c r="O114" i="1"/>
  <c r="O115" i="1"/>
  <c r="O116" i="1"/>
  <c r="O117" i="1"/>
  <c r="O118" i="1"/>
  <c r="O119" i="1"/>
  <c r="O120" i="1"/>
  <c r="O121" i="1"/>
  <c r="O122" i="1"/>
  <c r="O123" i="1"/>
  <c r="Y113" i="1"/>
  <c r="Z113" i="1" s="1"/>
  <c r="Y114" i="1"/>
  <c r="AA114" i="1" s="1"/>
  <c r="Y115" i="1"/>
  <c r="Z115" i="1" s="1"/>
  <c r="Y116" i="1"/>
  <c r="Z116" i="1" s="1"/>
  <c r="Y117" i="1"/>
  <c r="Z117" i="1" s="1"/>
  <c r="Y118" i="1"/>
  <c r="Z118" i="1" s="1"/>
  <c r="Y119" i="1"/>
  <c r="Z119" i="1" s="1"/>
  <c r="Y120" i="1"/>
  <c r="Z120" i="1" s="1"/>
  <c r="Y121" i="1"/>
  <c r="Z121" i="1" s="1"/>
  <c r="Y122" i="1"/>
  <c r="Z122" i="1" s="1"/>
  <c r="Y123" i="1"/>
  <c r="Z123" i="1" s="1"/>
  <c r="Z114" i="1"/>
  <c r="AF113" i="1"/>
  <c r="AF114" i="1"/>
  <c r="AF115" i="1"/>
  <c r="AF116" i="1"/>
  <c r="AF117" i="1"/>
  <c r="AF118" i="1"/>
  <c r="AF119" i="1"/>
  <c r="AF120" i="1"/>
  <c r="AF121" i="1"/>
  <c r="AF122" i="1"/>
  <c r="AF123" i="1"/>
  <c r="AA118" i="1" l="1"/>
  <c r="AA137" i="1"/>
  <c r="AB137" i="1" s="1"/>
  <c r="AC137" i="1" s="1"/>
  <c r="T137" i="1" s="1"/>
  <c r="AA123" i="1"/>
  <c r="AB123" i="1" s="1"/>
  <c r="AC123" i="1" s="1"/>
  <c r="T123" i="1" s="1"/>
  <c r="AA131" i="1"/>
  <c r="AB131" i="1" s="1"/>
  <c r="AC131" i="1" s="1"/>
  <c r="T131" i="1" s="1"/>
  <c r="AA122" i="1"/>
  <c r="AB122" i="1" s="1"/>
  <c r="AC122" i="1" s="1"/>
  <c r="T122" i="1" s="1"/>
  <c r="AA120" i="1"/>
  <c r="AB120" i="1" s="1"/>
  <c r="AC120" i="1" s="1"/>
  <c r="T120" i="1" s="1"/>
  <c r="AA116" i="1"/>
  <c r="AB116" i="1" s="1"/>
  <c r="AC116" i="1" s="1"/>
  <c r="T116" i="1" s="1"/>
  <c r="AA121" i="1"/>
  <c r="AB121" i="1" s="1"/>
  <c r="AC121" i="1" s="1"/>
  <c r="T121" i="1" s="1"/>
  <c r="AA119" i="1"/>
  <c r="AB119" i="1" s="1"/>
  <c r="AC119" i="1" s="1"/>
  <c r="T119" i="1" s="1"/>
  <c r="AA117" i="1"/>
  <c r="AB117" i="1" s="1"/>
  <c r="AC117" i="1" s="1"/>
  <c r="T117" i="1" s="1"/>
  <c r="AA115" i="1"/>
  <c r="AB115" i="1" s="1"/>
  <c r="AC115" i="1" s="1"/>
  <c r="T115" i="1" s="1"/>
  <c r="AA113" i="1"/>
  <c r="AB113" i="1" s="1"/>
  <c r="AC113" i="1" s="1"/>
  <c r="T113" i="1" s="1"/>
  <c r="AB114" i="1"/>
  <c r="AC114" i="1" s="1"/>
  <c r="T114" i="1" s="1"/>
  <c r="AB118" i="1"/>
  <c r="AC118" i="1" s="1"/>
  <c r="T118" i="1" s="1"/>
  <c r="H135" i="1" l="1"/>
  <c r="A135" i="1" s="1"/>
  <c r="AD135" i="1" s="1"/>
  <c r="I134" i="1"/>
  <c r="I135" i="1"/>
  <c r="J134" i="1"/>
  <c r="J135" i="1"/>
  <c r="O134" i="1"/>
  <c r="O135" i="1"/>
  <c r="Y134" i="1"/>
  <c r="Y135" i="1"/>
  <c r="Z134" i="1"/>
  <c r="Z135" i="1"/>
  <c r="AA134" i="1"/>
  <c r="AB134" i="1" s="1"/>
  <c r="AC134" i="1" s="1"/>
  <c r="T134" i="1" s="1"/>
  <c r="AA135" i="1"/>
  <c r="AB135" i="1"/>
  <c r="AC135" i="1"/>
  <c r="T135" i="1" s="1"/>
  <c r="AF134" i="1"/>
  <c r="AF135" i="1"/>
  <c r="H128" i="1"/>
  <c r="A128" i="1" s="1"/>
  <c r="AD128" i="1" s="1"/>
  <c r="H130" i="1"/>
  <c r="A130" i="1" s="1"/>
  <c r="AD130" i="1" s="1"/>
  <c r="I128" i="1"/>
  <c r="I129" i="1"/>
  <c r="I130" i="1"/>
  <c r="J128" i="1"/>
  <c r="J129" i="1"/>
  <c r="J130" i="1"/>
  <c r="O128" i="1"/>
  <c r="O129" i="1"/>
  <c r="O130" i="1"/>
  <c r="Y128" i="1"/>
  <c r="Z128" i="1" s="1"/>
  <c r="Y129" i="1"/>
  <c r="Y130" i="1"/>
  <c r="Z130" i="1" s="1"/>
  <c r="Z129" i="1"/>
  <c r="AA128" i="1"/>
  <c r="AA129" i="1"/>
  <c r="AA130" i="1"/>
  <c r="AB129" i="1"/>
  <c r="AC129" i="1" s="1"/>
  <c r="T129" i="1" s="1"/>
  <c r="AF128" i="1"/>
  <c r="AF129" i="1"/>
  <c r="AF130" i="1"/>
  <c r="H125" i="1"/>
  <c r="A125" i="1" s="1"/>
  <c r="AD125" i="1" s="1"/>
  <c r="H126" i="1"/>
  <c r="A126" i="1" s="1"/>
  <c r="AD126" i="1" s="1"/>
  <c r="I125" i="1"/>
  <c r="I126" i="1"/>
  <c r="J125" i="1"/>
  <c r="J126" i="1"/>
  <c r="O125" i="1"/>
  <c r="O126" i="1"/>
  <c r="W126" i="1"/>
  <c r="X126" i="1" s="1"/>
  <c r="Y125" i="1"/>
  <c r="Z125" i="1" s="1"/>
  <c r="Y126" i="1"/>
  <c r="Z126" i="1" s="1"/>
  <c r="AB126" i="1"/>
  <c r="AC126" i="1"/>
  <c r="T126" i="1" s="1"/>
  <c r="AF125" i="1"/>
  <c r="AF126" i="1"/>
  <c r="H111" i="1"/>
  <c r="A111" i="1" s="1"/>
  <c r="AD111" i="1" s="1"/>
  <c r="H112" i="1"/>
  <c r="A112" i="1" s="1"/>
  <c r="AD112" i="1" s="1"/>
  <c r="I110" i="1"/>
  <c r="I111" i="1"/>
  <c r="I112" i="1"/>
  <c r="J110" i="1"/>
  <c r="J111" i="1"/>
  <c r="J112" i="1"/>
  <c r="O110" i="1"/>
  <c r="O111" i="1"/>
  <c r="O112" i="1"/>
  <c r="Y110" i="1"/>
  <c r="Z110" i="1" s="1"/>
  <c r="Y111" i="1"/>
  <c r="Y112" i="1"/>
  <c r="Z112" i="1" s="1"/>
  <c r="Z111" i="1"/>
  <c r="AA110" i="1"/>
  <c r="AA111" i="1"/>
  <c r="AA112" i="1"/>
  <c r="AB111" i="1"/>
  <c r="AC111" i="1" s="1"/>
  <c r="T111" i="1" s="1"/>
  <c r="AF110" i="1"/>
  <c r="AF111" i="1"/>
  <c r="AF112" i="1"/>
  <c r="H140" i="1"/>
  <c r="A140" i="1" s="1"/>
  <c r="AD140" i="1" s="1"/>
  <c r="I140" i="1"/>
  <c r="J140" i="1"/>
  <c r="O140" i="1"/>
  <c r="Y140" i="1"/>
  <c r="Z140" i="1" s="1"/>
  <c r="AF140" i="1"/>
  <c r="AA126" i="1" l="1"/>
  <c r="AA125" i="1"/>
  <c r="AB125" i="1" s="1"/>
  <c r="AC125" i="1" s="1"/>
  <c r="T125" i="1" s="1"/>
  <c r="AB130" i="1"/>
  <c r="AC130" i="1" s="1"/>
  <c r="T130" i="1" s="1"/>
  <c r="AB128" i="1"/>
  <c r="AC128" i="1" s="1"/>
  <c r="T128" i="1" s="1"/>
  <c r="AB112" i="1"/>
  <c r="AC112" i="1" s="1"/>
  <c r="T112" i="1" s="1"/>
  <c r="AB110" i="1"/>
  <c r="AC110" i="1" s="1"/>
  <c r="T110" i="1" s="1"/>
  <c r="AA140" i="1"/>
  <c r="AB140" i="1" s="1"/>
  <c r="AC140" i="1" s="1"/>
  <c r="T140" i="1" s="1"/>
  <c r="I132" i="1" l="1"/>
  <c r="J132" i="1"/>
  <c r="O132" i="1"/>
  <c r="Y132" i="1"/>
  <c r="Z132" i="1" s="1"/>
  <c r="AF132" i="1"/>
  <c r="I109" i="1"/>
  <c r="J109" i="1"/>
  <c r="O109" i="1"/>
  <c r="Y109" i="1"/>
  <c r="Z109" i="1" s="1"/>
  <c r="AF109" i="1"/>
  <c r="I124" i="1"/>
  <c r="J124" i="1"/>
  <c r="O124" i="1"/>
  <c r="Y124" i="1"/>
  <c r="Z124" i="1" s="1"/>
  <c r="AF124" i="1"/>
  <c r="I127" i="1"/>
  <c r="J127" i="1"/>
  <c r="O127" i="1"/>
  <c r="Y127" i="1"/>
  <c r="Z127" i="1" s="1"/>
  <c r="AF127" i="1"/>
  <c r="I136" i="1"/>
  <c r="J136" i="1"/>
  <c r="O136" i="1"/>
  <c r="Y136" i="1"/>
  <c r="Z136" i="1" s="1"/>
  <c r="AF136" i="1"/>
  <c r="AA132" i="1" l="1"/>
  <c r="AB132" i="1" s="1"/>
  <c r="AC132" i="1" s="1"/>
  <c r="T132" i="1" s="1"/>
  <c r="AA136" i="1"/>
  <c r="AB136" i="1" s="1"/>
  <c r="AC136" i="1" s="1"/>
  <c r="T136" i="1" s="1"/>
  <c r="AA127" i="1"/>
  <c r="AB127" i="1" s="1"/>
  <c r="AC127" i="1" s="1"/>
  <c r="T127" i="1" s="1"/>
  <c r="AA124" i="1"/>
  <c r="AB124" i="1" s="1"/>
  <c r="AC124" i="1" s="1"/>
  <c r="T124" i="1" s="1"/>
  <c r="AA109" i="1"/>
  <c r="AB109" i="1" s="1"/>
  <c r="AC109" i="1" s="1"/>
  <c r="T109" i="1" s="1"/>
  <c r="Y105" i="1" l="1"/>
  <c r="Z105" i="1" s="1"/>
  <c r="H105" i="1"/>
  <c r="A105" i="1" s="1"/>
  <c r="AD105" i="1" s="1"/>
  <c r="I105" i="1"/>
  <c r="J105" i="1"/>
  <c r="O105" i="1"/>
  <c r="AF105" i="1" l="1"/>
  <c r="AA105" i="1"/>
  <c r="AB105" i="1" s="1"/>
  <c r="AC105" i="1" s="1"/>
  <c r="T105" i="1" s="1"/>
  <c r="O87" i="1"/>
  <c r="O61" i="1" l="1"/>
  <c r="O58" i="1" l="1"/>
  <c r="H15" i="1" l="1"/>
  <c r="A15" i="1" s="1"/>
  <c r="AD15" i="1" s="1"/>
  <c r="I15" i="1"/>
  <c r="J15" i="1"/>
  <c r="O15" i="1"/>
  <c r="Y15" i="1"/>
  <c r="Z15" i="1" s="1"/>
  <c r="AF15" i="1"/>
  <c r="AA15" i="1" l="1"/>
  <c r="AB15" i="1" s="1"/>
  <c r="AC15" i="1" s="1"/>
  <c r="T15" i="1" s="1"/>
  <c r="H218" i="1"/>
  <c r="A218" i="1" s="1"/>
  <c r="AD218" i="1" s="1"/>
  <c r="I218" i="1"/>
  <c r="J218" i="1"/>
  <c r="O218" i="1"/>
  <c r="Y218" i="1"/>
  <c r="Z218" i="1" s="1"/>
  <c r="AF218" i="1"/>
  <c r="AA218" i="1" l="1"/>
  <c r="AB218" i="1" s="1"/>
  <c r="AC218" i="1" s="1"/>
  <c r="T218" i="1" s="1"/>
  <c r="H173" i="1" l="1"/>
  <c r="A173" i="1" s="1"/>
  <c r="AD173" i="1" s="1"/>
  <c r="I172" i="1"/>
  <c r="I173" i="1"/>
  <c r="J172" i="1"/>
  <c r="J173" i="1"/>
  <c r="O172" i="1"/>
  <c r="O173" i="1"/>
  <c r="W173" i="1"/>
  <c r="X173" i="1" s="1"/>
  <c r="Y172" i="1"/>
  <c r="Y173" i="1"/>
  <c r="Z173" i="1" s="1"/>
  <c r="AB173" i="1"/>
  <c r="AC173" i="1"/>
  <c r="T173" i="1" s="1"/>
  <c r="AF172" i="1"/>
  <c r="AF173" i="1"/>
  <c r="H100" i="1" l="1"/>
  <c r="AA173" i="1"/>
  <c r="Z172" i="1"/>
  <c r="AA172" i="1"/>
  <c r="AB172" i="1" s="1"/>
  <c r="AC172" i="1" s="1"/>
  <c r="T172" i="1" s="1"/>
  <c r="H163" i="1" l="1"/>
  <c r="A163" i="1" s="1"/>
  <c r="AD163" i="1" s="1"/>
  <c r="I163" i="1"/>
  <c r="J163" i="1"/>
  <c r="O163" i="1"/>
  <c r="Y163" i="1"/>
  <c r="Z163" i="1" s="1"/>
  <c r="AF163" i="1"/>
  <c r="O3" i="1"/>
  <c r="O4" i="1"/>
  <c r="O5" i="1"/>
  <c r="O6" i="1"/>
  <c r="O7" i="1"/>
  <c r="O8" i="1"/>
  <c r="O9" i="1"/>
  <c r="O10" i="1"/>
  <c r="O11" i="1"/>
  <c r="O12" i="1"/>
  <c r="O13" i="1"/>
  <c r="O14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9" i="1"/>
  <c r="O60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8" i="1"/>
  <c r="O89" i="1"/>
  <c r="O91" i="1"/>
  <c r="O92" i="1"/>
  <c r="O93" i="1"/>
  <c r="O94" i="1"/>
  <c r="O95" i="1"/>
  <c r="O96" i="1"/>
  <c r="O97" i="1"/>
  <c r="O98" i="1"/>
  <c r="O99" i="1"/>
  <c r="O100" i="1"/>
  <c r="O103" i="1"/>
  <c r="O104" i="1"/>
  <c r="O106" i="1"/>
  <c r="O107" i="1"/>
  <c r="O108" i="1"/>
  <c r="O138" i="1"/>
  <c r="O139" i="1"/>
  <c r="O141" i="1"/>
  <c r="O142" i="1"/>
  <c r="O143" i="1"/>
  <c r="O144" i="1"/>
  <c r="O145" i="1"/>
  <c r="O146" i="1"/>
  <c r="O147" i="1"/>
  <c r="O148" i="1"/>
  <c r="O150" i="1"/>
  <c r="O151" i="1"/>
  <c r="O152" i="1"/>
  <c r="O153" i="1"/>
  <c r="O154" i="1"/>
  <c r="O156" i="1"/>
  <c r="O157" i="1"/>
  <c r="O158" i="1"/>
  <c r="O159" i="1"/>
  <c r="O160" i="1"/>
  <c r="O161" i="1"/>
  <c r="O164" i="1"/>
  <c r="O165" i="1"/>
  <c r="O166" i="1"/>
  <c r="O167" i="1"/>
  <c r="O168" i="1"/>
  <c r="O169" i="1"/>
  <c r="O170" i="1"/>
  <c r="O174" i="1"/>
  <c r="O175" i="1"/>
  <c r="O176" i="1"/>
  <c r="O177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9" i="1"/>
  <c r="O220" i="1"/>
  <c r="O221" i="1"/>
  <c r="O223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H110" i="1" l="1"/>
  <c r="A110" i="1" s="1"/>
  <c r="AA163" i="1"/>
  <c r="AB163" i="1" s="1"/>
  <c r="AC163" i="1" s="1"/>
  <c r="T163" i="1" s="1"/>
  <c r="H113" i="1" l="1"/>
  <c r="A113" i="1" s="1"/>
  <c r="Y13" i="1"/>
  <c r="H10" i="1"/>
  <c r="A10" i="1" s="1"/>
  <c r="H11" i="1"/>
  <c r="A11" i="1" s="1"/>
  <c r="AD11" i="1" s="1"/>
  <c r="H12" i="1"/>
  <c r="A12" i="1" s="1"/>
  <c r="H13" i="1"/>
  <c r="A13" i="1" s="1"/>
  <c r="I10" i="1"/>
  <c r="I11" i="1"/>
  <c r="I12" i="1"/>
  <c r="I13" i="1"/>
  <c r="J10" i="1"/>
  <c r="J11" i="1"/>
  <c r="J12" i="1"/>
  <c r="J13" i="1"/>
  <c r="Y10" i="1"/>
  <c r="Z10" i="1" s="1"/>
  <c r="Y11" i="1"/>
  <c r="Z11" i="1" s="1"/>
  <c r="Y12" i="1"/>
  <c r="AF10" i="1"/>
  <c r="AF11" i="1"/>
  <c r="AF12" i="1"/>
  <c r="H120" i="1" l="1"/>
  <c r="A120" i="1" s="1"/>
  <c r="H122" i="1"/>
  <c r="A122" i="1" s="1"/>
  <c r="AA11" i="1"/>
  <c r="H91" i="1"/>
  <c r="A91" i="1" s="1"/>
  <c r="AD12" i="1"/>
  <c r="AD10" i="1"/>
  <c r="Z12" i="1"/>
  <c r="AA10" i="1"/>
  <c r="AB10" i="1" s="1"/>
  <c r="AC10" i="1" s="1"/>
  <c r="T10" i="1" s="1"/>
  <c r="AB11" i="1"/>
  <c r="AC11" i="1" s="1"/>
  <c r="T11" i="1" s="1"/>
  <c r="Z13" i="1"/>
  <c r="AA13" i="1"/>
  <c r="AF13" i="1"/>
  <c r="I91" i="1"/>
  <c r="J91" i="1"/>
  <c r="Y91" i="1"/>
  <c r="Z91" i="1" s="1"/>
  <c r="AF91" i="1"/>
  <c r="AA12" i="1" l="1"/>
  <c r="AB12" i="1" s="1"/>
  <c r="AC12" i="1" s="1"/>
  <c r="T12" i="1" s="1"/>
  <c r="AB13" i="1"/>
  <c r="AC13" i="1" s="1"/>
  <c r="T13" i="1" s="1"/>
  <c r="AA91" i="1"/>
  <c r="AB91" i="1" s="1"/>
  <c r="AC91" i="1" s="1"/>
  <c r="T91" i="1" s="1"/>
  <c r="H129" i="1" l="1"/>
  <c r="A129" i="1" s="1"/>
  <c r="H131" i="1"/>
  <c r="A131" i="1" s="1"/>
  <c r="W131" i="1" s="1"/>
  <c r="H134" i="1"/>
  <c r="A134" i="1" s="1"/>
  <c r="H124" i="1"/>
  <c r="A124" i="1" s="1"/>
  <c r="H109" i="1"/>
  <c r="A109" i="1" s="1"/>
  <c r="W109" i="1" s="1"/>
  <c r="H127" i="1"/>
  <c r="A127" i="1" s="1"/>
  <c r="W127" i="1" s="1"/>
  <c r="AF65" i="1"/>
  <c r="AF64" i="1"/>
  <c r="AF63" i="1"/>
  <c r="AF62" i="1"/>
  <c r="AF61" i="1"/>
  <c r="AF60" i="1"/>
  <c r="AF59" i="1"/>
  <c r="AC65" i="1"/>
  <c r="T65" i="1" s="1"/>
  <c r="AB65" i="1"/>
  <c r="Y65" i="1"/>
  <c r="Z65" i="1" s="1"/>
  <c r="Y64" i="1"/>
  <c r="AA64" i="1" s="1"/>
  <c r="Y63" i="1"/>
  <c r="Z63" i="1" s="1"/>
  <c r="Y62" i="1"/>
  <c r="AA62" i="1" s="1"/>
  <c r="Y61" i="1"/>
  <c r="Z61" i="1" s="1"/>
  <c r="Y60" i="1"/>
  <c r="AA60" i="1" s="1"/>
  <c r="Y59" i="1"/>
  <c r="AA59" i="1" s="1"/>
  <c r="W65" i="1"/>
  <c r="X65" i="1" s="1"/>
  <c r="J65" i="1"/>
  <c r="J64" i="1"/>
  <c r="J61" i="1"/>
  <c r="J59" i="1"/>
  <c r="I65" i="1"/>
  <c r="I64" i="1"/>
  <c r="I63" i="1"/>
  <c r="I62" i="1"/>
  <c r="I61" i="1"/>
  <c r="I60" i="1"/>
  <c r="I59" i="1"/>
  <c r="H65" i="1"/>
  <c r="A65" i="1" s="1"/>
  <c r="AD65" i="1" s="1"/>
  <c r="H64" i="1"/>
  <c r="A64" i="1" s="1"/>
  <c r="AD64" i="1" s="1"/>
  <c r="H63" i="1"/>
  <c r="A63" i="1" s="1"/>
  <c r="H61" i="1"/>
  <c r="A61" i="1" s="1"/>
  <c r="AD61" i="1" s="1"/>
  <c r="H59" i="1"/>
  <c r="A59" i="1" s="1"/>
  <c r="A68" i="1"/>
  <c r="AD68" i="1" s="1"/>
  <c r="J68" i="1"/>
  <c r="Y68" i="1"/>
  <c r="Z68" i="1" s="1"/>
  <c r="AF68" i="1"/>
  <c r="W110" i="1"/>
  <c r="W128" i="1"/>
  <c r="H136" i="1" l="1"/>
  <c r="A136" i="1" s="1"/>
  <c r="H172" i="1"/>
  <c r="A172" i="1" s="1"/>
  <c r="H132" i="1"/>
  <c r="A132" i="1" s="1"/>
  <c r="Z59" i="1"/>
  <c r="AB59" i="1" s="1"/>
  <c r="AC59" i="1" s="1"/>
  <c r="T59" i="1" s="1"/>
  <c r="Z62" i="1"/>
  <c r="AB62" i="1" s="1"/>
  <c r="AC62" i="1" s="1"/>
  <c r="T62" i="1" s="1"/>
  <c r="Z60" i="1"/>
  <c r="AB60" i="1" s="1"/>
  <c r="AC60" i="1" s="1"/>
  <c r="T60" i="1" s="1"/>
  <c r="Z64" i="1"/>
  <c r="AB64" i="1" s="1"/>
  <c r="AC64" i="1" s="1"/>
  <c r="T64" i="1" s="1"/>
  <c r="AA61" i="1"/>
  <c r="AB61" i="1" s="1"/>
  <c r="AC61" i="1" s="1"/>
  <c r="T61" i="1" s="1"/>
  <c r="AA63" i="1"/>
  <c r="AB63" i="1" s="1"/>
  <c r="AC63" i="1" s="1"/>
  <c r="T63" i="1" s="1"/>
  <c r="AA65" i="1"/>
  <c r="AA68" i="1"/>
  <c r="AB68" i="1" s="1"/>
  <c r="AC68" i="1" s="1"/>
  <c r="T68" i="1" s="1"/>
  <c r="W134" i="1"/>
  <c r="W129" i="1"/>
  <c r="W132" i="1"/>
  <c r="W111" i="1"/>
  <c r="H14" i="1" l="1"/>
  <c r="A14" i="1" s="1"/>
  <c r="I14" i="1"/>
  <c r="J14" i="1"/>
  <c r="Y14" i="1"/>
  <c r="Z14" i="1" s="1"/>
  <c r="AF14" i="1"/>
  <c r="W135" i="1"/>
  <c r="W130" i="1"/>
  <c r="W112" i="1"/>
  <c r="AD14" i="1" l="1"/>
  <c r="AA14" i="1"/>
  <c r="AB14" i="1" s="1"/>
  <c r="AC14" i="1" s="1"/>
  <c r="T14" i="1" s="1"/>
  <c r="I46" i="1"/>
  <c r="W113" i="1"/>
  <c r="W136" i="1"/>
  <c r="W137" i="1"/>
  <c r="H6" i="1" l="1"/>
  <c r="A6" i="1" s="1"/>
  <c r="I6" i="1"/>
  <c r="J6" i="1"/>
  <c r="Y6" i="1"/>
  <c r="Z6" i="1" s="1"/>
  <c r="AF6" i="1"/>
  <c r="W114" i="1"/>
  <c r="AA6" i="1" l="1"/>
  <c r="AB6" i="1" s="1"/>
  <c r="AC6" i="1" s="1"/>
  <c r="T6" i="1" s="1"/>
  <c r="H42" i="1"/>
  <c r="A42" i="1" s="1"/>
  <c r="I41" i="1"/>
  <c r="I42" i="1"/>
  <c r="J41" i="1"/>
  <c r="Y41" i="1"/>
  <c r="Z41" i="1" s="1"/>
  <c r="Y42" i="1"/>
  <c r="Z42" i="1" s="1"/>
  <c r="AF41" i="1"/>
  <c r="AF42" i="1"/>
  <c r="W115" i="1"/>
  <c r="AA41" i="1" l="1"/>
  <c r="AB41" i="1"/>
  <c r="AC41" i="1" s="1"/>
  <c r="T41" i="1" s="1"/>
  <c r="AA42" i="1"/>
  <c r="AB42" i="1" s="1"/>
  <c r="AC42" i="1" s="1"/>
  <c r="T42" i="1" s="1"/>
  <c r="J8" i="1"/>
  <c r="J17" i="1"/>
  <c r="J18" i="1"/>
  <c r="J20" i="1"/>
  <c r="J22" i="1"/>
  <c r="J23" i="1"/>
  <c r="J25" i="1"/>
  <c r="J26" i="1"/>
  <c r="J27" i="1"/>
  <c r="J29" i="1"/>
  <c r="J31" i="1"/>
  <c r="J32" i="1"/>
  <c r="J33" i="1"/>
  <c r="J34" i="1"/>
  <c r="J35" i="1"/>
  <c r="J36" i="1"/>
  <c r="J37" i="1"/>
  <c r="J39" i="1"/>
  <c r="J43" i="1"/>
  <c r="J45" i="1"/>
  <c r="J47" i="1"/>
  <c r="J48" i="1"/>
  <c r="J49" i="1"/>
  <c r="J50" i="1"/>
  <c r="J51" i="1"/>
  <c r="J56" i="1"/>
  <c r="J57" i="1"/>
  <c r="J67" i="1"/>
  <c r="J70" i="1"/>
  <c r="J71" i="1"/>
  <c r="J72" i="1"/>
  <c r="J74" i="1"/>
  <c r="J75" i="1"/>
  <c r="J76" i="1"/>
  <c r="J77" i="1"/>
  <c r="J78" i="1"/>
  <c r="J81" i="1"/>
  <c r="J82" i="1"/>
  <c r="J83" i="1"/>
  <c r="J84" i="1"/>
  <c r="J85" i="1"/>
  <c r="J87" i="1"/>
  <c r="J88" i="1"/>
  <c r="J89" i="1"/>
  <c r="J92" i="1"/>
  <c r="J93" i="1"/>
  <c r="J94" i="1"/>
  <c r="J95" i="1"/>
  <c r="J96" i="1"/>
  <c r="J97" i="1"/>
  <c r="J98" i="1"/>
  <c r="J99" i="1"/>
  <c r="J103" i="1"/>
  <c r="J107" i="1"/>
  <c r="J108" i="1"/>
  <c r="J138" i="1"/>
  <c r="J139" i="1"/>
  <c r="J141" i="1"/>
  <c r="J143" i="1"/>
  <c r="J145" i="1"/>
  <c r="J146" i="1"/>
  <c r="J147" i="1"/>
  <c r="J150" i="1"/>
  <c r="J151" i="1"/>
  <c r="J153" i="1"/>
  <c r="J154" i="1"/>
  <c r="J156" i="1"/>
  <c r="J158" i="1"/>
  <c r="J159" i="1"/>
  <c r="J160" i="1"/>
  <c r="J161" i="1"/>
  <c r="J162" i="1"/>
  <c r="J164" i="1"/>
  <c r="J165" i="1"/>
  <c r="J166" i="1"/>
  <c r="J167" i="1"/>
  <c r="J169" i="1"/>
  <c r="J171" i="1"/>
  <c r="J175" i="1"/>
  <c r="J176" i="1"/>
  <c r="J179" i="1"/>
  <c r="J180" i="1"/>
  <c r="J181" i="1"/>
  <c r="J182" i="1"/>
  <c r="J183" i="1"/>
  <c r="J185" i="1"/>
  <c r="J186" i="1"/>
  <c r="J188" i="1"/>
  <c r="J190" i="1"/>
  <c r="J192" i="1"/>
  <c r="J193" i="1"/>
  <c r="J194" i="1"/>
  <c r="J195" i="1"/>
  <c r="J197" i="1"/>
  <c r="J199" i="1"/>
  <c r="J200" i="1"/>
  <c r="J202" i="1"/>
  <c r="J203" i="1"/>
  <c r="J205" i="1"/>
  <c r="J207" i="1"/>
  <c r="J208" i="1"/>
  <c r="J209" i="1"/>
  <c r="J210" i="1"/>
  <c r="J211" i="1"/>
  <c r="J212" i="1"/>
  <c r="J213" i="1"/>
  <c r="J214" i="1"/>
  <c r="J215" i="1"/>
  <c r="J216" i="1"/>
  <c r="J217" i="1"/>
  <c r="J219" i="1"/>
  <c r="J220" i="1"/>
  <c r="J221" i="1"/>
  <c r="J222" i="1"/>
  <c r="J223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W116" i="1"/>
  <c r="A1" i="1" l="1"/>
  <c r="AB263" i="1"/>
  <c r="AB262" i="1"/>
  <c r="AB261" i="1"/>
  <c r="AB260" i="1"/>
  <c r="AB259" i="1"/>
  <c r="AB258" i="1"/>
  <c r="AB257" i="1"/>
  <c r="AB256" i="1"/>
  <c r="AB255" i="1"/>
  <c r="AB252" i="1"/>
  <c r="AB237" i="1"/>
  <c r="AB235" i="1"/>
  <c r="AB233" i="1"/>
  <c r="AB228" i="1"/>
  <c r="W117" i="1"/>
  <c r="J73" i="1" l="1"/>
  <c r="J54" i="1"/>
  <c r="J38" i="1"/>
  <c r="J5" i="1"/>
  <c r="J21" i="1"/>
  <c r="J42" i="1"/>
  <c r="J24" i="1"/>
  <c r="J69" i="2"/>
  <c r="J107" i="2" s="1"/>
  <c r="D41" i="2"/>
  <c r="D79" i="2" s="1"/>
  <c r="C1" i="2"/>
  <c r="AF263" i="1"/>
  <c r="AC263" i="1"/>
  <c r="T263" i="1" s="1"/>
  <c r="Y263" i="1"/>
  <c r="W263" i="1"/>
  <c r="X263" i="1" s="1"/>
  <c r="I263" i="1"/>
  <c r="H263" i="1"/>
  <c r="A263" i="1" s="1"/>
  <c r="AD263" i="1" s="1"/>
  <c r="AF262" i="1"/>
  <c r="AC262" i="1"/>
  <c r="T262" i="1" s="1"/>
  <c r="Y262" i="1"/>
  <c r="W262" i="1"/>
  <c r="X262" i="1" s="1"/>
  <c r="I262" i="1"/>
  <c r="H262" i="1"/>
  <c r="A262" i="1" s="1"/>
  <c r="AD262" i="1" s="1"/>
  <c r="AF261" i="1"/>
  <c r="AC261" i="1"/>
  <c r="T261" i="1" s="1"/>
  <c r="Y261" i="1"/>
  <c r="W261" i="1"/>
  <c r="X261" i="1" s="1"/>
  <c r="I261" i="1"/>
  <c r="H261" i="1"/>
  <c r="A261" i="1" s="1"/>
  <c r="AD261" i="1" s="1"/>
  <c r="AF260" i="1"/>
  <c r="AC260" i="1"/>
  <c r="T260" i="1" s="1"/>
  <c r="Y260" i="1"/>
  <c r="W260" i="1"/>
  <c r="X260" i="1" s="1"/>
  <c r="I260" i="1"/>
  <c r="H260" i="1"/>
  <c r="A260" i="1" s="1"/>
  <c r="AD260" i="1" s="1"/>
  <c r="AF259" i="1"/>
  <c r="AC259" i="1"/>
  <c r="T259" i="1" s="1"/>
  <c r="Y259" i="1"/>
  <c r="W259" i="1"/>
  <c r="X259" i="1" s="1"/>
  <c r="I259" i="1"/>
  <c r="H259" i="1"/>
  <c r="A259" i="1" s="1"/>
  <c r="AD259" i="1" s="1"/>
  <c r="AF258" i="1"/>
  <c r="AC258" i="1"/>
  <c r="T258" i="1" s="1"/>
  <c r="Y258" i="1"/>
  <c r="W258" i="1"/>
  <c r="X258" i="1" s="1"/>
  <c r="I258" i="1"/>
  <c r="H258" i="1"/>
  <c r="A258" i="1" s="1"/>
  <c r="AD258" i="1" s="1"/>
  <c r="AF257" i="1"/>
  <c r="AC257" i="1"/>
  <c r="T257" i="1" s="1"/>
  <c r="Y257" i="1"/>
  <c r="W257" i="1"/>
  <c r="X257" i="1" s="1"/>
  <c r="I257" i="1"/>
  <c r="H257" i="1"/>
  <c r="A257" i="1" s="1"/>
  <c r="AD257" i="1" s="1"/>
  <c r="AF256" i="1"/>
  <c r="AC256" i="1"/>
  <c r="T256" i="1" s="1"/>
  <c r="Y256" i="1"/>
  <c r="W256" i="1"/>
  <c r="X256" i="1" s="1"/>
  <c r="I256" i="1"/>
  <c r="H256" i="1"/>
  <c r="A256" i="1" s="1"/>
  <c r="AD256" i="1" s="1"/>
  <c r="AF255" i="1"/>
  <c r="AC255" i="1"/>
  <c r="T255" i="1" s="1"/>
  <c r="Y255" i="1"/>
  <c r="W255" i="1"/>
  <c r="X255" i="1" s="1"/>
  <c r="I255" i="1"/>
  <c r="H255" i="1"/>
  <c r="A255" i="1" s="1"/>
  <c r="AD255" i="1" s="1"/>
  <c r="AF254" i="1"/>
  <c r="Y254" i="1"/>
  <c r="I254" i="1"/>
  <c r="H254" i="1"/>
  <c r="A254" i="1" s="1"/>
  <c r="AD254" i="1" s="1"/>
  <c r="AF253" i="1"/>
  <c r="Y253" i="1"/>
  <c r="W253" i="1"/>
  <c r="I253" i="1"/>
  <c r="H253" i="1"/>
  <c r="A253" i="1" s="1"/>
  <c r="AF252" i="1"/>
  <c r="AC252" i="1"/>
  <c r="T252" i="1" s="1"/>
  <c r="Y252" i="1"/>
  <c r="W252" i="1"/>
  <c r="X252" i="1" s="1"/>
  <c r="I252" i="1"/>
  <c r="H252" i="1"/>
  <c r="A252" i="1" s="1"/>
  <c r="AD252" i="1" s="1"/>
  <c r="AF251" i="1"/>
  <c r="Y251" i="1"/>
  <c r="I251" i="1"/>
  <c r="H251" i="1"/>
  <c r="A251" i="1" s="1"/>
  <c r="AD251" i="1" s="1"/>
  <c r="AF250" i="1"/>
  <c r="Y250" i="1"/>
  <c r="I250" i="1"/>
  <c r="H250" i="1"/>
  <c r="A250" i="1" s="1"/>
  <c r="AD250" i="1" s="1"/>
  <c r="AF249" i="1"/>
  <c r="Y249" i="1"/>
  <c r="I249" i="1"/>
  <c r="H249" i="1"/>
  <c r="A249" i="1" s="1"/>
  <c r="AD249" i="1" s="1"/>
  <c r="AF248" i="1"/>
  <c r="Y248" i="1"/>
  <c r="I248" i="1"/>
  <c r="H248" i="1"/>
  <c r="A248" i="1" s="1"/>
  <c r="AD248" i="1" s="1"/>
  <c r="AF247" i="1"/>
  <c r="Y247" i="1"/>
  <c r="I247" i="1"/>
  <c r="H247" i="1"/>
  <c r="A247" i="1" s="1"/>
  <c r="AD247" i="1" s="1"/>
  <c r="AF246" i="1"/>
  <c r="Y246" i="1"/>
  <c r="I246" i="1"/>
  <c r="H246" i="1"/>
  <c r="A246" i="1" s="1"/>
  <c r="AD246" i="1" s="1"/>
  <c r="AF245" i="1"/>
  <c r="Y245" i="1"/>
  <c r="I245" i="1"/>
  <c r="H245" i="1"/>
  <c r="A245" i="1" s="1"/>
  <c r="AD245" i="1" s="1"/>
  <c r="AF244" i="1"/>
  <c r="Y244" i="1"/>
  <c r="I244" i="1"/>
  <c r="H244" i="1"/>
  <c r="A244" i="1" s="1"/>
  <c r="AD244" i="1" s="1"/>
  <c r="AF243" i="1"/>
  <c r="Y243" i="1"/>
  <c r="I243" i="1"/>
  <c r="H243" i="1"/>
  <c r="A243" i="1" s="1"/>
  <c r="AD243" i="1" s="1"/>
  <c r="AF242" i="1"/>
  <c r="Y242" i="1"/>
  <c r="I242" i="1"/>
  <c r="H242" i="1"/>
  <c r="A242" i="1" s="1"/>
  <c r="AD242" i="1" s="1"/>
  <c r="AF241" i="1"/>
  <c r="Y241" i="1"/>
  <c r="I241" i="1"/>
  <c r="H241" i="1"/>
  <c r="A241" i="1" s="1"/>
  <c r="AD241" i="1" s="1"/>
  <c r="AF240" i="1"/>
  <c r="Y240" i="1"/>
  <c r="I240" i="1"/>
  <c r="H240" i="1"/>
  <c r="A240" i="1" s="1"/>
  <c r="AD240" i="1" s="1"/>
  <c r="AF239" i="1"/>
  <c r="Y239" i="1"/>
  <c r="I239" i="1"/>
  <c r="H239" i="1"/>
  <c r="A239" i="1" s="1"/>
  <c r="AD239" i="1" s="1"/>
  <c r="AF238" i="1"/>
  <c r="Y238" i="1"/>
  <c r="W238" i="1"/>
  <c r="I238" i="1"/>
  <c r="H238" i="1"/>
  <c r="A238" i="1" s="1"/>
  <c r="AF237" i="1"/>
  <c r="AC237" i="1"/>
  <c r="T237" i="1" s="1"/>
  <c r="Y237" i="1"/>
  <c r="W237" i="1"/>
  <c r="X237" i="1" s="1"/>
  <c r="I237" i="1"/>
  <c r="H237" i="1"/>
  <c r="A237" i="1" s="1"/>
  <c r="AD237" i="1" s="1"/>
  <c r="AF236" i="1"/>
  <c r="Y236" i="1"/>
  <c r="W236" i="1"/>
  <c r="I236" i="1"/>
  <c r="H236" i="1"/>
  <c r="A236" i="1" s="1"/>
  <c r="AF235" i="1"/>
  <c r="AC235" i="1"/>
  <c r="T235" i="1" s="1"/>
  <c r="Y235" i="1"/>
  <c r="W235" i="1"/>
  <c r="X235" i="1" s="1"/>
  <c r="I235" i="1"/>
  <c r="H235" i="1"/>
  <c r="A235" i="1" s="1"/>
  <c r="AD235" i="1" s="1"/>
  <c r="AF234" i="1"/>
  <c r="Y234" i="1"/>
  <c r="W234" i="1"/>
  <c r="I234" i="1"/>
  <c r="H234" i="1"/>
  <c r="A234" i="1" s="1"/>
  <c r="AF233" i="1"/>
  <c r="AC233" i="1"/>
  <c r="T233" i="1" s="1"/>
  <c r="Y233" i="1"/>
  <c r="W233" i="1"/>
  <c r="X233" i="1" s="1"/>
  <c r="I233" i="1"/>
  <c r="H233" i="1"/>
  <c r="A233" i="1" s="1"/>
  <c r="AD233" i="1" s="1"/>
  <c r="AF232" i="1"/>
  <c r="Y232" i="1"/>
  <c r="I232" i="1"/>
  <c r="H232" i="1"/>
  <c r="A232" i="1" s="1"/>
  <c r="AD232" i="1" s="1"/>
  <c r="AF231" i="1"/>
  <c r="Y231" i="1"/>
  <c r="I231" i="1"/>
  <c r="H231" i="1"/>
  <c r="A231" i="1" s="1"/>
  <c r="AD231" i="1" s="1"/>
  <c r="AF230" i="1"/>
  <c r="Y230" i="1"/>
  <c r="I230" i="1"/>
  <c r="H230" i="1"/>
  <c r="A230" i="1" s="1"/>
  <c r="AD230" i="1" s="1"/>
  <c r="AF229" i="1"/>
  <c r="Y229" i="1"/>
  <c r="W229" i="1"/>
  <c r="I229" i="1"/>
  <c r="H229" i="1"/>
  <c r="A229" i="1" s="1"/>
  <c r="AF228" i="1"/>
  <c r="AC228" i="1"/>
  <c r="T228" i="1" s="1"/>
  <c r="Y228" i="1"/>
  <c r="W228" i="1"/>
  <c r="X228" i="1" s="1"/>
  <c r="I228" i="1"/>
  <c r="H228" i="1"/>
  <c r="A228" i="1" s="1"/>
  <c r="AD228" i="1" s="1"/>
  <c r="AF227" i="1"/>
  <c r="Y227" i="1"/>
  <c r="I227" i="1"/>
  <c r="H227" i="1"/>
  <c r="A227" i="1" s="1"/>
  <c r="AD227" i="1" s="1"/>
  <c r="AF226" i="1"/>
  <c r="Y226" i="1"/>
  <c r="I226" i="1"/>
  <c r="H226" i="1"/>
  <c r="A226" i="1" s="1"/>
  <c r="AD226" i="1" s="1"/>
  <c r="AF225" i="1"/>
  <c r="Y225" i="1"/>
  <c r="I225" i="1"/>
  <c r="H225" i="1"/>
  <c r="A225" i="1" s="1"/>
  <c r="AD225" i="1" s="1"/>
  <c r="AF223" i="1"/>
  <c r="Y223" i="1"/>
  <c r="I223" i="1"/>
  <c r="H223" i="1"/>
  <c r="A223" i="1" s="1"/>
  <c r="AD223" i="1" s="1"/>
  <c r="AF222" i="1"/>
  <c r="Y222" i="1"/>
  <c r="I222" i="1"/>
  <c r="H222" i="1"/>
  <c r="A222" i="1" s="1"/>
  <c r="AD222" i="1" s="1"/>
  <c r="AF221" i="1"/>
  <c r="Y221" i="1"/>
  <c r="I221" i="1"/>
  <c r="H221" i="1"/>
  <c r="A221" i="1" s="1"/>
  <c r="AD221" i="1" s="1"/>
  <c r="AF220" i="1"/>
  <c r="Y220" i="1"/>
  <c r="I220" i="1"/>
  <c r="H220" i="1"/>
  <c r="A220" i="1" s="1"/>
  <c r="AD220" i="1" s="1"/>
  <c r="AF219" i="1"/>
  <c r="Y219" i="1"/>
  <c r="I219" i="1"/>
  <c r="AF217" i="1"/>
  <c r="Y217" i="1"/>
  <c r="I217" i="1"/>
  <c r="H217" i="1"/>
  <c r="A217" i="1" s="1"/>
  <c r="AD217" i="1" s="1"/>
  <c r="AF216" i="1"/>
  <c r="Y216" i="1"/>
  <c r="I216" i="1"/>
  <c r="AF215" i="1"/>
  <c r="Y215" i="1"/>
  <c r="I215" i="1"/>
  <c r="H215" i="1"/>
  <c r="A215" i="1" s="1"/>
  <c r="AD215" i="1" s="1"/>
  <c r="AF214" i="1"/>
  <c r="Y214" i="1"/>
  <c r="I214" i="1"/>
  <c r="H214" i="1"/>
  <c r="A214" i="1" s="1"/>
  <c r="AF213" i="1"/>
  <c r="Y213" i="1"/>
  <c r="I213" i="1"/>
  <c r="AF212" i="1"/>
  <c r="Y212" i="1"/>
  <c r="I212" i="1"/>
  <c r="H212" i="1"/>
  <c r="A212" i="1" s="1"/>
  <c r="AF211" i="1"/>
  <c r="Y211" i="1"/>
  <c r="I211" i="1"/>
  <c r="AF210" i="1"/>
  <c r="Y210" i="1"/>
  <c r="I210" i="1"/>
  <c r="H210" i="1"/>
  <c r="A210" i="1" s="1"/>
  <c r="AF209" i="1"/>
  <c r="Y209" i="1"/>
  <c r="I209" i="1"/>
  <c r="AF208" i="1"/>
  <c r="Y208" i="1"/>
  <c r="I208" i="1"/>
  <c r="H208" i="1"/>
  <c r="A208" i="1" s="1"/>
  <c r="AD208" i="1" s="1"/>
  <c r="AF207" i="1"/>
  <c r="Y207" i="1"/>
  <c r="I207" i="1"/>
  <c r="H207" i="1"/>
  <c r="A207" i="1" s="1"/>
  <c r="AF206" i="1"/>
  <c r="Y206" i="1"/>
  <c r="I206" i="1"/>
  <c r="AF205" i="1"/>
  <c r="Y205" i="1"/>
  <c r="I205" i="1"/>
  <c r="H205" i="1"/>
  <c r="A205" i="1" s="1"/>
  <c r="AF204" i="1"/>
  <c r="Y204" i="1"/>
  <c r="I204" i="1"/>
  <c r="AF203" i="1"/>
  <c r="Y203" i="1"/>
  <c r="I203" i="1"/>
  <c r="H203" i="1"/>
  <c r="A203" i="1" s="1"/>
  <c r="AD203" i="1" s="1"/>
  <c r="AF202" i="1"/>
  <c r="Y202" i="1"/>
  <c r="I202" i="1"/>
  <c r="AF201" i="1"/>
  <c r="Y201" i="1"/>
  <c r="I201" i="1"/>
  <c r="AF200" i="1"/>
  <c r="Y200" i="1"/>
  <c r="I200" i="1"/>
  <c r="H200" i="1"/>
  <c r="A200" i="1" s="1"/>
  <c r="AD200" i="1" s="1"/>
  <c r="AF199" i="1"/>
  <c r="Y199" i="1"/>
  <c r="I199" i="1"/>
  <c r="H199" i="1"/>
  <c r="A199" i="1" s="1"/>
  <c r="AD199" i="1" s="1"/>
  <c r="AF198" i="1"/>
  <c r="Y198" i="1"/>
  <c r="I198" i="1"/>
  <c r="AF197" i="1"/>
  <c r="Y197" i="1"/>
  <c r="I197" i="1"/>
  <c r="AF196" i="1"/>
  <c r="Y196" i="1"/>
  <c r="I196" i="1"/>
  <c r="AF195" i="1"/>
  <c r="Y195" i="1"/>
  <c r="I195" i="1"/>
  <c r="AF194" i="1"/>
  <c r="Y194" i="1"/>
  <c r="I194" i="1"/>
  <c r="H194" i="1"/>
  <c r="A194" i="1" s="1"/>
  <c r="AF193" i="1"/>
  <c r="Y193" i="1"/>
  <c r="I193" i="1"/>
  <c r="AF192" i="1"/>
  <c r="Y192" i="1"/>
  <c r="I192" i="1"/>
  <c r="H192" i="1"/>
  <c r="A192" i="1" s="1"/>
  <c r="AD192" i="1" s="1"/>
  <c r="AF191" i="1"/>
  <c r="Y191" i="1"/>
  <c r="I191" i="1"/>
  <c r="AF190" i="1"/>
  <c r="Y190" i="1"/>
  <c r="I190" i="1"/>
  <c r="H190" i="1"/>
  <c r="A190" i="1" s="1"/>
  <c r="AD190" i="1" s="1"/>
  <c r="AF189" i="1"/>
  <c r="Y189" i="1"/>
  <c r="I189" i="1"/>
  <c r="AF188" i="1"/>
  <c r="Y188" i="1"/>
  <c r="I188" i="1"/>
  <c r="AF187" i="1"/>
  <c r="Y187" i="1"/>
  <c r="I187" i="1"/>
  <c r="AF186" i="1"/>
  <c r="Y186" i="1"/>
  <c r="I186" i="1"/>
  <c r="H186" i="1"/>
  <c r="A186" i="1" s="1"/>
  <c r="AD186" i="1" s="1"/>
  <c r="AF185" i="1"/>
  <c r="Y185" i="1"/>
  <c r="I185" i="1"/>
  <c r="H185" i="1"/>
  <c r="A185" i="1" s="1"/>
  <c r="AD185" i="1" s="1"/>
  <c r="AF184" i="1"/>
  <c r="Y184" i="1"/>
  <c r="I184" i="1"/>
  <c r="AF183" i="1"/>
  <c r="Y183" i="1"/>
  <c r="I183" i="1"/>
  <c r="H183" i="1"/>
  <c r="A183" i="1" s="1"/>
  <c r="AD183" i="1" s="1"/>
  <c r="AF182" i="1"/>
  <c r="Y182" i="1"/>
  <c r="I182" i="1"/>
  <c r="AF181" i="1"/>
  <c r="Y181" i="1"/>
  <c r="I181" i="1"/>
  <c r="H181" i="1"/>
  <c r="A181" i="1" s="1"/>
  <c r="AD181" i="1" s="1"/>
  <c r="AF180" i="1"/>
  <c r="Y180" i="1"/>
  <c r="I180" i="1"/>
  <c r="AF179" i="1"/>
  <c r="Y179" i="1"/>
  <c r="I179" i="1"/>
  <c r="H179" i="1"/>
  <c r="A179" i="1" s="1"/>
  <c r="AF177" i="1"/>
  <c r="Y177" i="1"/>
  <c r="I177" i="1"/>
  <c r="AF176" i="1"/>
  <c r="Y176" i="1"/>
  <c r="I176" i="1"/>
  <c r="H176" i="1"/>
  <c r="A176" i="1" s="1"/>
  <c r="W176" i="1" s="1"/>
  <c r="AF175" i="1"/>
  <c r="Y175" i="1"/>
  <c r="I175" i="1"/>
  <c r="H175" i="1"/>
  <c r="A175" i="1" s="1"/>
  <c r="AD175" i="1" s="1"/>
  <c r="AF174" i="1"/>
  <c r="Y174" i="1"/>
  <c r="I174" i="1"/>
  <c r="AF171" i="1"/>
  <c r="Y171" i="1"/>
  <c r="I171" i="1"/>
  <c r="H171" i="1"/>
  <c r="A171" i="1" s="1"/>
  <c r="AD171" i="1" s="1"/>
  <c r="AF170" i="1"/>
  <c r="Y170" i="1"/>
  <c r="I170" i="1"/>
  <c r="AF169" i="1"/>
  <c r="Y169" i="1"/>
  <c r="I169" i="1"/>
  <c r="H169" i="1"/>
  <c r="A169" i="1" s="1"/>
  <c r="AD169" i="1" s="1"/>
  <c r="AF168" i="1"/>
  <c r="Y168" i="1"/>
  <c r="I168" i="1"/>
  <c r="AF167" i="1"/>
  <c r="Y167" i="1"/>
  <c r="I167" i="1"/>
  <c r="H167" i="1"/>
  <c r="A167" i="1" s="1"/>
  <c r="AD167" i="1" s="1"/>
  <c r="AF166" i="1"/>
  <c r="Y166" i="1"/>
  <c r="I166" i="1"/>
  <c r="H166" i="1"/>
  <c r="A166" i="1" s="1"/>
  <c r="AF165" i="1"/>
  <c r="Y165" i="1"/>
  <c r="I165" i="1"/>
  <c r="H165" i="1"/>
  <c r="A165" i="1" s="1"/>
  <c r="AD165" i="1" s="1"/>
  <c r="AF164" i="1"/>
  <c r="Y164" i="1"/>
  <c r="I164" i="1"/>
  <c r="H164" i="1"/>
  <c r="A164" i="1" s="1"/>
  <c r="AD164" i="1" s="1"/>
  <c r="AF162" i="1"/>
  <c r="Y162" i="1"/>
  <c r="I162" i="1"/>
  <c r="H162" i="1"/>
  <c r="A162" i="1" s="1"/>
  <c r="AF161" i="1"/>
  <c r="Y161" i="1"/>
  <c r="I161" i="1"/>
  <c r="H161" i="1"/>
  <c r="A161" i="1" s="1"/>
  <c r="AD161" i="1" s="1"/>
  <c r="AF160" i="1"/>
  <c r="Y160" i="1"/>
  <c r="I160" i="1"/>
  <c r="AF159" i="1"/>
  <c r="Y159" i="1"/>
  <c r="I159" i="1"/>
  <c r="H159" i="1"/>
  <c r="A159" i="1" s="1"/>
  <c r="AF158" i="1"/>
  <c r="Y158" i="1"/>
  <c r="I158" i="1"/>
  <c r="H158" i="1"/>
  <c r="A158" i="1" s="1"/>
  <c r="AD158" i="1" s="1"/>
  <c r="AF157" i="1"/>
  <c r="Y157" i="1"/>
  <c r="I157" i="1"/>
  <c r="AF156" i="1"/>
  <c r="Y156" i="1"/>
  <c r="I156" i="1"/>
  <c r="H156" i="1"/>
  <c r="A156" i="1" s="1"/>
  <c r="AF154" i="1"/>
  <c r="Y154" i="1"/>
  <c r="I154" i="1"/>
  <c r="AF153" i="1"/>
  <c r="Y153" i="1"/>
  <c r="I153" i="1"/>
  <c r="H153" i="1"/>
  <c r="A153" i="1" s="1"/>
  <c r="AF152" i="1"/>
  <c r="Y152" i="1"/>
  <c r="I152" i="1"/>
  <c r="AF151" i="1"/>
  <c r="Y151" i="1"/>
  <c r="I151" i="1"/>
  <c r="H151" i="1"/>
  <c r="A151" i="1" s="1"/>
  <c r="AD151" i="1" s="1"/>
  <c r="AF150" i="1"/>
  <c r="Y150" i="1"/>
  <c r="I150" i="1"/>
  <c r="H150" i="1"/>
  <c r="A150" i="1" s="1"/>
  <c r="AF148" i="1"/>
  <c r="Y148" i="1"/>
  <c r="I148" i="1"/>
  <c r="AF147" i="1"/>
  <c r="Y147" i="1"/>
  <c r="I147" i="1"/>
  <c r="AF146" i="1"/>
  <c r="Y146" i="1"/>
  <c r="I146" i="1"/>
  <c r="H146" i="1"/>
  <c r="A146" i="1" s="1"/>
  <c r="AD146" i="1" s="1"/>
  <c r="AF145" i="1"/>
  <c r="Y145" i="1"/>
  <c r="I145" i="1"/>
  <c r="H145" i="1"/>
  <c r="A145" i="1" s="1"/>
  <c r="AD145" i="1" s="1"/>
  <c r="AF144" i="1"/>
  <c r="Y144" i="1"/>
  <c r="I144" i="1"/>
  <c r="AF143" i="1"/>
  <c r="Y143" i="1"/>
  <c r="I143" i="1"/>
  <c r="H143" i="1"/>
  <c r="A143" i="1" s="1"/>
  <c r="AF142" i="1"/>
  <c r="Y142" i="1"/>
  <c r="I142" i="1"/>
  <c r="AF141" i="1"/>
  <c r="Y141" i="1"/>
  <c r="I141" i="1"/>
  <c r="H141" i="1"/>
  <c r="A141" i="1" s="1"/>
  <c r="AD141" i="1" s="1"/>
  <c r="AF139" i="1"/>
  <c r="Y139" i="1"/>
  <c r="I139" i="1"/>
  <c r="AF138" i="1"/>
  <c r="Y138" i="1"/>
  <c r="I138" i="1"/>
  <c r="H138" i="1"/>
  <c r="A138" i="1" s="1"/>
  <c r="AF108" i="1"/>
  <c r="Y108" i="1"/>
  <c r="I108" i="1"/>
  <c r="H108" i="1"/>
  <c r="A108" i="1" s="1"/>
  <c r="AD108" i="1" s="1"/>
  <c r="AF107" i="1"/>
  <c r="Y107" i="1"/>
  <c r="I107" i="1"/>
  <c r="H107" i="1"/>
  <c r="A107" i="1" s="1"/>
  <c r="AF106" i="1"/>
  <c r="Y106" i="1"/>
  <c r="I106" i="1"/>
  <c r="AF104" i="1"/>
  <c r="Y104" i="1"/>
  <c r="I104" i="1"/>
  <c r="AF103" i="1"/>
  <c r="Y103" i="1"/>
  <c r="I103" i="1"/>
  <c r="H103" i="1"/>
  <c r="A103" i="1" s="1"/>
  <c r="AD103" i="1" s="1"/>
  <c r="AF100" i="1"/>
  <c r="Y100" i="1"/>
  <c r="I100" i="1"/>
  <c r="AF99" i="1"/>
  <c r="Y99" i="1"/>
  <c r="I99" i="1"/>
  <c r="H99" i="1"/>
  <c r="A99" i="1" s="1"/>
  <c r="AD99" i="1" s="1"/>
  <c r="AF98" i="1"/>
  <c r="Y98" i="1"/>
  <c r="I98" i="1"/>
  <c r="AF97" i="1"/>
  <c r="Y97" i="1"/>
  <c r="I97" i="1"/>
  <c r="H97" i="1"/>
  <c r="A97" i="1" s="1"/>
  <c r="AF96" i="1"/>
  <c r="Y96" i="1"/>
  <c r="I96" i="1"/>
  <c r="AF95" i="1"/>
  <c r="Y95" i="1"/>
  <c r="I95" i="1"/>
  <c r="H95" i="1"/>
  <c r="A95" i="1" s="1"/>
  <c r="AF94" i="1"/>
  <c r="Y94" i="1"/>
  <c r="I94" i="1"/>
  <c r="H94" i="1"/>
  <c r="A94" i="1" s="1"/>
  <c r="AD94" i="1" s="1"/>
  <c r="AF93" i="1"/>
  <c r="Y93" i="1"/>
  <c r="I93" i="1"/>
  <c r="H93" i="1"/>
  <c r="A93" i="1" s="1"/>
  <c r="AD93" i="1" s="1"/>
  <c r="AF92" i="1"/>
  <c r="I92" i="1"/>
  <c r="H92" i="1"/>
  <c r="A92" i="1" s="1"/>
  <c r="AF89" i="1"/>
  <c r="Y89" i="1"/>
  <c r="I89" i="1"/>
  <c r="H89" i="1"/>
  <c r="A89" i="1" s="1"/>
  <c r="AF88" i="1"/>
  <c r="Y88" i="1"/>
  <c r="I88" i="1"/>
  <c r="AF87" i="1"/>
  <c r="Y87" i="1"/>
  <c r="I87" i="1"/>
  <c r="H87" i="1"/>
  <c r="A87" i="1" s="1"/>
  <c r="AF86" i="1"/>
  <c r="Y86" i="1"/>
  <c r="I86" i="1"/>
  <c r="AF85" i="1"/>
  <c r="Y85" i="1"/>
  <c r="I85" i="1"/>
  <c r="H85" i="1"/>
  <c r="A85" i="1" s="1"/>
  <c r="AF84" i="1"/>
  <c r="Y84" i="1"/>
  <c r="I84" i="1"/>
  <c r="H84" i="1"/>
  <c r="A84" i="1" s="1"/>
  <c r="AF83" i="1"/>
  <c r="Y83" i="1"/>
  <c r="I83" i="1"/>
  <c r="AF82" i="1"/>
  <c r="Y82" i="1"/>
  <c r="I82" i="1"/>
  <c r="H82" i="1"/>
  <c r="A82" i="1" s="1"/>
  <c r="AD82" i="1" s="1"/>
  <c r="AF81" i="1"/>
  <c r="Y81" i="1"/>
  <c r="I81" i="1"/>
  <c r="AF80" i="1"/>
  <c r="Y80" i="1"/>
  <c r="I80" i="1"/>
  <c r="AF79" i="1"/>
  <c r="Y79" i="1"/>
  <c r="I79" i="1"/>
  <c r="AF78" i="1"/>
  <c r="Y78" i="1"/>
  <c r="I78" i="1"/>
  <c r="H78" i="1"/>
  <c r="A78" i="1" s="1"/>
  <c r="AF77" i="1"/>
  <c r="Y77" i="1"/>
  <c r="I77" i="1"/>
  <c r="H77" i="1"/>
  <c r="A77" i="1" s="1"/>
  <c r="AD77" i="1" s="1"/>
  <c r="AF76" i="1"/>
  <c r="Y76" i="1"/>
  <c r="I76" i="1"/>
  <c r="AF75" i="1"/>
  <c r="Y75" i="1"/>
  <c r="I75" i="1"/>
  <c r="H75" i="1"/>
  <c r="A75" i="1" s="1"/>
  <c r="AD75" i="1" s="1"/>
  <c r="AF74" i="1"/>
  <c r="Y74" i="1"/>
  <c r="I74" i="1"/>
  <c r="AF73" i="1"/>
  <c r="Y73" i="1"/>
  <c r="I73" i="1"/>
  <c r="H73" i="1"/>
  <c r="A73" i="1" s="1"/>
  <c r="AF72" i="1"/>
  <c r="Y72" i="1"/>
  <c r="I72" i="1"/>
  <c r="H72" i="1"/>
  <c r="A72" i="1" s="1"/>
  <c r="AD72" i="1" s="1"/>
  <c r="AF71" i="1"/>
  <c r="Y71" i="1"/>
  <c r="I71" i="1"/>
  <c r="H71" i="1"/>
  <c r="A71" i="1" s="1"/>
  <c r="AF70" i="1"/>
  <c r="Y70" i="1"/>
  <c r="I70" i="1"/>
  <c r="H70" i="1"/>
  <c r="A70" i="1" s="1"/>
  <c r="AD70" i="1" s="1"/>
  <c r="AF69" i="1"/>
  <c r="Y69" i="1"/>
  <c r="I69" i="1"/>
  <c r="AF67" i="1"/>
  <c r="Y67" i="1"/>
  <c r="I67" i="1"/>
  <c r="H67" i="1"/>
  <c r="A67" i="1" s="1"/>
  <c r="AD67" i="1" s="1"/>
  <c r="AF66" i="1"/>
  <c r="Y66" i="1"/>
  <c r="I66" i="1"/>
  <c r="AF58" i="1"/>
  <c r="Y58" i="1"/>
  <c r="I58" i="1"/>
  <c r="AF57" i="1"/>
  <c r="Y57" i="1"/>
  <c r="I57" i="1"/>
  <c r="AF56" i="1"/>
  <c r="Y56" i="1"/>
  <c r="I56" i="1"/>
  <c r="AF55" i="1"/>
  <c r="Y55" i="1"/>
  <c r="I55" i="1"/>
  <c r="AF54" i="1"/>
  <c r="Y54" i="1"/>
  <c r="I54" i="1"/>
  <c r="AF53" i="1"/>
  <c r="Y53" i="1"/>
  <c r="I53" i="1"/>
  <c r="AF52" i="1"/>
  <c r="Y52" i="1"/>
  <c r="I52" i="1"/>
  <c r="AF51" i="1"/>
  <c r="Y51" i="1"/>
  <c r="I51" i="1"/>
  <c r="AF50" i="1"/>
  <c r="Y50" i="1"/>
  <c r="I50" i="1"/>
  <c r="AF49" i="1"/>
  <c r="Y49" i="1"/>
  <c r="I49" i="1"/>
  <c r="AF48" i="1"/>
  <c r="Y48" i="1"/>
  <c r="I48" i="1"/>
  <c r="AF47" i="1"/>
  <c r="Y47" i="1"/>
  <c r="I47" i="1"/>
  <c r="AF46" i="1"/>
  <c r="Y46" i="1"/>
  <c r="AF45" i="1"/>
  <c r="Y45" i="1"/>
  <c r="I45" i="1"/>
  <c r="AF44" i="1"/>
  <c r="Y44" i="1"/>
  <c r="I44" i="1"/>
  <c r="AF43" i="1"/>
  <c r="Y43" i="1"/>
  <c r="I43" i="1"/>
  <c r="AF40" i="1"/>
  <c r="Y40" i="1"/>
  <c r="I40" i="1"/>
  <c r="Y39" i="1"/>
  <c r="I39" i="1"/>
  <c r="AF38" i="1"/>
  <c r="Y38" i="1"/>
  <c r="I38" i="1"/>
  <c r="H38" i="1"/>
  <c r="A38" i="1" s="1"/>
  <c r="AF37" i="1"/>
  <c r="Y37" i="1"/>
  <c r="I37" i="1"/>
  <c r="AF36" i="1"/>
  <c r="Y36" i="1"/>
  <c r="I36" i="1"/>
  <c r="H36" i="1"/>
  <c r="A36" i="1" s="1"/>
  <c r="AD36" i="1" s="1"/>
  <c r="AF35" i="1"/>
  <c r="Y35" i="1"/>
  <c r="I35" i="1"/>
  <c r="AF34" i="1"/>
  <c r="Y34" i="1"/>
  <c r="I34" i="1"/>
  <c r="H34" i="1"/>
  <c r="A34" i="1" s="1"/>
  <c r="AF33" i="1"/>
  <c r="Y33" i="1"/>
  <c r="I33" i="1"/>
  <c r="AF32" i="1"/>
  <c r="Y32" i="1"/>
  <c r="I32" i="1"/>
  <c r="H32" i="1"/>
  <c r="A32" i="1" s="1"/>
  <c r="AF31" i="1"/>
  <c r="Y31" i="1"/>
  <c r="I31" i="1"/>
  <c r="H31" i="1"/>
  <c r="A31" i="1" s="1"/>
  <c r="AD31" i="1" s="1"/>
  <c r="AF30" i="1"/>
  <c r="Y30" i="1"/>
  <c r="I30" i="1"/>
  <c r="AF29" i="1"/>
  <c r="Y29" i="1"/>
  <c r="I29" i="1"/>
  <c r="AF28" i="1"/>
  <c r="Y28" i="1"/>
  <c r="I28" i="1"/>
  <c r="AF27" i="1"/>
  <c r="Y27" i="1"/>
  <c r="I27" i="1"/>
  <c r="AF26" i="1"/>
  <c r="Y26" i="1"/>
  <c r="I26" i="1"/>
  <c r="AF25" i="1"/>
  <c r="Y25" i="1"/>
  <c r="I25" i="1"/>
  <c r="AF24" i="1"/>
  <c r="Y24" i="1"/>
  <c r="I24" i="1"/>
  <c r="AF23" i="1"/>
  <c r="Y23" i="1"/>
  <c r="I23" i="1"/>
  <c r="AF22" i="1"/>
  <c r="Y22" i="1"/>
  <c r="I22" i="1"/>
  <c r="H22" i="1"/>
  <c r="A22" i="1" s="1"/>
  <c r="AD22" i="1" s="1"/>
  <c r="AF21" i="1"/>
  <c r="Y21" i="1"/>
  <c r="I21" i="1"/>
  <c r="AF20" i="1"/>
  <c r="Y20" i="1"/>
  <c r="I20" i="1"/>
  <c r="AF19" i="1"/>
  <c r="Y19" i="1"/>
  <c r="I19" i="1"/>
  <c r="AF18" i="1"/>
  <c r="Y18" i="1"/>
  <c r="I18" i="1"/>
  <c r="AF17" i="1"/>
  <c r="Y17" i="1"/>
  <c r="I17" i="1"/>
  <c r="AF16" i="1"/>
  <c r="Y16" i="1"/>
  <c r="I16" i="1"/>
  <c r="AF9" i="1"/>
  <c r="Y9" i="1"/>
  <c r="I9" i="1"/>
  <c r="AF8" i="1"/>
  <c r="Y8" i="1"/>
  <c r="I8" i="1"/>
  <c r="H8" i="1"/>
  <c r="A8" i="1" s="1"/>
  <c r="AF7" i="1"/>
  <c r="Y7" i="1"/>
  <c r="I7" i="1"/>
  <c r="AF5" i="1"/>
  <c r="Y5" i="1"/>
  <c r="I5" i="1"/>
  <c r="AF4" i="1"/>
  <c r="Y4" i="1"/>
  <c r="I4" i="1"/>
  <c r="AF3" i="1"/>
  <c r="Y3" i="1"/>
  <c r="I3" i="1"/>
  <c r="W208" i="1"/>
  <c r="W239" i="1"/>
  <c r="W230" i="1"/>
  <c r="W240" i="1"/>
  <c r="W241" i="1" s="1"/>
  <c r="W254" i="1"/>
  <c r="W118" i="1"/>
  <c r="J66" i="1" l="1"/>
  <c r="J55" i="1"/>
  <c r="J204" i="1"/>
  <c r="J40" i="1"/>
  <c r="J46" i="1"/>
  <c r="J3" i="1"/>
  <c r="J189" i="1"/>
  <c r="J69" i="1"/>
  <c r="J63" i="1"/>
  <c r="J30" i="1"/>
  <c r="J53" i="1"/>
  <c r="AD8" i="1"/>
  <c r="J52" i="1"/>
  <c r="J9" i="1"/>
  <c r="J168" i="1"/>
  <c r="J60" i="1"/>
  <c r="J196" i="1"/>
  <c r="J80" i="1"/>
  <c r="J100" i="1"/>
  <c r="J157" i="1"/>
  <c r="J174" i="1"/>
  <c r="J201" i="1"/>
  <c r="J177" i="1"/>
  <c r="J152" i="1"/>
  <c r="J62" i="1"/>
  <c r="J106" i="1"/>
  <c r="J142" i="1"/>
  <c r="J144" i="1"/>
  <c r="J206" i="1"/>
  <c r="J86" i="1"/>
  <c r="J170" i="1"/>
  <c r="J148" i="1"/>
  <c r="J184" i="1"/>
  <c r="J198" i="1"/>
  <c r="J79" i="1"/>
  <c r="J104" i="1"/>
  <c r="J187" i="1"/>
  <c r="J191" i="1"/>
  <c r="J44" i="1"/>
  <c r="J7" i="1"/>
  <c r="J28" i="1"/>
  <c r="J19" i="1"/>
  <c r="J16" i="1"/>
  <c r="J58" i="1"/>
  <c r="J4" i="1"/>
  <c r="H4" i="1"/>
  <c r="A4" i="1" s="1"/>
  <c r="H3" i="1"/>
  <c r="A3" i="1" s="1"/>
  <c r="W3" i="1" s="1"/>
  <c r="Z3" i="1"/>
  <c r="AA3" i="1" s="1"/>
  <c r="AA4" i="1"/>
  <c r="Z4" i="1"/>
  <c r="Z7" i="1"/>
  <c r="AA7" i="1" s="1"/>
  <c r="AA20" i="1"/>
  <c r="Z20" i="1"/>
  <c r="Z27" i="1"/>
  <c r="AA30" i="1"/>
  <c r="Z30" i="1"/>
  <c r="AA34" i="1"/>
  <c r="Z34" i="1"/>
  <c r="Z37" i="1"/>
  <c r="AA37" i="1"/>
  <c r="AA40" i="1"/>
  <c r="Z40" i="1"/>
  <c r="AA44" i="1"/>
  <c r="Z44" i="1"/>
  <c r="AA45" i="1"/>
  <c r="Z45" i="1"/>
  <c r="AA48" i="1"/>
  <c r="Z48" i="1"/>
  <c r="AA51" i="1"/>
  <c r="Z51" i="1"/>
  <c r="AA53" i="1"/>
  <c r="Z53" i="1"/>
  <c r="AA55" i="1"/>
  <c r="Z55" i="1"/>
  <c r="AA57" i="1"/>
  <c r="Z57" i="1"/>
  <c r="AA69" i="1"/>
  <c r="Z69" i="1"/>
  <c r="Z71" i="1"/>
  <c r="AA71" i="1"/>
  <c r="AA74" i="1"/>
  <c r="Z74" i="1"/>
  <c r="Z75" i="1"/>
  <c r="AA75" i="1"/>
  <c r="AA77" i="1"/>
  <c r="Z77" i="1"/>
  <c r="Z79" i="1"/>
  <c r="AA79" i="1"/>
  <c r="AA81" i="1"/>
  <c r="Z81" i="1"/>
  <c r="Z82" i="1"/>
  <c r="AA82" i="1"/>
  <c r="AA85" i="1"/>
  <c r="Z85" i="1"/>
  <c r="AA88" i="1"/>
  <c r="Z88" i="1"/>
  <c r="AA93" i="1"/>
  <c r="Z93" i="1"/>
  <c r="Z96" i="1"/>
  <c r="AA96" i="1"/>
  <c r="AA97" i="1"/>
  <c r="Z97" i="1"/>
  <c r="AA99" i="1"/>
  <c r="Z99" i="1"/>
  <c r="AA103" i="1"/>
  <c r="Z103" i="1"/>
  <c r="AA106" i="1"/>
  <c r="Z106" i="1"/>
  <c r="AA108" i="1"/>
  <c r="Z108" i="1"/>
  <c r="Z138" i="1"/>
  <c r="AA138" i="1"/>
  <c r="AA141" i="1"/>
  <c r="Z141" i="1"/>
  <c r="AA144" i="1"/>
  <c r="Z144" i="1"/>
  <c r="Z147" i="1"/>
  <c r="AA147" i="1"/>
  <c r="AA150" i="1"/>
  <c r="Z150" i="1"/>
  <c r="Z152" i="1"/>
  <c r="AA152" i="1"/>
  <c r="AA153" i="1"/>
  <c r="Z153" i="1"/>
  <c r="AA156" i="1"/>
  <c r="Z156" i="1"/>
  <c r="AA158" i="1"/>
  <c r="Z158" i="1"/>
  <c r="AA159" i="1"/>
  <c r="Z159" i="1"/>
  <c r="Z161" i="1"/>
  <c r="AA161" i="1"/>
  <c r="AA164" i="1"/>
  <c r="Z164" i="1"/>
  <c r="AA166" i="1"/>
  <c r="Z166" i="1"/>
  <c r="AA168" i="1"/>
  <c r="Z168" i="1"/>
  <c r="AA170" i="1"/>
  <c r="Z170" i="1"/>
  <c r="AA174" i="1"/>
  <c r="Z174" i="1"/>
  <c r="Z177" i="1"/>
  <c r="AA177" i="1"/>
  <c r="AA179" i="1"/>
  <c r="Z179" i="1"/>
  <c r="Z182" i="1"/>
  <c r="AA182" i="1"/>
  <c r="AA184" i="1"/>
  <c r="Z184" i="1"/>
  <c r="Z186" i="1"/>
  <c r="AA186" i="1"/>
  <c r="AA187" i="1"/>
  <c r="Z187" i="1"/>
  <c r="AA189" i="1"/>
  <c r="Z189" i="1"/>
  <c r="AA191" i="1"/>
  <c r="Z191" i="1"/>
  <c r="AA192" i="1"/>
  <c r="Z192" i="1"/>
  <c r="AA195" i="1"/>
  <c r="Z195" i="1"/>
  <c r="AA196" i="1"/>
  <c r="Z196" i="1"/>
  <c r="Z198" i="1"/>
  <c r="AA198" i="1"/>
  <c r="Z200" i="1"/>
  <c r="AA201" i="1"/>
  <c r="Z201" i="1"/>
  <c r="Z9" i="1"/>
  <c r="AA9" i="1" s="1"/>
  <c r="Z17" i="1"/>
  <c r="AA17" i="1"/>
  <c r="Z23" i="1"/>
  <c r="AA26" i="1"/>
  <c r="Z26" i="1"/>
  <c r="Z33" i="1"/>
  <c r="AA33" i="1"/>
  <c r="AA5" i="1"/>
  <c r="Z5" i="1"/>
  <c r="Z8" i="1"/>
  <c r="AA8" i="1" s="1"/>
  <c r="AA16" i="1"/>
  <c r="Z16" i="1"/>
  <c r="AA18" i="1"/>
  <c r="Z18" i="1"/>
  <c r="AA19" i="1"/>
  <c r="Z19" i="1"/>
  <c r="Z21" i="1"/>
  <c r="AA21" i="1" s="1"/>
  <c r="AA22" i="1"/>
  <c r="Z22" i="1"/>
  <c r="AA24" i="1"/>
  <c r="Z24" i="1"/>
  <c r="Z25" i="1"/>
  <c r="AA25" i="1"/>
  <c r="AA28" i="1"/>
  <c r="Z28" i="1"/>
  <c r="Z29" i="1"/>
  <c r="AA29" i="1"/>
  <c r="AA31" i="1"/>
  <c r="Z31" i="1"/>
  <c r="AA32" i="1"/>
  <c r="Z32" i="1"/>
  <c r="AA35" i="1"/>
  <c r="Z35" i="1"/>
  <c r="AA36" i="1"/>
  <c r="Z36" i="1"/>
  <c r="AA38" i="1"/>
  <c r="Z38" i="1"/>
  <c r="AA39" i="1"/>
  <c r="Z39" i="1"/>
  <c r="AA43" i="1"/>
  <c r="Z43" i="1"/>
  <c r="Z46" i="1"/>
  <c r="AA46" i="1"/>
  <c r="AA47" i="1"/>
  <c r="Z47" i="1"/>
  <c r="AA49" i="1"/>
  <c r="Z49" i="1"/>
  <c r="Z50" i="1"/>
  <c r="AA50" i="1"/>
  <c r="AA52" i="1"/>
  <c r="Z52" i="1"/>
  <c r="Z54" i="1"/>
  <c r="AA54" i="1"/>
  <c r="AA56" i="1"/>
  <c r="Z56" i="1"/>
  <c r="Z58" i="1"/>
  <c r="AA58" i="1"/>
  <c r="AA66" i="1"/>
  <c r="Z66" i="1"/>
  <c r="AA67" i="1"/>
  <c r="Z67" i="1"/>
  <c r="AA70" i="1"/>
  <c r="Z70" i="1"/>
  <c r="AA72" i="1"/>
  <c r="Z72" i="1"/>
  <c r="AA73" i="1"/>
  <c r="Z73" i="1"/>
  <c r="AA76" i="1"/>
  <c r="Z76" i="1"/>
  <c r="AA78" i="1"/>
  <c r="Z78" i="1"/>
  <c r="AA80" i="1"/>
  <c r="Z80" i="1"/>
  <c r="AA83" i="1"/>
  <c r="Z83" i="1"/>
  <c r="AA84" i="1"/>
  <c r="Z84" i="1"/>
  <c r="Z86" i="1"/>
  <c r="AA86" i="1"/>
  <c r="AA87" i="1"/>
  <c r="Z87" i="1"/>
  <c r="AA89" i="1"/>
  <c r="Z89" i="1"/>
  <c r="AA94" i="1"/>
  <c r="Z94" i="1"/>
  <c r="AA95" i="1"/>
  <c r="Z95" i="1"/>
  <c r="AA98" i="1"/>
  <c r="Z98" i="1"/>
  <c r="Z100" i="1"/>
  <c r="AA100" i="1"/>
  <c r="AA104" i="1"/>
  <c r="Z104" i="1"/>
  <c r="AA107" i="1"/>
  <c r="Z107" i="1"/>
  <c r="AA139" i="1"/>
  <c r="Z139" i="1"/>
  <c r="AA142" i="1"/>
  <c r="Z142" i="1"/>
  <c r="Z143" i="1"/>
  <c r="AA143" i="1"/>
  <c r="AA145" i="1"/>
  <c r="Z145" i="1"/>
  <c r="AA146" i="1"/>
  <c r="Z146" i="1"/>
  <c r="AA148" i="1"/>
  <c r="Z148" i="1"/>
  <c r="AA151" i="1"/>
  <c r="Z151" i="1"/>
  <c r="AA154" i="1"/>
  <c r="Z154" i="1"/>
  <c r="Z157" i="1"/>
  <c r="AA157" i="1"/>
  <c r="AA160" i="1"/>
  <c r="Z160" i="1"/>
  <c r="AA165" i="1"/>
  <c r="Z165" i="1"/>
  <c r="Z167" i="1"/>
  <c r="AA167" i="1"/>
  <c r="AA169" i="1"/>
  <c r="Z169" i="1"/>
  <c r="AB169" i="1" s="1"/>
  <c r="Z171" i="1"/>
  <c r="AA171" i="1"/>
  <c r="AA175" i="1"/>
  <c r="Z175" i="1"/>
  <c r="AA176" i="1"/>
  <c r="Z176" i="1"/>
  <c r="AA180" i="1"/>
  <c r="Z180" i="1"/>
  <c r="AA181" i="1"/>
  <c r="Z181" i="1"/>
  <c r="AA183" i="1"/>
  <c r="Z183" i="1"/>
  <c r="AB183" i="1" s="1"/>
  <c r="AA185" i="1"/>
  <c r="Z185" i="1"/>
  <c r="AA188" i="1"/>
  <c r="Z188" i="1"/>
  <c r="AB188" i="1" s="1"/>
  <c r="AC188" i="1" s="1"/>
  <c r="T188" i="1" s="1"/>
  <c r="Z190" i="1"/>
  <c r="AA190" i="1"/>
  <c r="AA193" i="1"/>
  <c r="Z193" i="1"/>
  <c r="Z194" i="1"/>
  <c r="AA194" i="1"/>
  <c r="Z197" i="1"/>
  <c r="Z199" i="1"/>
  <c r="Z202" i="1"/>
  <c r="AA202" i="1"/>
  <c r="AA203" i="1"/>
  <c r="Z203" i="1"/>
  <c r="AA162" i="1"/>
  <c r="Z162" i="1"/>
  <c r="Z205" i="1"/>
  <c r="AA205" i="1"/>
  <c r="Z206" i="1"/>
  <c r="AA206" i="1"/>
  <c r="AA208" i="1"/>
  <c r="Z208" i="1"/>
  <c r="AA210" i="1"/>
  <c r="Z210" i="1"/>
  <c r="Z212" i="1"/>
  <c r="AA212" i="1"/>
  <c r="AA214" i="1"/>
  <c r="Z214" i="1"/>
  <c r="AA216" i="1"/>
  <c r="Z216" i="1"/>
  <c r="AB216" i="1" s="1"/>
  <c r="AC216" i="1" s="1"/>
  <c r="T216" i="1" s="1"/>
  <c r="Z219" i="1"/>
  <c r="AA219" i="1"/>
  <c r="AA221" i="1"/>
  <c r="Z221" i="1"/>
  <c r="AB221" i="1" s="1"/>
  <c r="AC221" i="1" s="1"/>
  <c r="T221" i="1" s="1"/>
  <c r="AA223" i="1"/>
  <c r="Z223" i="1"/>
  <c r="AB223" i="1" s="1"/>
  <c r="AC223" i="1" s="1"/>
  <c r="T223" i="1" s="1"/>
  <c r="Z226" i="1"/>
  <c r="AA226" i="1"/>
  <c r="AA228" i="1"/>
  <c r="Z228" i="1"/>
  <c r="Z230" i="1"/>
  <c r="AA230" i="1"/>
  <c r="AA232" i="1"/>
  <c r="Z232" i="1"/>
  <c r="AB232" i="1" s="1"/>
  <c r="AC232" i="1" s="1"/>
  <c r="T232" i="1" s="1"/>
  <c r="AA234" i="1"/>
  <c r="Z234" i="1"/>
  <c r="Z236" i="1"/>
  <c r="AB236" i="1" s="1"/>
  <c r="AC236" i="1" s="1"/>
  <c r="T236" i="1" s="1"/>
  <c r="AA236" i="1"/>
  <c r="AA238" i="1"/>
  <c r="Z238" i="1"/>
  <c r="AB238" i="1" s="1"/>
  <c r="AC238" i="1" s="1"/>
  <c r="T238" i="1" s="1"/>
  <c r="Z240" i="1"/>
  <c r="AA240" i="1"/>
  <c r="AA242" i="1"/>
  <c r="Z242" i="1"/>
  <c r="AB242" i="1" s="1"/>
  <c r="AC242" i="1" s="1"/>
  <c r="T242" i="1" s="1"/>
  <c r="AA244" i="1"/>
  <c r="Z244" i="1"/>
  <c r="AB244" i="1" s="1"/>
  <c r="AC244" i="1" s="1"/>
  <c r="T244" i="1" s="1"/>
  <c r="Z246" i="1"/>
  <c r="AA246" i="1"/>
  <c r="AA248" i="1"/>
  <c r="Z248" i="1"/>
  <c r="AB248" i="1" s="1"/>
  <c r="AC248" i="1" s="1"/>
  <c r="T248" i="1" s="1"/>
  <c r="AA250" i="1"/>
  <c r="Z250" i="1"/>
  <c r="AB250" i="1" s="1"/>
  <c r="AC250" i="1" s="1"/>
  <c r="T250" i="1" s="1"/>
  <c r="Z252" i="1"/>
  <c r="AA252" i="1"/>
  <c r="AA254" i="1"/>
  <c r="Z254" i="1"/>
  <c r="AB254" i="1" s="1"/>
  <c r="AC254" i="1" s="1"/>
  <c r="T254" i="1" s="1"/>
  <c r="Z256" i="1"/>
  <c r="AA256" i="1"/>
  <c r="AA258" i="1"/>
  <c r="Z258" i="1"/>
  <c r="Z260" i="1"/>
  <c r="AA260" i="1"/>
  <c r="AA262" i="1"/>
  <c r="Z262" i="1"/>
  <c r="AA204" i="1"/>
  <c r="Z204" i="1"/>
  <c r="Z207" i="1"/>
  <c r="AA207" i="1"/>
  <c r="Z209" i="1"/>
  <c r="AA209" i="1"/>
  <c r="Z211" i="1"/>
  <c r="AA211" i="1"/>
  <c r="Z213" i="1"/>
  <c r="AA213" i="1"/>
  <c r="Z215" i="1"/>
  <c r="AA215" i="1"/>
  <c r="Z217" i="1"/>
  <c r="AA217" i="1"/>
  <c r="Z220" i="1"/>
  <c r="AA220" i="1"/>
  <c r="AA222" i="1"/>
  <c r="Z222" i="1"/>
  <c r="AB222" i="1" s="1"/>
  <c r="AC222" i="1" s="1"/>
  <c r="T222" i="1" s="1"/>
  <c r="Z225" i="1"/>
  <c r="AA225" i="1"/>
  <c r="Z227" i="1"/>
  <c r="AA227" i="1"/>
  <c r="Z229" i="1"/>
  <c r="AA229" i="1"/>
  <c r="Z231" i="1"/>
  <c r="AA231" i="1"/>
  <c r="Z233" i="1"/>
  <c r="AA233" i="1"/>
  <c r="Z235" i="1"/>
  <c r="AA235" i="1"/>
  <c r="Z237" i="1"/>
  <c r="AA237" i="1"/>
  <c r="Z239" i="1"/>
  <c r="AA239" i="1"/>
  <c r="Z241" i="1"/>
  <c r="AA241" i="1"/>
  <c r="Z243" i="1"/>
  <c r="AA243" i="1"/>
  <c r="Z245" i="1"/>
  <c r="AA245" i="1"/>
  <c r="Z247" i="1"/>
  <c r="AA247" i="1"/>
  <c r="Z249" i="1"/>
  <c r="AA249" i="1"/>
  <c r="Z251" i="1"/>
  <c r="AA251" i="1"/>
  <c r="Z253" i="1"/>
  <c r="AA253" i="1"/>
  <c r="Z255" i="1"/>
  <c r="AA255" i="1"/>
  <c r="AA257" i="1"/>
  <c r="Z257" i="1"/>
  <c r="Z259" i="1"/>
  <c r="AA259" i="1"/>
  <c r="Z261" i="1"/>
  <c r="AA261" i="1"/>
  <c r="Z263" i="1"/>
  <c r="AA263" i="1"/>
  <c r="Y92" i="1"/>
  <c r="AC183" i="1"/>
  <c r="T183" i="1" s="1"/>
  <c r="AC169" i="1"/>
  <c r="T169" i="1" s="1"/>
  <c r="W212" i="1"/>
  <c r="W242" i="1"/>
  <c r="W119" i="1"/>
  <c r="W231" i="1"/>
  <c r="W232" i="1" s="1"/>
  <c r="W4" i="1"/>
  <c r="AB253" i="1" l="1"/>
  <c r="AC253" i="1" s="1"/>
  <c r="T253" i="1" s="1"/>
  <c r="AB239" i="1"/>
  <c r="AC239" i="1" s="1"/>
  <c r="T239" i="1" s="1"/>
  <c r="AB240" i="1"/>
  <c r="AC240" i="1" s="1"/>
  <c r="T240" i="1" s="1"/>
  <c r="AB251" i="1"/>
  <c r="AC251" i="1" s="1"/>
  <c r="T251" i="1" s="1"/>
  <c r="AB249" i="1"/>
  <c r="AC249" i="1" s="1"/>
  <c r="T249" i="1" s="1"/>
  <c r="AB247" i="1"/>
  <c r="AC247" i="1" s="1"/>
  <c r="T247" i="1" s="1"/>
  <c r="AB245" i="1"/>
  <c r="AC245" i="1" s="1"/>
  <c r="T245" i="1" s="1"/>
  <c r="AB243" i="1"/>
  <c r="AC243" i="1" s="1"/>
  <c r="T243" i="1" s="1"/>
  <c r="AB241" i="1"/>
  <c r="AC241" i="1" s="1"/>
  <c r="T241" i="1" s="1"/>
  <c r="AB246" i="1"/>
  <c r="AC246" i="1" s="1"/>
  <c r="T246" i="1" s="1"/>
  <c r="AB234" i="1"/>
  <c r="AC234" i="1" s="1"/>
  <c r="T234" i="1" s="1"/>
  <c r="AB231" i="1"/>
  <c r="AC231" i="1" s="1"/>
  <c r="T231" i="1" s="1"/>
  <c r="AB229" i="1"/>
  <c r="AC229" i="1" s="1"/>
  <c r="T229" i="1" s="1"/>
  <c r="AB230" i="1"/>
  <c r="AC230" i="1" s="1"/>
  <c r="T230" i="1" s="1"/>
  <c r="AB227" i="1"/>
  <c r="AC227" i="1" s="1"/>
  <c r="T227" i="1" s="1"/>
  <c r="AB225" i="1"/>
  <c r="AC225" i="1" s="1"/>
  <c r="T225" i="1" s="1"/>
  <c r="AB220" i="1"/>
  <c r="AC220" i="1" s="1"/>
  <c r="T220" i="1" s="1"/>
  <c r="AB215" i="1"/>
  <c r="AC215" i="1" s="1"/>
  <c r="T215" i="1" s="1"/>
  <c r="AB226" i="1"/>
  <c r="AC226" i="1" s="1"/>
  <c r="T226" i="1" s="1"/>
  <c r="AB219" i="1"/>
  <c r="AC219" i="1" s="1"/>
  <c r="T219" i="1" s="1"/>
  <c r="AB210" i="1"/>
  <c r="AC210" i="1" s="1"/>
  <c r="T210" i="1" s="1"/>
  <c r="AB198" i="1"/>
  <c r="AC198" i="1" s="1"/>
  <c r="T198" i="1" s="1"/>
  <c r="AB195" i="1"/>
  <c r="AC195" i="1" s="1"/>
  <c r="T195" i="1" s="1"/>
  <c r="AB203" i="1"/>
  <c r="AC203" i="1" s="1"/>
  <c r="T203" i="1" s="1"/>
  <c r="AB192" i="1"/>
  <c r="AC192" i="1" s="1"/>
  <c r="T192" i="1" s="1"/>
  <c r="AB191" i="1"/>
  <c r="AC191" i="1" s="1"/>
  <c r="T191" i="1" s="1"/>
  <c r="AB179" i="1"/>
  <c r="AC179" i="1" s="1"/>
  <c r="T179" i="1" s="1"/>
  <c r="AB151" i="1"/>
  <c r="AC151" i="1" s="1"/>
  <c r="T151" i="1" s="1"/>
  <c r="AB176" i="1"/>
  <c r="AC176" i="1" s="1"/>
  <c r="T176" i="1" s="1"/>
  <c r="AB156" i="1"/>
  <c r="AC156" i="1" s="1"/>
  <c r="T156" i="1" s="1"/>
  <c r="AB153" i="1"/>
  <c r="AC153" i="1" s="1"/>
  <c r="T153" i="1" s="1"/>
  <c r="AB143" i="1"/>
  <c r="AC143" i="1" s="1"/>
  <c r="T143" i="1" s="1"/>
  <c r="AB141" i="1"/>
  <c r="AC141" i="1" s="1"/>
  <c r="T141" i="1" s="1"/>
  <c r="AB57" i="1"/>
  <c r="AC57" i="1" s="1"/>
  <c r="T57" i="1" s="1"/>
  <c r="AB51" i="1"/>
  <c r="AC51" i="1" s="1"/>
  <c r="T51" i="1" s="1"/>
  <c r="AB103" i="1"/>
  <c r="AC103" i="1" s="1"/>
  <c r="T103" i="1" s="1"/>
  <c r="AB99" i="1"/>
  <c r="AC99" i="1" s="1"/>
  <c r="T99" i="1" s="1"/>
  <c r="AB85" i="1"/>
  <c r="AC85" i="1" s="1"/>
  <c r="T85" i="1" s="1"/>
  <c r="AB78" i="1"/>
  <c r="AC78" i="1" s="1"/>
  <c r="T78" i="1" s="1"/>
  <c r="AB217" i="1"/>
  <c r="AC217" i="1" s="1"/>
  <c r="T217" i="1" s="1"/>
  <c r="AB204" i="1"/>
  <c r="AC204" i="1" s="1"/>
  <c r="T204" i="1" s="1"/>
  <c r="AB214" i="1"/>
  <c r="AC214" i="1" s="1"/>
  <c r="T214" i="1" s="1"/>
  <c r="AB201" i="1"/>
  <c r="AC201" i="1" s="1"/>
  <c r="T201" i="1" s="1"/>
  <c r="AB209" i="1"/>
  <c r="AC209" i="1" s="1"/>
  <c r="T209" i="1" s="1"/>
  <c r="AB206" i="1"/>
  <c r="AC206" i="1" s="1"/>
  <c r="T206" i="1" s="1"/>
  <c r="AB196" i="1"/>
  <c r="AC196" i="1" s="1"/>
  <c r="T196" i="1" s="1"/>
  <c r="AB194" i="1"/>
  <c r="AC194" i="1" s="1"/>
  <c r="T194" i="1" s="1"/>
  <c r="AB193" i="1"/>
  <c r="AC193" i="1" s="1"/>
  <c r="T193" i="1" s="1"/>
  <c r="AB189" i="1"/>
  <c r="AC189" i="1" s="1"/>
  <c r="T189" i="1" s="1"/>
  <c r="AB187" i="1"/>
  <c r="AC187" i="1" s="1"/>
  <c r="T187" i="1" s="1"/>
  <c r="AB170" i="1"/>
  <c r="AC170" i="1" s="1"/>
  <c r="T170" i="1" s="1"/>
  <c r="AB185" i="1"/>
  <c r="AC185" i="1" s="1"/>
  <c r="T185" i="1" s="1"/>
  <c r="AB175" i="1"/>
  <c r="AC175" i="1" s="1"/>
  <c r="T175" i="1" s="1"/>
  <c r="AB184" i="1"/>
  <c r="AC184" i="1" s="1"/>
  <c r="T184" i="1" s="1"/>
  <c r="AB182" i="1"/>
  <c r="AC182" i="1" s="1"/>
  <c r="T182" i="1" s="1"/>
  <c r="AB181" i="1"/>
  <c r="AC181" i="1" s="1"/>
  <c r="T181" i="1" s="1"/>
  <c r="AB180" i="1"/>
  <c r="AC180" i="1" s="1"/>
  <c r="T180" i="1" s="1"/>
  <c r="AB174" i="1"/>
  <c r="AC174" i="1" s="1"/>
  <c r="T174" i="1" s="1"/>
  <c r="AB168" i="1"/>
  <c r="AC168" i="1" s="1"/>
  <c r="T168" i="1" s="1"/>
  <c r="AB165" i="1"/>
  <c r="AC165" i="1" s="1"/>
  <c r="T165" i="1" s="1"/>
  <c r="AB160" i="1"/>
  <c r="AC160" i="1" s="1"/>
  <c r="T160" i="1" s="1"/>
  <c r="AB148" i="1"/>
  <c r="AC148" i="1" s="1"/>
  <c r="T148" i="1" s="1"/>
  <c r="AB146" i="1"/>
  <c r="AC146" i="1" s="1"/>
  <c r="T146" i="1" s="1"/>
  <c r="AB145" i="1"/>
  <c r="AC145" i="1" s="1"/>
  <c r="T145" i="1" s="1"/>
  <c r="AB142" i="1"/>
  <c r="AC142" i="1" s="1"/>
  <c r="T142" i="1" s="1"/>
  <c r="AB138" i="1"/>
  <c r="AC138" i="1" s="1"/>
  <c r="T138" i="1" s="1"/>
  <c r="AB82" i="1"/>
  <c r="AC82" i="1" s="1"/>
  <c r="T82" i="1" s="1"/>
  <c r="AB166" i="1"/>
  <c r="AC166" i="1" s="1"/>
  <c r="T166" i="1" s="1"/>
  <c r="AB159" i="1"/>
  <c r="AC159" i="1" s="1"/>
  <c r="T159" i="1" s="1"/>
  <c r="AB158" i="1"/>
  <c r="AC158" i="1" s="1"/>
  <c r="T158" i="1" s="1"/>
  <c r="AB164" i="1"/>
  <c r="AC164" i="1" s="1"/>
  <c r="T164" i="1" s="1"/>
  <c r="AB154" i="1"/>
  <c r="AC154" i="1" s="1"/>
  <c r="T154" i="1" s="1"/>
  <c r="AB150" i="1"/>
  <c r="AC150" i="1" s="1"/>
  <c r="T150" i="1" s="1"/>
  <c r="AB139" i="1"/>
  <c r="AC139" i="1" s="1"/>
  <c r="T139" i="1" s="1"/>
  <c r="AB107" i="1"/>
  <c r="AC107" i="1" s="1"/>
  <c r="T107" i="1" s="1"/>
  <c r="AB104" i="1"/>
  <c r="AC104" i="1" s="1"/>
  <c r="T104" i="1" s="1"/>
  <c r="AB108" i="1"/>
  <c r="AC108" i="1" s="1"/>
  <c r="T108" i="1" s="1"/>
  <c r="AB106" i="1"/>
  <c r="AC106" i="1" s="1"/>
  <c r="T106" i="1" s="1"/>
  <c r="AB97" i="1"/>
  <c r="AC97" i="1" s="1"/>
  <c r="T97" i="1" s="1"/>
  <c r="AB93" i="1"/>
  <c r="AC93" i="1" s="1"/>
  <c r="T93" i="1" s="1"/>
  <c r="AB98" i="1"/>
  <c r="AC98" i="1" s="1"/>
  <c r="T98" i="1" s="1"/>
  <c r="AB89" i="1"/>
  <c r="AC89" i="1" s="1"/>
  <c r="T89" i="1" s="1"/>
  <c r="AB87" i="1"/>
  <c r="AC87" i="1" s="1"/>
  <c r="T87" i="1" s="1"/>
  <c r="AB84" i="1"/>
  <c r="AC84" i="1" s="1"/>
  <c r="T84" i="1" s="1"/>
  <c r="AB80" i="1"/>
  <c r="AC80" i="1" s="1"/>
  <c r="T80" i="1" s="1"/>
  <c r="AB95" i="1"/>
  <c r="AC95" i="1" s="1"/>
  <c r="T95" i="1" s="1"/>
  <c r="AB94" i="1"/>
  <c r="AC94" i="1" s="1"/>
  <c r="T94" i="1" s="1"/>
  <c r="AB88" i="1"/>
  <c r="AC88" i="1" s="1"/>
  <c r="T88" i="1" s="1"/>
  <c r="AB81" i="1"/>
  <c r="AC81" i="1" s="1"/>
  <c r="T81" i="1" s="1"/>
  <c r="AB73" i="1"/>
  <c r="AC73" i="1" s="1"/>
  <c r="T73" i="1" s="1"/>
  <c r="AB72" i="1"/>
  <c r="AC72" i="1" s="1"/>
  <c r="T72" i="1" s="1"/>
  <c r="AB70" i="1"/>
  <c r="AC70" i="1" s="1"/>
  <c r="T70" i="1" s="1"/>
  <c r="AB66" i="1"/>
  <c r="AC66" i="1" s="1"/>
  <c r="T66" i="1" s="1"/>
  <c r="AB29" i="1"/>
  <c r="AC29" i="1" s="1"/>
  <c r="T29" i="1" s="1"/>
  <c r="AB75" i="1"/>
  <c r="AC75" i="1" s="1"/>
  <c r="T75" i="1" s="1"/>
  <c r="AB77" i="1"/>
  <c r="AC77" i="1" s="1"/>
  <c r="T77" i="1" s="1"/>
  <c r="AB74" i="1"/>
  <c r="AC74" i="1" s="1"/>
  <c r="T74" i="1" s="1"/>
  <c r="AB69" i="1"/>
  <c r="AC69" i="1" s="1"/>
  <c r="T69" i="1" s="1"/>
  <c r="AB67" i="1"/>
  <c r="AC67" i="1" s="1"/>
  <c r="T67" i="1" s="1"/>
  <c r="AB56" i="1"/>
  <c r="AC56" i="1" s="1"/>
  <c r="T56" i="1" s="1"/>
  <c r="AB24" i="1"/>
  <c r="AC24" i="1" s="1"/>
  <c r="T24" i="1" s="1"/>
  <c r="AB40" i="1"/>
  <c r="AC40" i="1" s="1"/>
  <c r="T40" i="1" s="1"/>
  <c r="AB55" i="1"/>
  <c r="AC55" i="1" s="1"/>
  <c r="T55" i="1" s="1"/>
  <c r="AB36" i="1"/>
  <c r="AC36" i="1" s="1"/>
  <c r="T36" i="1" s="1"/>
  <c r="AB28" i="1"/>
  <c r="AC28" i="1" s="1"/>
  <c r="T28" i="1" s="1"/>
  <c r="H7" i="1"/>
  <c r="A7" i="1" s="1"/>
  <c r="AB4" i="1"/>
  <c r="AC4" i="1" s="1"/>
  <c r="T4" i="1" s="1"/>
  <c r="AB52" i="1"/>
  <c r="AC52" i="1" s="1"/>
  <c r="T52" i="1" s="1"/>
  <c r="AB9" i="1"/>
  <c r="AC9" i="1" s="1"/>
  <c r="T9" i="1" s="1"/>
  <c r="H5" i="1"/>
  <c r="A5" i="1" s="1"/>
  <c r="W5" i="1" s="1"/>
  <c r="AB22" i="1"/>
  <c r="AC22" i="1" s="1"/>
  <c r="T22" i="1" s="1"/>
  <c r="AB5" i="1"/>
  <c r="AC5" i="1" s="1"/>
  <c r="T5" i="1" s="1"/>
  <c r="AB50" i="1"/>
  <c r="AC50" i="1" s="1"/>
  <c r="T50" i="1" s="1"/>
  <c r="AB49" i="1"/>
  <c r="AC49" i="1" s="1"/>
  <c r="T49" i="1" s="1"/>
  <c r="AB47" i="1"/>
  <c r="AC47" i="1" s="1"/>
  <c r="T47" i="1" s="1"/>
  <c r="AB43" i="1"/>
  <c r="AC43" i="1" s="1"/>
  <c r="T43" i="1" s="1"/>
  <c r="AB48" i="1"/>
  <c r="AC48" i="1" s="1"/>
  <c r="T48" i="1" s="1"/>
  <c r="AB45" i="1"/>
  <c r="AC45" i="1" s="1"/>
  <c r="T45" i="1" s="1"/>
  <c r="AB44" i="1"/>
  <c r="AC44" i="1" s="1"/>
  <c r="T44" i="1" s="1"/>
  <c r="H39" i="1"/>
  <c r="A39" i="1" s="1"/>
  <c r="AB39" i="1"/>
  <c r="AC39" i="1" s="1"/>
  <c r="T39" i="1" s="1"/>
  <c r="AB38" i="1"/>
  <c r="AC38" i="1" s="1"/>
  <c r="T38" i="1" s="1"/>
  <c r="AB35" i="1"/>
  <c r="AC35" i="1" s="1"/>
  <c r="T35" i="1" s="1"/>
  <c r="AB32" i="1"/>
  <c r="AC32" i="1" s="1"/>
  <c r="T32" i="1" s="1"/>
  <c r="AB31" i="1"/>
  <c r="AC31" i="1" s="1"/>
  <c r="T31" i="1" s="1"/>
  <c r="AB34" i="1"/>
  <c r="AC34" i="1" s="1"/>
  <c r="T34" i="1" s="1"/>
  <c r="AB30" i="1"/>
  <c r="AC30" i="1" s="1"/>
  <c r="T30" i="1" s="1"/>
  <c r="AA27" i="1"/>
  <c r="AB27" i="1" s="1"/>
  <c r="AC27" i="1" s="1"/>
  <c r="T27" i="1" s="1"/>
  <c r="AB25" i="1"/>
  <c r="AC25" i="1" s="1"/>
  <c r="T25" i="1" s="1"/>
  <c r="AA23" i="1"/>
  <c r="AB23" i="1" s="1"/>
  <c r="AC23" i="1" s="1"/>
  <c r="T23" i="1" s="1"/>
  <c r="AB19" i="1"/>
  <c r="AC19" i="1" s="1"/>
  <c r="T19" i="1" s="1"/>
  <c r="AB18" i="1"/>
  <c r="AC18" i="1" s="1"/>
  <c r="T18" i="1" s="1"/>
  <c r="AB16" i="1"/>
  <c r="AC16" i="1" s="1"/>
  <c r="T16" i="1" s="1"/>
  <c r="AB7" i="1"/>
  <c r="AC7" i="1" s="1"/>
  <c r="T7" i="1" s="1"/>
  <c r="Z92" i="1"/>
  <c r="AA92" i="1"/>
  <c r="AB207" i="1"/>
  <c r="AC207" i="1" s="1"/>
  <c r="T207" i="1" s="1"/>
  <c r="AB202" i="1"/>
  <c r="AC202" i="1" s="1"/>
  <c r="T202" i="1" s="1"/>
  <c r="AA199" i="1"/>
  <c r="AB199" i="1" s="1"/>
  <c r="AC199" i="1" s="1"/>
  <c r="T199" i="1" s="1"/>
  <c r="AA197" i="1"/>
  <c r="AB197" i="1" s="1"/>
  <c r="AC197" i="1" s="1"/>
  <c r="T197" i="1" s="1"/>
  <c r="AB190" i="1"/>
  <c r="AC190" i="1" s="1"/>
  <c r="T190" i="1" s="1"/>
  <c r="AB171" i="1"/>
  <c r="AC171" i="1" s="1"/>
  <c r="T171" i="1" s="1"/>
  <c r="AB167" i="1"/>
  <c r="AC167" i="1" s="1"/>
  <c r="T167" i="1" s="1"/>
  <c r="AB157" i="1"/>
  <c r="AC157" i="1" s="1"/>
  <c r="T157" i="1" s="1"/>
  <c r="AB100" i="1"/>
  <c r="AC100" i="1" s="1"/>
  <c r="T100" i="1" s="1"/>
  <c r="AB86" i="1"/>
  <c r="AC86" i="1" s="1"/>
  <c r="T86" i="1" s="1"/>
  <c r="AB83" i="1"/>
  <c r="AC83" i="1" s="1"/>
  <c r="T83" i="1" s="1"/>
  <c r="AB76" i="1"/>
  <c r="AC76" i="1" s="1"/>
  <c r="T76" i="1" s="1"/>
  <c r="AB58" i="1"/>
  <c r="AC58" i="1" s="1"/>
  <c r="T58" i="1" s="1"/>
  <c r="AB54" i="1"/>
  <c r="AC54" i="1" s="1"/>
  <c r="T54" i="1" s="1"/>
  <c r="AB46" i="1"/>
  <c r="AC46" i="1" s="1"/>
  <c r="T46" i="1" s="1"/>
  <c r="AB21" i="1"/>
  <c r="AC21" i="1" s="1"/>
  <c r="T21" i="1" s="1"/>
  <c r="AB8" i="1"/>
  <c r="AC8" i="1" s="1"/>
  <c r="T8" i="1" s="1"/>
  <c r="AB33" i="1"/>
  <c r="AC33" i="1" s="1"/>
  <c r="T33" i="1" s="1"/>
  <c r="AB26" i="1"/>
  <c r="AC26" i="1" s="1"/>
  <c r="T26" i="1" s="1"/>
  <c r="AB17" i="1"/>
  <c r="AC17" i="1" s="1"/>
  <c r="T17" i="1" s="1"/>
  <c r="AA200" i="1"/>
  <c r="AB200" i="1" s="1"/>
  <c r="AC200" i="1" s="1"/>
  <c r="T200" i="1" s="1"/>
  <c r="AB186" i="1"/>
  <c r="AC186" i="1" s="1"/>
  <c r="T186" i="1" s="1"/>
  <c r="AB177" i="1"/>
  <c r="AC177" i="1" s="1"/>
  <c r="T177" i="1" s="1"/>
  <c r="AB161" i="1"/>
  <c r="AC161" i="1" s="1"/>
  <c r="T161" i="1" s="1"/>
  <c r="AB152" i="1"/>
  <c r="AC152" i="1" s="1"/>
  <c r="T152" i="1" s="1"/>
  <c r="AB147" i="1"/>
  <c r="AC147" i="1" s="1"/>
  <c r="T147" i="1" s="1"/>
  <c r="AB144" i="1"/>
  <c r="AC144" i="1" s="1"/>
  <c r="T144" i="1" s="1"/>
  <c r="AB96" i="1"/>
  <c r="AC96" i="1" s="1"/>
  <c r="T96" i="1" s="1"/>
  <c r="AB79" i="1"/>
  <c r="AC79" i="1" s="1"/>
  <c r="T79" i="1" s="1"/>
  <c r="AB71" i="1"/>
  <c r="AC71" i="1" s="1"/>
  <c r="T71" i="1" s="1"/>
  <c r="AB53" i="1"/>
  <c r="AC53" i="1" s="1"/>
  <c r="T53" i="1" s="1"/>
  <c r="AB37" i="1"/>
  <c r="AC37" i="1" s="1"/>
  <c r="T37" i="1" s="1"/>
  <c r="AB20" i="1"/>
  <c r="AC20" i="1" s="1"/>
  <c r="T20" i="1" s="1"/>
  <c r="AB3" i="1"/>
  <c r="AC3" i="1" s="1"/>
  <c r="T3" i="1" s="1"/>
  <c r="AB213" i="1"/>
  <c r="AC213" i="1" s="1"/>
  <c r="T213" i="1" s="1"/>
  <c r="AB211" i="1"/>
  <c r="AC211" i="1" s="1"/>
  <c r="T211" i="1" s="1"/>
  <c r="AB212" i="1"/>
  <c r="AC212" i="1" s="1"/>
  <c r="T212" i="1" s="1"/>
  <c r="AB162" i="1"/>
  <c r="AC162" i="1" s="1"/>
  <c r="T162" i="1" s="1"/>
  <c r="AB208" i="1"/>
  <c r="AC208" i="1" s="1"/>
  <c r="T208" i="1" s="1"/>
  <c r="AB205" i="1"/>
  <c r="AC205" i="1" s="1"/>
  <c r="T205" i="1" s="1"/>
  <c r="W243" i="1"/>
  <c r="W120" i="1"/>
  <c r="W6" i="1"/>
  <c r="H16" i="1" l="1"/>
  <c r="A16" i="1" s="1"/>
  <c r="H18" i="1"/>
  <c r="A18" i="1" s="1"/>
  <c r="AB92" i="1"/>
  <c r="AC92" i="1" s="1"/>
  <c r="T92" i="1" s="1"/>
  <c r="H17" i="1"/>
  <c r="A17" i="1" s="1"/>
  <c r="W244" i="1"/>
  <c r="W121" i="1"/>
  <c r="W7" i="1"/>
  <c r="H9" i="1" l="1"/>
  <c r="A9" i="1" s="1"/>
  <c r="H21" i="1"/>
  <c r="A21" i="1" s="1"/>
  <c r="H25" i="1"/>
  <c r="A25" i="1" s="1"/>
  <c r="H26" i="1"/>
  <c r="A26" i="1" s="1"/>
  <c r="W245" i="1"/>
  <c r="W122" i="1"/>
  <c r="W8" i="1"/>
  <c r="W123" i="1"/>
  <c r="H19" i="1" l="1"/>
  <c r="A19" i="1" s="1"/>
  <c r="W19" i="1" s="1"/>
  <c r="H27" i="1"/>
  <c r="A27" i="1" s="1"/>
  <c r="H23" i="1"/>
  <c r="A23" i="1" s="1"/>
  <c r="W246" i="1"/>
  <c r="W9" i="1"/>
  <c r="W124" i="1"/>
  <c r="W10" i="1"/>
  <c r="H20" i="1" l="1"/>
  <c r="A20" i="1" s="1"/>
  <c r="W20" i="1" s="1"/>
  <c r="H29" i="1"/>
  <c r="A29" i="1" s="1"/>
  <c r="W247" i="1"/>
  <c r="W125" i="1"/>
  <c r="W11" i="1"/>
  <c r="H24" i="1" l="1"/>
  <c r="A24" i="1" s="1"/>
  <c r="H28" i="1"/>
  <c r="A28" i="1" s="1"/>
  <c r="H30" i="1"/>
  <c r="A30" i="1" s="1"/>
  <c r="W29" i="1"/>
  <c r="W248" i="1"/>
  <c r="W12" i="1"/>
  <c r="W21" i="1"/>
  <c r="H33" i="1" l="1"/>
  <c r="A33" i="1" s="1"/>
  <c r="W30" i="1"/>
  <c r="W249" i="1"/>
  <c r="W13" i="1"/>
  <c r="W22" i="1"/>
  <c r="H35" i="1" l="1"/>
  <c r="A35" i="1" s="1"/>
  <c r="W250" i="1"/>
  <c r="W24" i="1"/>
  <c r="W31" i="1"/>
  <c r="W14" i="1"/>
  <c r="W23" i="1"/>
  <c r="H37" i="1" l="1"/>
  <c r="A37" i="1" s="1"/>
  <c r="H41" i="1"/>
  <c r="A41" i="1" s="1"/>
  <c r="W251" i="1"/>
  <c r="W32" i="1"/>
  <c r="W25" i="1"/>
  <c r="W15" i="1"/>
  <c r="H40" i="1" l="1"/>
  <c r="A40" i="1" s="1"/>
  <c r="W33" i="1"/>
  <c r="W26" i="1"/>
  <c r="W16" i="1"/>
  <c r="H44" i="1" l="1"/>
  <c r="A44" i="1" s="1"/>
  <c r="H43" i="1"/>
  <c r="A43" i="1" s="1"/>
  <c r="W27" i="1"/>
  <c r="W34" i="1"/>
  <c r="W17" i="1"/>
  <c r="W18" i="1"/>
  <c r="H46" i="1" l="1"/>
  <c r="A46" i="1" s="1"/>
  <c r="H45" i="1"/>
  <c r="A45" i="1" s="1"/>
  <c r="W39" i="1"/>
  <c r="W40" i="1"/>
  <c r="W28" i="1"/>
  <c r="W35" i="1"/>
  <c r="H47" i="1" l="1"/>
  <c r="A47" i="1" s="1"/>
  <c r="H48" i="1"/>
  <c r="A48" i="1" s="1"/>
  <c r="H49" i="1"/>
  <c r="A49" i="1" s="1"/>
  <c r="W41" i="1"/>
  <c r="W42" i="1"/>
  <c r="W43" i="1"/>
  <c r="W36" i="1"/>
  <c r="H50" i="1" l="1"/>
  <c r="A50" i="1" s="1"/>
  <c r="W44" i="1"/>
  <c r="W37" i="1"/>
  <c r="H51" i="1" l="1"/>
  <c r="A51" i="1" s="1"/>
  <c r="H53" i="1"/>
  <c r="A53" i="1" s="1"/>
  <c r="W53" i="1" s="1"/>
  <c r="W38" i="1"/>
  <c r="W45" i="1"/>
  <c r="H52" i="1" l="1"/>
  <c r="A52" i="1" s="1"/>
  <c r="W46" i="1"/>
  <c r="H54" i="1" l="1"/>
  <c r="A54" i="1" s="1"/>
  <c r="W54" i="1" s="1"/>
  <c r="H74" i="1"/>
  <c r="A74" i="1" s="1"/>
  <c r="W47" i="1"/>
  <c r="H55" i="1" l="1"/>
  <c r="A55" i="1" s="1"/>
  <c r="H76" i="1"/>
  <c r="A76" i="1" s="1"/>
  <c r="W48" i="1"/>
  <c r="W55" i="1"/>
  <c r="H56" i="1" l="1"/>
  <c r="A56" i="1" s="1"/>
  <c r="H81" i="1"/>
  <c r="A81" i="1" s="1"/>
  <c r="W49" i="1"/>
  <c r="W56" i="1"/>
  <c r="H57" i="1" l="1"/>
  <c r="A57" i="1" s="1"/>
  <c r="W57" i="1" s="1"/>
  <c r="H83" i="1"/>
  <c r="A83" i="1" s="1"/>
  <c r="W50" i="1"/>
  <c r="H60" i="1" l="1"/>
  <c r="A60" i="1" s="1"/>
  <c r="H58" i="1"/>
  <c r="A58" i="1" s="1"/>
  <c r="W51" i="1"/>
  <c r="W58" i="1"/>
  <c r="W52" i="1"/>
  <c r="H62" i="1" l="1"/>
  <c r="A62" i="1" s="1"/>
  <c r="H66" i="1"/>
  <c r="A66" i="1" s="1"/>
  <c r="W66" i="1" s="1"/>
  <c r="H88" i="1"/>
  <c r="A88" i="1" s="1"/>
  <c r="W59" i="1"/>
  <c r="W67" i="1"/>
  <c r="H96" i="1" l="1"/>
  <c r="A96" i="1" s="1"/>
  <c r="W68" i="1"/>
  <c r="W60" i="1"/>
  <c r="H98" i="1" l="1"/>
  <c r="A98" i="1" s="1"/>
  <c r="W61" i="1"/>
  <c r="H69" i="1" l="1"/>
  <c r="A69" i="1" s="1"/>
  <c r="H139" i="1"/>
  <c r="A139" i="1" s="1"/>
  <c r="W70" i="1"/>
  <c r="W62" i="1"/>
  <c r="W69" i="1"/>
  <c r="H79" i="1" l="1"/>
  <c r="A79" i="1" s="1"/>
  <c r="W79" i="1" s="1"/>
  <c r="W71" i="1"/>
  <c r="W63" i="1"/>
  <c r="W64" i="1"/>
  <c r="H80" i="1" l="1"/>
  <c r="A80" i="1" s="1"/>
  <c r="W80" i="1" s="1"/>
  <c r="H147" i="1"/>
  <c r="A147" i="1" s="1"/>
  <c r="W81" i="1"/>
  <c r="W72" i="1"/>
  <c r="H86" i="1" l="1"/>
  <c r="A86" i="1" s="1"/>
  <c r="H154" i="1"/>
  <c r="A154" i="1" s="1"/>
  <c r="W73" i="1"/>
  <c r="W82" i="1"/>
  <c r="A100" i="1" l="1"/>
  <c r="H160" i="1"/>
  <c r="A160" i="1" s="1"/>
  <c r="W74" i="1"/>
  <c r="W83" i="1"/>
  <c r="H104" i="1" l="1"/>
  <c r="A104" i="1" s="1"/>
  <c r="W84" i="1"/>
  <c r="W89" i="1"/>
  <c r="W85" i="1"/>
  <c r="W90" i="1"/>
  <c r="W75" i="1"/>
  <c r="H106" i="1" l="1"/>
  <c r="A106" i="1" s="1"/>
  <c r="H142" i="1"/>
  <c r="A142" i="1" s="1"/>
  <c r="H180" i="1"/>
  <c r="A180" i="1" s="1"/>
  <c r="W91" i="1"/>
  <c r="W86" i="1"/>
  <c r="W87" i="1"/>
  <c r="W76" i="1"/>
  <c r="H144" i="1" l="1"/>
  <c r="A144" i="1" s="1"/>
  <c r="H182" i="1"/>
  <c r="A182" i="1" s="1"/>
  <c r="W92" i="1"/>
  <c r="W88" i="1"/>
  <c r="W77" i="1"/>
  <c r="W138" i="1"/>
  <c r="H148" i="1" l="1"/>
  <c r="A148" i="1" s="1"/>
  <c r="H188" i="1"/>
  <c r="A188" i="1" s="1"/>
  <c r="W78" i="1"/>
  <c r="W139" i="1"/>
  <c r="W93" i="1"/>
  <c r="H152" i="1" l="1"/>
  <c r="A152" i="1" s="1"/>
  <c r="H193" i="1"/>
  <c r="A193" i="1" s="1"/>
  <c r="W169" i="1"/>
  <c r="W94" i="1"/>
  <c r="W152" i="1"/>
  <c r="W140" i="1"/>
  <c r="H157" i="1" l="1"/>
  <c r="A157" i="1" s="1"/>
  <c r="H195" i="1"/>
  <c r="A195" i="1" s="1"/>
  <c r="W153" i="1"/>
  <c r="W95" i="1"/>
  <c r="W154" i="1"/>
  <c r="W141" i="1"/>
  <c r="H168" i="1" l="1"/>
  <c r="A168" i="1" s="1"/>
  <c r="H197" i="1"/>
  <c r="A197" i="1" s="1"/>
  <c r="W142" i="1"/>
  <c r="W155" i="1"/>
  <c r="W96" i="1"/>
  <c r="H170" i="1" l="1"/>
  <c r="A170" i="1" s="1"/>
  <c r="W170" i="1" s="1"/>
  <c r="H202" i="1"/>
  <c r="A202" i="1" s="1"/>
  <c r="W97" i="1"/>
  <c r="W143" i="1"/>
  <c r="W156" i="1"/>
  <c r="W157" i="1" s="1"/>
  <c r="W171" i="1"/>
  <c r="H174" i="1" l="1"/>
  <c r="A174" i="1" s="1"/>
  <c r="W174" i="1" s="1"/>
  <c r="W205" i="1"/>
  <c r="W175" i="1"/>
  <c r="W98" i="1"/>
  <c r="W172" i="1"/>
  <c r="W158" i="1"/>
  <c r="W144" i="1"/>
  <c r="H177" i="1" l="1"/>
  <c r="A177" i="1" s="1"/>
  <c r="W99" i="1"/>
  <c r="W159" i="1"/>
  <c r="W145" i="1"/>
  <c r="H184" i="1" l="1"/>
  <c r="A184" i="1" s="1"/>
  <c r="AD41" i="1"/>
  <c r="AD39" i="1"/>
  <c r="AD56" i="1"/>
  <c r="AD50" i="1"/>
  <c r="AD45" i="1"/>
  <c r="AD47" i="1"/>
  <c r="AD29" i="1"/>
  <c r="AD27" i="1"/>
  <c r="AD18" i="1"/>
  <c r="X208" i="1"/>
  <c r="AD207" i="1"/>
  <c r="AD188" i="1"/>
  <c r="AD180" i="1"/>
  <c r="AD33" i="1"/>
  <c r="AD26" i="1"/>
  <c r="AD17" i="1"/>
  <c r="AD23" i="1"/>
  <c r="AD35" i="1"/>
  <c r="AD37" i="1"/>
  <c r="AD48" i="1"/>
  <c r="AD88" i="1"/>
  <c r="AD139" i="1"/>
  <c r="AD147" i="1"/>
  <c r="AD154" i="1"/>
  <c r="AD160" i="1"/>
  <c r="X169" i="1"/>
  <c r="AD197" i="1"/>
  <c r="AD210" i="1"/>
  <c r="AD202" i="1"/>
  <c r="AD195" i="1"/>
  <c r="AD43" i="1"/>
  <c r="AD81" i="1"/>
  <c r="AD76" i="1"/>
  <c r="AD83" i="1"/>
  <c r="AD96" i="1"/>
  <c r="AD182" i="1"/>
  <c r="AD193" i="1"/>
  <c r="W179" i="1"/>
  <c r="W177" i="1"/>
  <c r="W100" i="1"/>
  <c r="W146" i="1"/>
  <c r="W160" i="1"/>
  <c r="W101" i="1"/>
  <c r="H187" i="1" l="1"/>
  <c r="A187" i="1" s="1"/>
  <c r="W103" i="1"/>
  <c r="W165" i="1"/>
  <c r="W180" i="1"/>
  <c r="W161" i="1"/>
  <c r="W147" i="1"/>
  <c r="H189" i="1" l="1"/>
  <c r="A189" i="1" s="1"/>
  <c r="W181" i="1"/>
  <c r="W104" i="1"/>
  <c r="W166" i="1"/>
  <c r="W162" i="1"/>
  <c r="W148" i="1"/>
  <c r="W167" i="1"/>
  <c r="W168" i="1"/>
  <c r="H191" i="1" l="1"/>
  <c r="A191" i="1" s="1"/>
  <c r="W182" i="1"/>
  <c r="W163" i="1"/>
  <c r="W105" i="1"/>
  <c r="W149" i="1"/>
  <c r="H196" i="1" l="1"/>
  <c r="A196" i="1" s="1"/>
  <c r="W194" i="1"/>
  <c r="W193" i="1"/>
  <c r="W195" i="1"/>
  <c r="W183" i="1"/>
  <c r="W106" i="1"/>
  <c r="W164" i="1"/>
  <c r="W150" i="1"/>
  <c r="W151" i="1" s="1"/>
  <c r="H198" i="1" l="1"/>
  <c r="A198" i="1" s="1"/>
  <c r="W196" i="1"/>
  <c r="W184" i="1"/>
  <c r="W107" i="1"/>
  <c r="W108" i="1"/>
  <c r="H201" i="1" l="1"/>
  <c r="A201" i="1" s="1"/>
  <c r="W185" i="1"/>
  <c r="W197" i="1"/>
  <c r="H204" i="1" l="1"/>
  <c r="A204" i="1" s="1"/>
  <c r="W186" i="1"/>
  <c r="W187" i="1"/>
  <c r="W198" i="1"/>
  <c r="H206" i="1" l="1"/>
  <c r="A206" i="1" s="1"/>
  <c r="W204" i="1"/>
  <c r="W199" i="1"/>
  <c r="W200" i="1"/>
  <c r="W188" i="1"/>
  <c r="H209" i="1" l="1"/>
  <c r="A209" i="1" s="1"/>
  <c r="W201" i="1"/>
  <c r="W202" i="1"/>
  <c r="W189" i="1"/>
  <c r="W206" i="1"/>
  <c r="W209" i="1" l="1"/>
  <c r="H211" i="1"/>
  <c r="A211" i="1" s="1"/>
  <c r="W190" i="1"/>
  <c r="W210" i="1"/>
  <c r="W191" i="1"/>
  <c r="W207" i="1"/>
  <c r="W203" i="1"/>
  <c r="W211" i="1" l="1"/>
  <c r="H213" i="1"/>
  <c r="A213" i="1" s="1"/>
  <c r="W192" i="1"/>
  <c r="W213" i="1" l="1"/>
  <c r="H216" i="1"/>
  <c r="A216" i="1" s="1"/>
  <c r="H219" i="1"/>
  <c r="A219" i="1" s="1"/>
  <c r="W214" i="1"/>
  <c r="W215" i="1"/>
  <c r="W216" i="1"/>
  <c r="X193" i="1" l="1"/>
  <c r="AD189" i="1"/>
  <c r="AD142" i="1"/>
  <c r="AD187" i="1"/>
  <c r="X41" i="1"/>
  <c r="AD7" i="1"/>
  <c r="AD52" i="1"/>
  <c r="X39" i="1"/>
  <c r="AD58" i="1"/>
  <c r="X79" i="1"/>
  <c r="AD62" i="1"/>
  <c r="AD152" i="1"/>
  <c r="AD4" i="1"/>
  <c r="AD157" i="1"/>
  <c r="AD148" i="1"/>
  <c r="AD144" i="1"/>
  <c r="AD177" i="1"/>
  <c r="AD106" i="1"/>
  <c r="X175" i="1"/>
  <c r="AD46" i="1"/>
  <c r="AD184" i="1"/>
  <c r="X29" i="1"/>
  <c r="AD44" i="1"/>
  <c r="AD79" i="1"/>
  <c r="AD86" i="1"/>
  <c r="AD24" i="1"/>
  <c r="AD191" i="1"/>
  <c r="AD60" i="1"/>
  <c r="AD196" i="1"/>
  <c r="AD201" i="1"/>
  <c r="X204" i="1"/>
  <c r="X211" i="1"/>
  <c r="AD204" i="1"/>
  <c r="AD206" i="1"/>
  <c r="AD213" i="1"/>
  <c r="AD198" i="1"/>
  <c r="AD216" i="1"/>
  <c r="AD219" i="1"/>
  <c r="A1" i="2"/>
  <c r="D3" i="4"/>
  <c r="X213" i="1"/>
  <c r="AD211" i="1"/>
  <c r="W217" i="1"/>
  <c r="C6" i="4" l="1"/>
  <c r="C8" i="4"/>
  <c r="C10" i="4"/>
  <c r="C12" i="4"/>
  <c r="C14" i="4"/>
  <c r="C16" i="4"/>
  <c r="C18" i="4"/>
  <c r="C20" i="4"/>
  <c r="C22" i="4"/>
  <c r="C24" i="4"/>
  <c r="C26" i="4"/>
  <c r="C28" i="4"/>
  <c r="C30" i="4"/>
  <c r="C32" i="4"/>
  <c r="C34" i="4"/>
  <c r="C36" i="4"/>
  <c r="C38" i="4"/>
  <c r="C40" i="4"/>
  <c r="C42" i="4"/>
  <c r="C44" i="4"/>
  <c r="C46" i="4"/>
  <c r="C48" i="4"/>
  <c r="C50" i="4"/>
  <c r="C52" i="4"/>
  <c r="C54" i="4"/>
  <c r="C56" i="4"/>
  <c r="C5" i="4"/>
  <c r="C7" i="4"/>
  <c r="C9" i="4"/>
  <c r="C11" i="4"/>
  <c r="C13" i="4"/>
  <c r="C15" i="4"/>
  <c r="C17" i="4"/>
  <c r="C19" i="4"/>
  <c r="C21" i="4"/>
  <c r="C23" i="4"/>
  <c r="C25" i="4"/>
  <c r="C27" i="4"/>
  <c r="C29" i="4"/>
  <c r="C31" i="4"/>
  <c r="C33" i="4"/>
  <c r="C35" i="4"/>
  <c r="C37" i="4"/>
  <c r="C39" i="4"/>
  <c r="C41" i="4"/>
  <c r="C43" i="4"/>
  <c r="C45" i="4"/>
  <c r="C47" i="4"/>
  <c r="C49" i="4"/>
  <c r="C51" i="4"/>
  <c r="C53" i="4"/>
  <c r="C55" i="4"/>
  <c r="C57" i="4"/>
  <c r="E3" i="2"/>
  <c r="E41" i="2" s="1"/>
  <c r="E79" i="2" s="1"/>
  <c r="D7" i="2"/>
  <c r="D45" i="2" s="1"/>
  <c r="D83" i="2" s="1"/>
  <c r="E1" i="2"/>
  <c r="D5" i="2"/>
  <c r="D43" i="2" s="1"/>
  <c r="D81" i="2" s="1"/>
  <c r="W218" i="1"/>
  <c r="H6" i="2" l="1"/>
  <c r="H44" i="2" s="1"/>
  <c r="H82" i="2" s="1"/>
  <c r="H5" i="2"/>
  <c r="H43" i="2" s="1"/>
  <c r="H81" i="2" s="1"/>
  <c r="H3" i="2"/>
  <c r="H41" i="2" s="1"/>
  <c r="H79" i="2" s="1"/>
  <c r="M11" i="4"/>
  <c r="F11" i="4"/>
  <c r="G11" i="4"/>
  <c r="D11" i="4"/>
  <c r="N11" i="4"/>
  <c r="E11" i="4"/>
  <c r="F44" i="4"/>
  <c r="M44" i="4"/>
  <c r="E44" i="4"/>
  <c r="D44" i="4"/>
  <c r="N44" i="4"/>
  <c r="G44" i="4"/>
  <c r="M10" i="4"/>
  <c r="E10" i="4"/>
  <c r="F10" i="4"/>
  <c r="G10" i="4"/>
  <c r="N10" i="4"/>
  <c r="D10" i="4"/>
  <c r="N30" i="4"/>
  <c r="M30" i="4"/>
  <c r="E30" i="4"/>
  <c r="F30" i="4"/>
  <c r="D30" i="4"/>
  <c r="G30" i="4"/>
  <c r="E50" i="4"/>
  <c r="N50" i="4"/>
  <c r="J50" i="4"/>
  <c r="L50" i="4" s="1"/>
  <c r="I50" i="4"/>
  <c r="F50" i="4"/>
  <c r="M50" i="4"/>
  <c r="G50" i="4"/>
  <c r="K50" i="4"/>
  <c r="D50" i="4"/>
  <c r="H50" i="4"/>
  <c r="F23" i="4"/>
  <c r="E23" i="4"/>
  <c r="G23" i="4"/>
  <c r="M23" i="4"/>
  <c r="D23" i="4"/>
  <c r="N23" i="4"/>
  <c r="E7" i="4"/>
  <c r="D7" i="4"/>
  <c r="G7" i="4"/>
  <c r="F7" i="4"/>
  <c r="N7" i="4"/>
  <c r="M7" i="4"/>
  <c r="F29" i="4"/>
  <c r="D29" i="4"/>
  <c r="N29" i="4"/>
  <c r="G29" i="4"/>
  <c r="M29" i="4"/>
  <c r="E29" i="4"/>
  <c r="M37" i="4"/>
  <c r="D37" i="4"/>
  <c r="N37" i="4"/>
  <c r="F37" i="4"/>
  <c r="E37" i="4"/>
  <c r="G37" i="4"/>
  <c r="G6" i="4"/>
  <c r="N6" i="4"/>
  <c r="D6" i="4"/>
  <c r="M6" i="4"/>
  <c r="F6" i="4"/>
  <c r="E6" i="4"/>
  <c r="N26" i="4"/>
  <c r="D26" i="4"/>
  <c r="E26" i="4"/>
  <c r="G26" i="4"/>
  <c r="M26" i="4"/>
  <c r="F26" i="4"/>
  <c r="G48" i="4"/>
  <c r="D48" i="4"/>
  <c r="E48" i="4"/>
  <c r="N48" i="4"/>
  <c r="M48" i="4"/>
  <c r="F48" i="4"/>
  <c r="D21" i="4"/>
  <c r="G21" i="4"/>
  <c r="N21" i="4"/>
  <c r="E21" i="4"/>
  <c r="F21" i="4"/>
  <c r="M21" i="4"/>
  <c r="D15" i="4"/>
  <c r="E15" i="4"/>
  <c r="F15" i="4"/>
  <c r="G15" i="4"/>
  <c r="M15" i="4"/>
  <c r="N15" i="4"/>
  <c r="D42" i="4"/>
  <c r="F42" i="4"/>
  <c r="G42" i="4"/>
  <c r="N42" i="4"/>
  <c r="M42" i="4"/>
  <c r="E42" i="4"/>
  <c r="H57" i="4"/>
  <c r="J57" i="4"/>
  <c r="L57" i="4" s="1"/>
  <c r="K57" i="4"/>
  <c r="F57" i="4"/>
  <c r="E57" i="4"/>
  <c r="M57" i="4"/>
  <c r="N57" i="4"/>
  <c r="G57" i="4"/>
  <c r="I57" i="4"/>
  <c r="D57" i="4"/>
  <c r="D13" i="4"/>
  <c r="G13" i="4"/>
  <c r="E13" i="4"/>
  <c r="M13" i="4"/>
  <c r="F13" i="4"/>
  <c r="N13" i="4"/>
  <c r="M32" i="4"/>
  <c r="G32" i="4"/>
  <c r="F32" i="4"/>
  <c r="D32" i="4"/>
  <c r="N32" i="4"/>
  <c r="E32" i="4"/>
  <c r="M43" i="4"/>
  <c r="D43" i="4"/>
  <c r="E43" i="4"/>
  <c r="G43" i="4"/>
  <c r="N43" i="4"/>
  <c r="F43" i="4"/>
  <c r="G25" i="4"/>
  <c r="N25" i="4"/>
  <c r="M25" i="4"/>
  <c r="F25" i="4"/>
  <c r="D25" i="4"/>
  <c r="E25" i="4"/>
  <c r="I55" i="4"/>
  <c r="E55" i="4"/>
  <c r="N55" i="4"/>
  <c r="K55" i="4"/>
  <c r="F55" i="4"/>
  <c r="H55" i="4"/>
  <c r="M55" i="4"/>
  <c r="D55" i="4"/>
  <c r="J55" i="4"/>
  <c r="L55" i="4" s="1"/>
  <c r="G55" i="4"/>
  <c r="N31" i="4"/>
  <c r="E31" i="4"/>
  <c r="G31" i="4"/>
  <c r="D31" i="4"/>
  <c r="F31" i="4"/>
  <c r="M31" i="4"/>
  <c r="D56" i="4"/>
  <c r="J56" i="4"/>
  <c r="L56" i="4" s="1"/>
  <c r="M56" i="4"/>
  <c r="G56" i="4"/>
  <c r="H56" i="4"/>
  <c r="I56" i="4"/>
  <c r="K56" i="4"/>
  <c r="N56" i="4"/>
  <c r="F56" i="4"/>
  <c r="E56" i="4"/>
  <c r="N20" i="4"/>
  <c r="G20" i="4"/>
  <c r="E20" i="4"/>
  <c r="D20" i="4"/>
  <c r="M20" i="4"/>
  <c r="F20" i="4"/>
  <c r="E38" i="4"/>
  <c r="F38" i="4"/>
  <c r="M38" i="4"/>
  <c r="N38" i="4"/>
  <c r="G38" i="4"/>
  <c r="D38" i="4"/>
  <c r="G53" i="4"/>
  <c r="I53" i="4"/>
  <c r="D53" i="4"/>
  <c r="N53" i="4"/>
  <c r="J53" i="4"/>
  <c r="L53" i="4" s="1"/>
  <c r="H53" i="4"/>
  <c r="F53" i="4"/>
  <c r="M53" i="4"/>
  <c r="K53" i="4"/>
  <c r="E53" i="4"/>
  <c r="N16" i="4"/>
  <c r="G16" i="4"/>
  <c r="E16" i="4"/>
  <c r="D16" i="4"/>
  <c r="F16" i="4"/>
  <c r="M16" i="4"/>
  <c r="E33" i="4"/>
  <c r="D33" i="4"/>
  <c r="N33" i="4"/>
  <c r="F33" i="4"/>
  <c r="M33" i="4"/>
  <c r="G33" i="4"/>
  <c r="G45" i="4"/>
  <c r="M45" i="4"/>
  <c r="F45" i="4"/>
  <c r="D45" i="4"/>
  <c r="E45" i="4"/>
  <c r="N45" i="4"/>
  <c r="F22" i="4"/>
  <c r="E22" i="4"/>
  <c r="N22" i="4"/>
  <c r="D22" i="4"/>
  <c r="M22" i="4"/>
  <c r="G22" i="4"/>
  <c r="N39" i="4"/>
  <c r="E39" i="4"/>
  <c r="G39" i="4"/>
  <c r="F39" i="4"/>
  <c r="M39" i="4"/>
  <c r="D39" i="4"/>
  <c r="D9" i="4"/>
  <c r="F9" i="4"/>
  <c r="E9" i="4"/>
  <c r="G9" i="4"/>
  <c r="M9" i="4"/>
  <c r="N9" i="4"/>
  <c r="M36" i="4"/>
  <c r="G36" i="4"/>
  <c r="E36" i="4"/>
  <c r="N36" i="4"/>
  <c r="F36" i="4"/>
  <c r="D36" i="4"/>
  <c r="D19" i="4"/>
  <c r="E19" i="4"/>
  <c r="F19" i="4"/>
  <c r="N19" i="4"/>
  <c r="G19" i="4"/>
  <c r="M19" i="4"/>
  <c r="N46" i="4"/>
  <c r="G46" i="4"/>
  <c r="D46" i="4"/>
  <c r="E46" i="4"/>
  <c r="F46" i="4"/>
  <c r="M46" i="4"/>
  <c r="M52" i="4"/>
  <c r="F52" i="4"/>
  <c r="K52" i="4"/>
  <c r="N52" i="4"/>
  <c r="G52" i="4"/>
  <c r="E52" i="4"/>
  <c r="H52" i="4"/>
  <c r="D52" i="4"/>
  <c r="I52" i="4"/>
  <c r="J52" i="4"/>
  <c r="L52" i="4" s="1"/>
  <c r="D17" i="4"/>
  <c r="E17" i="4"/>
  <c r="M17" i="4"/>
  <c r="N17" i="4"/>
  <c r="G17" i="4"/>
  <c r="F17" i="4"/>
  <c r="D34" i="4"/>
  <c r="M34" i="4"/>
  <c r="N34" i="4"/>
  <c r="F34" i="4"/>
  <c r="G34" i="4"/>
  <c r="E34" i="4"/>
  <c r="D47" i="4"/>
  <c r="M47" i="4"/>
  <c r="F47" i="4"/>
  <c r="G47" i="4"/>
  <c r="E47" i="4"/>
  <c r="N47" i="4"/>
  <c r="G5" i="4"/>
  <c r="N5" i="4"/>
  <c r="F5" i="4"/>
  <c r="M5" i="4"/>
  <c r="D5" i="4"/>
  <c r="E5" i="4"/>
  <c r="N27" i="4"/>
  <c r="E27" i="4"/>
  <c r="D27" i="4"/>
  <c r="M27" i="4"/>
  <c r="G27" i="4"/>
  <c r="F27" i="4"/>
  <c r="N51" i="4"/>
  <c r="K51" i="4"/>
  <c r="F51" i="4"/>
  <c r="J51" i="4"/>
  <c r="L51" i="4" s="1"/>
  <c r="I51" i="4"/>
  <c r="D51" i="4"/>
  <c r="H51" i="4"/>
  <c r="E51" i="4"/>
  <c r="M51" i="4"/>
  <c r="G51" i="4"/>
  <c r="D18" i="4"/>
  <c r="M18" i="4"/>
  <c r="F18" i="4"/>
  <c r="N18" i="4"/>
  <c r="E18" i="4"/>
  <c r="G18" i="4"/>
  <c r="F24" i="4"/>
  <c r="D24" i="4"/>
  <c r="E24" i="4"/>
  <c r="G24" i="4"/>
  <c r="M24" i="4"/>
  <c r="N24" i="4"/>
  <c r="D40" i="4"/>
  <c r="G40" i="4"/>
  <c r="N40" i="4"/>
  <c r="F40" i="4"/>
  <c r="E40" i="4"/>
  <c r="M40" i="4"/>
  <c r="I54" i="4"/>
  <c r="G54" i="4"/>
  <c r="D54" i="4"/>
  <c r="H54" i="4"/>
  <c r="J54" i="4"/>
  <c r="L54" i="4" s="1"/>
  <c r="M54" i="4"/>
  <c r="E54" i="4"/>
  <c r="K54" i="4"/>
  <c r="F54" i="4"/>
  <c r="N54" i="4"/>
  <c r="F14" i="4"/>
  <c r="E14" i="4"/>
  <c r="M14" i="4"/>
  <c r="D14" i="4"/>
  <c r="N14" i="4"/>
  <c r="G14" i="4"/>
  <c r="M12" i="4"/>
  <c r="F12" i="4"/>
  <c r="G12" i="4"/>
  <c r="E12" i="4"/>
  <c r="N12" i="4"/>
  <c r="D12" i="4"/>
  <c r="F41" i="4"/>
  <c r="G41" i="4"/>
  <c r="N41" i="4"/>
  <c r="M41" i="4"/>
  <c r="D41" i="4"/>
  <c r="E41" i="4"/>
  <c r="E8" i="4"/>
  <c r="G8" i="4"/>
  <c r="N8" i="4"/>
  <c r="F8" i="4"/>
  <c r="M8" i="4"/>
  <c r="D8" i="4"/>
  <c r="G28" i="4"/>
  <c r="M28" i="4"/>
  <c r="E28" i="4"/>
  <c r="F28" i="4"/>
  <c r="D28" i="4"/>
  <c r="N28" i="4"/>
  <c r="N35" i="4"/>
  <c r="E35" i="4"/>
  <c r="G35" i="4"/>
  <c r="M35" i="4"/>
  <c r="F35" i="4"/>
  <c r="D35" i="4"/>
  <c r="F49" i="4"/>
  <c r="E49" i="4"/>
  <c r="D49" i="4"/>
  <c r="M49" i="4"/>
  <c r="G49" i="4"/>
  <c r="N49" i="4"/>
  <c r="W219" i="1"/>
  <c r="W220" i="1" l="1"/>
  <c r="J37" i="2"/>
  <c r="J75" i="2" s="1"/>
  <c r="J113" i="2" s="1"/>
  <c r="J38" i="2"/>
  <c r="J76" i="2" s="1"/>
  <c r="J114" i="2" s="1"/>
  <c r="W221" i="1"/>
  <c r="S5" i="4"/>
  <c r="S7" i="4"/>
  <c r="S8" i="4"/>
  <c r="W8" i="4" s="1"/>
  <c r="T8" i="4"/>
  <c r="U8" i="4"/>
  <c r="S6" i="4"/>
  <c r="W222" i="1" l="1"/>
  <c r="U6" i="4"/>
  <c r="W7" i="4"/>
  <c r="W5" i="4"/>
  <c r="U5" i="4"/>
  <c r="S9" i="4"/>
  <c r="U7" i="4"/>
  <c r="T5" i="4"/>
  <c r="T7" i="4"/>
  <c r="T6" i="4"/>
  <c r="W6" i="4"/>
  <c r="S10" i="4"/>
  <c r="W223" i="1" l="1"/>
  <c r="W224" i="1"/>
  <c r="W225" i="1"/>
  <c r="S12" i="4"/>
  <c r="U10" i="4"/>
  <c r="W10" i="4"/>
  <c r="W9" i="4"/>
  <c r="T10" i="4"/>
  <c r="T9" i="4"/>
  <c r="U9" i="4"/>
  <c r="S11" i="4"/>
  <c r="W226" i="1" l="1"/>
  <c r="T12" i="4"/>
  <c r="S13" i="4"/>
  <c r="W12" i="4"/>
  <c r="W11" i="4"/>
  <c r="U12" i="4"/>
  <c r="U11" i="4"/>
  <c r="T11" i="4"/>
  <c r="S14" i="4"/>
  <c r="W227" i="1" l="1"/>
  <c r="X174" i="1" s="1"/>
  <c r="S16" i="4"/>
  <c r="W13" i="4"/>
  <c r="U13" i="4"/>
  <c r="T14" i="4"/>
  <c r="S15" i="4"/>
  <c r="T13" i="4"/>
  <c r="U14" i="4"/>
  <c r="W14" i="4"/>
  <c r="X167" i="1" l="1"/>
  <c r="X172" i="1"/>
  <c r="X161" i="1"/>
  <c r="AD166" i="1"/>
  <c r="AD153" i="1"/>
  <c r="X155" i="1"/>
  <c r="X158" i="1"/>
  <c r="AD136" i="1"/>
  <c r="X137" i="1"/>
  <c r="X149" i="1"/>
  <c r="X142" i="1"/>
  <c r="X131" i="1"/>
  <c r="AD134" i="1"/>
  <c r="AD129" i="1"/>
  <c r="AD131" i="1"/>
  <c r="AD122" i="1"/>
  <c r="X123" i="1"/>
  <c r="AD113" i="1"/>
  <c r="AD120" i="1"/>
  <c r="X108" i="1"/>
  <c r="AD110" i="1"/>
  <c r="X90" i="1"/>
  <c r="AD107" i="1"/>
  <c r="X101" i="1"/>
  <c r="X89" i="1"/>
  <c r="AD100" i="1"/>
  <c r="AD104" i="1"/>
  <c r="X96" i="1"/>
  <c r="AD98" i="1"/>
  <c r="AD92" i="1"/>
  <c r="AD95" i="1"/>
  <c r="AD87" i="1"/>
  <c r="AD89" i="1"/>
  <c r="X83" i="1"/>
  <c r="AD85" i="1"/>
  <c r="AD74" i="1"/>
  <c r="AD78" i="1"/>
  <c r="AD71" i="1"/>
  <c r="X72" i="1"/>
  <c r="X62" i="1"/>
  <c r="X68" i="1"/>
  <c r="AD57" i="1"/>
  <c r="AD59" i="1"/>
  <c r="AD54" i="1"/>
  <c r="X54" i="1"/>
  <c r="AD51" i="1"/>
  <c r="X52" i="1"/>
  <c r="X37" i="1"/>
  <c r="AD49" i="1"/>
  <c r="AD32" i="1"/>
  <c r="AD34" i="1"/>
  <c r="AD25" i="1"/>
  <c r="AD28" i="1"/>
  <c r="AD20" i="1"/>
  <c r="X20" i="1"/>
  <c r="X15" i="1"/>
  <c r="X18" i="1"/>
  <c r="AD9" i="1"/>
  <c r="AD13" i="1"/>
  <c r="X4" i="1"/>
  <c r="AD6" i="1"/>
  <c r="X227" i="1"/>
  <c r="X224" i="1"/>
  <c r="X238" i="1"/>
  <c r="X185" i="1"/>
  <c r="J49" i="4"/>
  <c r="X197" i="1"/>
  <c r="X70" i="1"/>
  <c r="X195" i="1"/>
  <c r="X87" i="1"/>
  <c r="X74" i="1"/>
  <c r="X80" i="1"/>
  <c r="AD55" i="1"/>
  <c r="X53" i="1"/>
  <c r="X11" i="1"/>
  <c r="J38" i="4"/>
  <c r="X184" i="1"/>
  <c r="AD69" i="1"/>
  <c r="X191" i="1"/>
  <c r="X17" i="1"/>
  <c r="I19" i="4"/>
  <c r="I6" i="4"/>
  <c r="I34" i="4"/>
  <c r="I43" i="4"/>
  <c r="X244" i="1"/>
  <c r="X129" i="1"/>
  <c r="X111" i="1"/>
  <c r="H47" i="4"/>
  <c r="X122" i="1"/>
  <c r="X14" i="1"/>
  <c r="X22" i="1"/>
  <c r="X103" i="1"/>
  <c r="X138" i="1"/>
  <c r="X170" i="1"/>
  <c r="AD66" i="1"/>
  <c r="X153" i="1"/>
  <c r="I13" i="4"/>
  <c r="X119" i="1"/>
  <c r="AD205" i="1"/>
  <c r="AD73" i="1"/>
  <c r="X81" i="1"/>
  <c r="J25" i="4"/>
  <c r="J44" i="4"/>
  <c r="J45" i="4"/>
  <c r="H44" i="4"/>
  <c r="I44" i="4"/>
  <c r="I45" i="4"/>
  <c r="H22" i="4"/>
  <c r="H21" i="4"/>
  <c r="X223" i="1"/>
  <c r="I47" i="4"/>
  <c r="X151" i="1"/>
  <c r="X247" i="1"/>
  <c r="AD53" i="1"/>
  <c r="X194" i="1"/>
  <c r="X157" i="1"/>
  <c r="X48" i="1"/>
  <c r="X9" i="1"/>
  <c r="AD5" i="1"/>
  <c r="X188" i="1"/>
  <c r="X25" i="1"/>
  <c r="H30" i="4"/>
  <c r="H9" i="4"/>
  <c r="X55" i="1"/>
  <c r="X8" i="1"/>
  <c r="AD3" i="1"/>
  <c r="X30" i="1"/>
  <c r="H24" i="4"/>
  <c r="H13" i="4"/>
  <c r="H40" i="4"/>
  <c r="J9" i="4"/>
  <c r="X242" i="1"/>
  <c r="X46" i="1"/>
  <c r="AD253" i="1"/>
  <c r="X218" i="1"/>
  <c r="X66" i="1"/>
  <c r="X24" i="1"/>
  <c r="X104" i="1"/>
  <c r="X160" i="1"/>
  <c r="AD19" i="1"/>
  <c r="X118" i="1"/>
  <c r="X116" i="1"/>
  <c r="X192" i="1"/>
  <c r="H20" i="4"/>
  <c r="X33" i="1"/>
  <c r="X50" i="1"/>
  <c r="AD174" i="1"/>
  <c r="AD209" i="1"/>
  <c r="H36" i="4"/>
  <c r="H37" i="4"/>
  <c r="J17" i="4"/>
  <c r="I42" i="4"/>
  <c r="J29" i="4"/>
  <c r="H19" i="4"/>
  <c r="I14" i="4"/>
  <c r="J43" i="4"/>
  <c r="J12" i="4"/>
  <c r="J36" i="4"/>
  <c r="H49" i="4"/>
  <c r="X168" i="1"/>
  <c r="X232" i="1"/>
  <c r="X216" i="1"/>
  <c r="X5" i="1"/>
  <c r="X217" i="1"/>
  <c r="I21" i="4"/>
  <c r="X19" i="1"/>
  <c r="X141" i="1"/>
  <c r="X209" i="1"/>
  <c r="J8" i="4"/>
  <c r="J32" i="4"/>
  <c r="I37" i="4"/>
  <c r="X245" i="1"/>
  <c r="AD172" i="1"/>
  <c r="X176" i="1"/>
  <c r="X236" i="1"/>
  <c r="AD194" i="1"/>
  <c r="X57" i="1"/>
  <c r="X150" i="1"/>
  <c r="X115" i="1"/>
  <c r="X43" i="1"/>
  <c r="AD42" i="1"/>
  <c r="X28" i="1"/>
  <c r="X10" i="1"/>
  <c r="J15" i="4"/>
  <c r="AD214" i="1"/>
  <c r="X47" i="1"/>
  <c r="X121" i="1"/>
  <c r="AD21" i="1"/>
  <c r="J13" i="4"/>
  <c r="J7" i="4"/>
  <c r="H35" i="4"/>
  <c r="X234" i="1"/>
  <c r="X239" i="1"/>
  <c r="X73" i="1"/>
  <c r="H28" i="4"/>
  <c r="I48" i="4"/>
  <c r="X130" i="1"/>
  <c r="X219" i="1"/>
  <c r="I33" i="4"/>
  <c r="X196" i="1"/>
  <c r="J31" i="4"/>
  <c r="J20" i="4"/>
  <c r="AD30" i="1"/>
  <c r="H46" i="4"/>
  <c r="X180" i="1"/>
  <c r="X67" i="1"/>
  <c r="X201" i="1"/>
  <c r="X88" i="1"/>
  <c r="X120" i="1"/>
  <c r="X177" i="1"/>
  <c r="J39" i="4"/>
  <c r="J16" i="4"/>
  <c r="AD234" i="1"/>
  <c r="X182" i="1"/>
  <c r="X202" i="1"/>
  <c r="X230" i="1"/>
  <c r="H43" i="4"/>
  <c r="AD91" i="1"/>
  <c r="X13" i="1"/>
  <c r="H23" i="4"/>
  <c r="H29" i="4"/>
  <c r="I5" i="4"/>
  <c r="J42" i="4"/>
  <c r="H27" i="4"/>
  <c r="I17" i="4"/>
  <c r="AD150" i="1"/>
  <c r="X94" i="1"/>
  <c r="X162" i="1"/>
  <c r="X205" i="1"/>
  <c r="J5" i="4"/>
  <c r="H41" i="4"/>
  <c r="I46" i="4"/>
  <c r="X241" i="1"/>
  <c r="X203" i="1"/>
  <c r="X221" i="1"/>
  <c r="X179" i="1"/>
  <c r="AD63" i="1"/>
  <c r="X136" i="1"/>
  <c r="X26" i="1"/>
  <c r="J10" i="4"/>
  <c r="I41" i="4"/>
  <c r="X152" i="1"/>
  <c r="X159" i="1"/>
  <c r="AD179" i="1"/>
  <c r="X143" i="1"/>
  <c r="J23" i="4"/>
  <c r="X200" i="1"/>
  <c r="X77" i="1"/>
  <c r="I40" i="4"/>
  <c r="I12" i="4"/>
  <c r="H38" i="4"/>
  <c r="H10" i="4"/>
  <c r="J28" i="4"/>
  <c r="X226" i="1"/>
  <c r="I49" i="4"/>
  <c r="X220" i="1"/>
  <c r="AD16" i="1"/>
  <c r="AD238" i="1"/>
  <c r="X69" i="1"/>
  <c r="X114" i="1"/>
  <c r="X99" i="1"/>
  <c r="X186" i="1"/>
  <c r="X93" i="1"/>
  <c r="X183" i="1"/>
  <c r="X45" i="1"/>
  <c r="X144" i="1"/>
  <c r="J6" i="4"/>
  <c r="X166" i="1"/>
  <c r="X106" i="1"/>
  <c r="AD162" i="1"/>
  <c r="X156" i="1"/>
  <c r="H6" i="4"/>
  <c r="I28" i="4"/>
  <c r="I20" i="4"/>
  <c r="J35" i="4"/>
  <c r="J27" i="4"/>
  <c r="AD236" i="1"/>
  <c r="AD212" i="1"/>
  <c r="X248" i="1"/>
  <c r="AD124" i="1"/>
  <c r="X63" i="1"/>
  <c r="X98" i="1"/>
  <c r="X206" i="1"/>
  <c r="AD38" i="1"/>
  <c r="X140" i="1"/>
  <c r="X229" i="1"/>
  <c r="AD170" i="1"/>
  <c r="I10" i="4"/>
  <c r="I22" i="4"/>
  <c r="X40" i="1"/>
  <c r="AD109" i="1"/>
  <c r="X105" i="1"/>
  <c r="X7" i="1"/>
  <c r="I27" i="4"/>
  <c r="H42" i="4"/>
  <c r="I24" i="4"/>
  <c r="J19" i="4"/>
  <c r="I15" i="4"/>
  <c r="H18" i="4"/>
  <c r="X84" i="1"/>
  <c r="X225" i="1"/>
  <c r="X249" i="1"/>
  <c r="X113" i="1"/>
  <c r="AD40" i="1"/>
  <c r="X61" i="1"/>
  <c r="X92" i="1"/>
  <c r="X139" i="1"/>
  <c r="X35" i="1"/>
  <c r="I32" i="4"/>
  <c r="X132" i="1"/>
  <c r="I38" i="4"/>
  <c r="I39" i="4"/>
  <c r="X253" i="1"/>
  <c r="X164" i="1"/>
  <c r="X181" i="1"/>
  <c r="X135" i="1"/>
  <c r="X23" i="1"/>
  <c r="AD229" i="1"/>
  <c r="X34" i="1"/>
  <c r="AD97" i="1"/>
  <c r="X210" i="1"/>
  <c r="H7" i="4"/>
  <c r="I31" i="4"/>
  <c r="H12" i="4"/>
  <c r="H8" i="4"/>
  <c r="I36" i="4"/>
  <c r="J26" i="4"/>
  <c r="J48" i="4"/>
  <c r="X214" i="1"/>
  <c r="X75" i="1"/>
  <c r="X128" i="1"/>
  <c r="I16" i="4"/>
  <c r="I35" i="4"/>
  <c r="H48" i="4"/>
  <c r="X246" i="1"/>
  <c r="X85" i="1"/>
  <c r="X86" i="1"/>
  <c r="AD159" i="1"/>
  <c r="X148" i="1"/>
  <c r="H45" i="4"/>
  <c r="X147" i="1"/>
  <c r="X64" i="1"/>
  <c r="J33" i="4"/>
  <c r="AD127" i="1"/>
  <c r="I18" i="4"/>
  <c r="X76" i="1"/>
  <c r="X189" i="1"/>
  <c r="H39" i="4"/>
  <c r="X254" i="1"/>
  <c r="X207" i="1"/>
  <c r="X190" i="1"/>
  <c r="X187" i="1"/>
  <c r="AD84" i="1"/>
  <c r="X134" i="1"/>
  <c r="X82" i="1"/>
  <c r="X49" i="1"/>
  <c r="I9" i="4"/>
  <c r="I26" i="4"/>
  <c r="J40" i="4"/>
  <c r="X58" i="1"/>
  <c r="X21" i="1"/>
  <c r="J34" i="4"/>
  <c r="X222" i="1"/>
  <c r="X146" i="1"/>
  <c r="AD176" i="1"/>
  <c r="I29" i="4"/>
  <c r="X31" i="1"/>
  <c r="X251" i="1"/>
  <c r="X198" i="1"/>
  <c r="X125" i="1"/>
  <c r="AD168" i="1"/>
  <c r="J18" i="4"/>
  <c r="J22" i="4"/>
  <c r="J47" i="4"/>
  <c r="X91" i="1"/>
  <c r="X51" i="1"/>
  <c r="X12" i="1"/>
  <c r="X163" i="1"/>
  <c r="X145" i="1"/>
  <c r="X27" i="1"/>
  <c r="X36" i="1"/>
  <c r="J30" i="4"/>
  <c r="I23" i="4"/>
  <c r="J46" i="4"/>
  <c r="X243" i="1"/>
  <c r="AD156" i="1"/>
  <c r="X231" i="1"/>
  <c r="AD138" i="1"/>
  <c r="J37" i="4"/>
  <c r="X59" i="1"/>
  <c r="X107" i="1"/>
  <c r="J41" i="4"/>
  <c r="I8" i="4"/>
  <c r="I25" i="4"/>
  <c r="I7" i="4"/>
  <c r="I11" i="4"/>
  <c r="X212" i="1"/>
  <c r="AD132" i="1"/>
  <c r="X38" i="1"/>
  <c r="X71" i="1"/>
  <c r="H15" i="4"/>
  <c r="X165" i="1"/>
  <c r="H17" i="4"/>
  <c r="AD80" i="1"/>
  <c r="X109" i="1"/>
  <c r="X78" i="1"/>
  <c r="X110" i="1"/>
  <c r="X97" i="1"/>
  <c r="J11" i="4"/>
  <c r="X56" i="1"/>
  <c r="AD143" i="1"/>
  <c r="H5" i="4"/>
  <c r="J24" i="4"/>
  <c r="X3" i="1"/>
  <c r="H16" i="4"/>
  <c r="X240" i="1"/>
  <c r="X100" i="1"/>
  <c r="H26" i="4"/>
  <c r="X250" i="1"/>
  <c r="X42" i="1"/>
  <c r="X171" i="1"/>
  <c r="H31" i="4"/>
  <c r="X16" i="1"/>
  <c r="J21" i="4"/>
  <c r="X154" i="1"/>
  <c r="X112" i="1"/>
  <c r="X60" i="1"/>
  <c r="H33" i="4"/>
  <c r="H34" i="4"/>
  <c r="H25" i="4"/>
  <c r="X127" i="1"/>
  <c r="X199" i="1"/>
  <c r="I30" i="4"/>
  <c r="X6" i="1"/>
  <c r="X95" i="1"/>
  <c r="X117" i="1"/>
  <c r="X124" i="1"/>
  <c r="J14" i="4"/>
  <c r="X44" i="1"/>
  <c r="X32" i="1"/>
  <c r="X215" i="1"/>
  <c r="H11" i="4"/>
  <c r="H32" i="4"/>
  <c r="H14" i="4"/>
  <c r="W15" i="4"/>
  <c r="U16" i="4"/>
  <c r="T15" i="4"/>
  <c r="W16" i="4"/>
  <c r="U15" i="4"/>
  <c r="S17" i="4"/>
  <c r="S18" i="4"/>
  <c r="T16" i="4"/>
  <c r="G1" i="2" l="1"/>
  <c r="L24" i="4"/>
  <c r="K24" i="4"/>
  <c r="L11" i="4"/>
  <c r="K11" i="4"/>
  <c r="L37" i="4"/>
  <c r="K37" i="4"/>
  <c r="L22" i="4"/>
  <c r="K22" i="4"/>
  <c r="L40" i="4"/>
  <c r="K40" i="4"/>
  <c r="L33" i="4"/>
  <c r="K33" i="4"/>
  <c r="L26" i="4"/>
  <c r="K26" i="4"/>
  <c r="L19" i="4"/>
  <c r="K19" i="4"/>
  <c r="L35" i="4"/>
  <c r="K35" i="4"/>
  <c r="L6" i="4"/>
  <c r="K6" i="4"/>
  <c r="L28" i="4"/>
  <c r="K28" i="4"/>
  <c r="L42" i="4"/>
  <c r="K42" i="4"/>
  <c r="L39" i="4"/>
  <c r="K39" i="4"/>
  <c r="L31" i="4"/>
  <c r="K31" i="4"/>
  <c r="L13" i="4"/>
  <c r="K13" i="4"/>
  <c r="L8" i="4"/>
  <c r="K8" i="4"/>
  <c r="L12" i="4"/>
  <c r="K12" i="4"/>
  <c r="L29" i="4"/>
  <c r="K29" i="4"/>
  <c r="L17" i="4"/>
  <c r="K17" i="4"/>
  <c r="L9" i="4"/>
  <c r="K9" i="4"/>
  <c r="L44" i="4"/>
  <c r="K44" i="4"/>
  <c r="L14" i="4"/>
  <c r="K14" i="4"/>
  <c r="L21" i="4"/>
  <c r="K21" i="4"/>
  <c r="H58" i="4"/>
  <c r="L41" i="4"/>
  <c r="K41" i="4"/>
  <c r="K46" i="4"/>
  <c r="L46" i="4"/>
  <c r="L30" i="4"/>
  <c r="K30" i="4"/>
  <c r="L47" i="4"/>
  <c r="K47" i="4"/>
  <c r="L18" i="4"/>
  <c r="K18" i="4"/>
  <c r="L34" i="4"/>
  <c r="K34" i="4"/>
  <c r="L48" i="4"/>
  <c r="K48" i="4"/>
  <c r="L27" i="4"/>
  <c r="K27" i="4"/>
  <c r="L23" i="4"/>
  <c r="K23" i="4"/>
  <c r="L10" i="4"/>
  <c r="K10" i="4"/>
  <c r="K5" i="4"/>
  <c r="L5" i="4"/>
  <c r="J58" i="4"/>
  <c r="I58" i="4"/>
  <c r="L16" i="4"/>
  <c r="K16" i="4"/>
  <c r="L20" i="4"/>
  <c r="K20" i="4"/>
  <c r="L7" i="4"/>
  <c r="K7" i="4"/>
  <c r="L15" i="4"/>
  <c r="K15" i="4"/>
  <c r="L32" i="4"/>
  <c r="K32" i="4"/>
  <c r="L36" i="4"/>
  <c r="K36" i="4"/>
  <c r="L43" i="4"/>
  <c r="K43" i="4"/>
  <c r="L45" i="4"/>
  <c r="K45" i="4"/>
  <c r="L25" i="4"/>
  <c r="K25" i="4"/>
  <c r="L38" i="4"/>
  <c r="K38" i="4"/>
  <c r="L49" i="4"/>
  <c r="K49" i="4"/>
  <c r="J29" i="2"/>
  <c r="U18" i="4"/>
  <c r="V5" i="4"/>
  <c r="V16" i="4"/>
  <c r="V12" i="4"/>
  <c r="S19" i="4"/>
  <c r="V9" i="4"/>
  <c r="V18" i="4"/>
  <c r="W17" i="4"/>
  <c r="V14" i="4"/>
  <c r="S20" i="4"/>
  <c r="V6" i="4"/>
  <c r="V11" i="4"/>
  <c r="U17" i="4"/>
  <c r="V8" i="4"/>
  <c r="T18" i="4"/>
  <c r="T17" i="4"/>
  <c r="V15" i="4"/>
  <c r="V10" i="4"/>
  <c r="W18" i="4"/>
  <c r="V7" i="4"/>
  <c r="V17" i="4"/>
  <c r="V13" i="4"/>
  <c r="B11" i="2" l="1"/>
  <c r="B49" i="2" s="1"/>
  <c r="B87" i="2" s="1"/>
  <c r="B12" i="2"/>
  <c r="B50" i="2" s="1"/>
  <c r="B88" i="2" s="1"/>
  <c r="B13" i="2"/>
  <c r="B51" i="2" s="1"/>
  <c r="B89" i="2" s="1"/>
  <c r="C11" i="2"/>
  <c r="C49" i="2" s="1"/>
  <c r="C87" i="2" s="1"/>
  <c r="C12" i="2"/>
  <c r="C50" i="2" s="1"/>
  <c r="C88" i="2" s="1"/>
  <c r="C13" i="2"/>
  <c r="C51" i="2" s="1"/>
  <c r="C89" i="2" s="1"/>
  <c r="K13" i="2"/>
  <c r="K51" i="2" s="1"/>
  <c r="K89" i="2" s="1"/>
  <c r="D11" i="2"/>
  <c r="D49" i="2" s="1"/>
  <c r="D87" i="2" s="1"/>
  <c r="D12" i="2"/>
  <c r="D50" i="2" s="1"/>
  <c r="D88" i="2" s="1"/>
  <c r="D13" i="2"/>
  <c r="D51" i="2" s="1"/>
  <c r="D89" i="2" s="1"/>
  <c r="B14" i="2"/>
  <c r="B52" i="2" s="1"/>
  <c r="B90" i="2" s="1"/>
  <c r="D14" i="2"/>
  <c r="D52" i="2" s="1"/>
  <c r="D90" i="2" s="1"/>
  <c r="B15" i="2"/>
  <c r="B53" i="2" s="1"/>
  <c r="B91" i="2" s="1"/>
  <c r="D15" i="2"/>
  <c r="D53" i="2" s="1"/>
  <c r="D91" i="2" s="1"/>
  <c r="E13" i="2"/>
  <c r="E51" i="2" s="1"/>
  <c r="E89" i="2" s="1"/>
  <c r="E14" i="2"/>
  <c r="E52" i="2" s="1"/>
  <c r="E90" i="2" s="1"/>
  <c r="E15" i="2"/>
  <c r="E53" i="2" s="1"/>
  <c r="E91" i="2" s="1"/>
  <c r="E11" i="2"/>
  <c r="E49" i="2" s="1"/>
  <c r="E87" i="2" s="1"/>
  <c r="E12" i="2"/>
  <c r="E50" i="2" s="1"/>
  <c r="E88" i="2" s="1"/>
  <c r="C14" i="2"/>
  <c r="C52" i="2" s="1"/>
  <c r="C90" i="2" s="1"/>
  <c r="C15" i="2"/>
  <c r="C53" i="2" s="1"/>
  <c r="C91" i="2" s="1"/>
  <c r="K12" i="2"/>
  <c r="K50" i="2" s="1"/>
  <c r="K88" i="2" s="1"/>
  <c r="J12" i="2"/>
  <c r="J50" i="2" s="1"/>
  <c r="J88" i="2" s="1"/>
  <c r="D16" i="2"/>
  <c r="D54" i="2" s="1"/>
  <c r="D92" i="2" s="1"/>
  <c r="H12" i="2"/>
  <c r="H50" i="2" s="1"/>
  <c r="H88" i="2" s="1"/>
  <c r="E25" i="2"/>
  <c r="E63" i="2" s="1"/>
  <c r="E101" i="2" s="1"/>
  <c r="D21" i="2"/>
  <c r="D59" i="2" s="1"/>
  <c r="D97" i="2" s="1"/>
  <c r="K11" i="2"/>
  <c r="K49" i="2" s="1"/>
  <c r="K87" i="2" s="1"/>
  <c r="I24" i="2"/>
  <c r="I62" i="2" s="1"/>
  <c r="I100" i="2" s="1"/>
  <c r="J15" i="2"/>
  <c r="J53" i="2" s="1"/>
  <c r="J91" i="2" s="1"/>
  <c r="J26" i="2"/>
  <c r="J64" i="2" s="1"/>
  <c r="J102" i="2" s="1"/>
  <c r="I15" i="2"/>
  <c r="I53" i="2" s="1"/>
  <c r="I91" i="2" s="1"/>
  <c r="J14" i="2"/>
  <c r="J52" i="2" s="1"/>
  <c r="J90" i="2" s="1"/>
  <c r="B23" i="2"/>
  <c r="B61" i="2" s="1"/>
  <c r="B99" i="2" s="1"/>
  <c r="K21" i="2"/>
  <c r="K59" i="2" s="1"/>
  <c r="K97" i="2" s="1"/>
  <c r="K15" i="2"/>
  <c r="K53" i="2" s="1"/>
  <c r="K91" i="2" s="1"/>
  <c r="I18" i="2"/>
  <c r="I56" i="2" s="1"/>
  <c r="I94" i="2" s="1"/>
  <c r="B18" i="2"/>
  <c r="B56" i="2" s="1"/>
  <c r="B94" i="2" s="1"/>
  <c r="B24" i="2"/>
  <c r="B62" i="2" s="1"/>
  <c r="B100" i="2" s="1"/>
  <c r="C17" i="2"/>
  <c r="C55" i="2" s="1"/>
  <c r="C93" i="2" s="1"/>
  <c r="E22" i="2"/>
  <c r="E60" i="2" s="1"/>
  <c r="E98" i="2" s="1"/>
  <c r="B25" i="2"/>
  <c r="B63" i="2" s="1"/>
  <c r="B101" i="2" s="1"/>
  <c r="B22" i="2"/>
  <c r="B60" i="2" s="1"/>
  <c r="B98" i="2" s="1"/>
  <c r="H11" i="2"/>
  <c r="H49" i="2" s="1"/>
  <c r="H87" i="2" s="1"/>
  <c r="J17" i="2"/>
  <c r="J55" i="2" s="1"/>
  <c r="J93" i="2" s="1"/>
  <c r="E19" i="2"/>
  <c r="E57" i="2" s="1"/>
  <c r="E95" i="2" s="1"/>
  <c r="H18" i="2"/>
  <c r="H56" i="2" s="1"/>
  <c r="H94" i="2" s="1"/>
  <c r="H21" i="2"/>
  <c r="H59" i="2" s="1"/>
  <c r="H97" i="2" s="1"/>
  <c r="C24" i="2"/>
  <c r="C62" i="2" s="1"/>
  <c r="C100" i="2" s="1"/>
  <c r="I21" i="2"/>
  <c r="I59" i="2" s="1"/>
  <c r="I97" i="2" s="1"/>
  <c r="D20" i="2"/>
  <c r="D58" i="2" s="1"/>
  <c r="D96" i="2" s="1"/>
  <c r="I22" i="2"/>
  <c r="I60" i="2" s="1"/>
  <c r="I98" i="2" s="1"/>
  <c r="J19" i="2"/>
  <c r="J57" i="2" s="1"/>
  <c r="J95" i="2" s="1"/>
  <c r="E23" i="2"/>
  <c r="E61" i="2" s="1"/>
  <c r="E99" i="2" s="1"/>
  <c r="E16" i="2"/>
  <c r="E54" i="2" s="1"/>
  <c r="E92" i="2" s="1"/>
  <c r="H15" i="2"/>
  <c r="H53" i="2" s="1"/>
  <c r="H91" i="2" s="1"/>
  <c r="C23" i="2"/>
  <c r="C61" i="2" s="1"/>
  <c r="C99" i="2" s="1"/>
  <c r="H25" i="2"/>
  <c r="H63" i="2" s="1"/>
  <c r="H101" i="2" s="1"/>
  <c r="J24" i="2"/>
  <c r="J62" i="2" s="1"/>
  <c r="J100" i="2" s="1"/>
  <c r="K25" i="2"/>
  <c r="K63" i="2" s="1"/>
  <c r="K101" i="2" s="1"/>
  <c r="C16" i="2"/>
  <c r="C54" i="2" s="1"/>
  <c r="C92" i="2" s="1"/>
  <c r="H20" i="2"/>
  <c r="H58" i="2" s="1"/>
  <c r="H96" i="2" s="1"/>
  <c r="E24" i="2"/>
  <c r="E62" i="2" s="1"/>
  <c r="E100" i="2" s="1"/>
  <c r="B21" i="2"/>
  <c r="B59" i="2" s="1"/>
  <c r="B97" i="2" s="1"/>
  <c r="J25" i="2"/>
  <c r="J63" i="2" s="1"/>
  <c r="J101" i="2" s="1"/>
  <c r="I11" i="2"/>
  <c r="I49" i="2" s="1"/>
  <c r="I87" i="2" s="1"/>
  <c r="J18" i="2"/>
  <c r="J56" i="2" s="1"/>
  <c r="J94" i="2" s="1"/>
  <c r="J22" i="2"/>
  <c r="J60" i="2" s="1"/>
  <c r="J98" i="2" s="1"/>
  <c r="I17" i="2"/>
  <c r="I55" i="2" s="1"/>
  <c r="I93" i="2" s="1"/>
  <c r="B17" i="2"/>
  <c r="B55" i="2" s="1"/>
  <c r="B93" i="2" s="1"/>
  <c r="D24" i="2"/>
  <c r="D62" i="2" s="1"/>
  <c r="D100" i="2" s="1"/>
  <c r="J13" i="2"/>
  <c r="J51" i="2" s="1"/>
  <c r="J89" i="2" s="1"/>
  <c r="H23" i="2"/>
  <c r="H61" i="2" s="1"/>
  <c r="H99" i="2" s="1"/>
  <c r="I23" i="2"/>
  <c r="I61" i="2" s="1"/>
  <c r="I99" i="2" s="1"/>
  <c r="I16" i="2"/>
  <c r="I54" i="2" s="1"/>
  <c r="I92" i="2" s="1"/>
  <c r="B16" i="2"/>
  <c r="B54" i="2" s="1"/>
  <c r="B92" i="2" s="1"/>
  <c r="J33" i="2"/>
  <c r="J71" i="2" s="1"/>
  <c r="J109" i="2" s="1"/>
  <c r="C21" i="2"/>
  <c r="C59" i="2" s="1"/>
  <c r="C97" i="2" s="1"/>
  <c r="K18" i="2"/>
  <c r="K56" i="2" s="1"/>
  <c r="K94" i="2" s="1"/>
  <c r="H22" i="2"/>
  <c r="H60" i="2" s="1"/>
  <c r="H98" i="2" s="1"/>
  <c r="K23" i="2"/>
  <c r="K61" i="2" s="1"/>
  <c r="K99" i="2" s="1"/>
  <c r="E18" i="2"/>
  <c r="E56" i="2" s="1"/>
  <c r="E94" i="2" s="1"/>
  <c r="H17" i="2"/>
  <c r="H55" i="2" s="1"/>
  <c r="H93" i="2" s="1"/>
  <c r="K22" i="2"/>
  <c r="K60" i="2" s="1"/>
  <c r="K98" i="2" s="1"/>
  <c r="C26" i="2"/>
  <c r="C64" i="2" s="1"/>
  <c r="C102" i="2" s="1"/>
  <c r="K26" i="2"/>
  <c r="K64" i="2" s="1"/>
  <c r="K102" i="2" s="1"/>
  <c r="J20" i="2"/>
  <c r="J58" i="2" s="1"/>
  <c r="J96" i="2" s="1"/>
  <c r="J16" i="2"/>
  <c r="J54" i="2" s="1"/>
  <c r="J92" i="2" s="1"/>
  <c r="C19" i="2"/>
  <c r="C57" i="2" s="1"/>
  <c r="C95" i="2" s="1"/>
  <c r="I13" i="2"/>
  <c r="I51" i="2" s="1"/>
  <c r="I89" i="2" s="1"/>
  <c r="D18" i="2"/>
  <c r="D56" i="2" s="1"/>
  <c r="D94" i="2" s="1"/>
  <c r="I26" i="2"/>
  <c r="I64" i="2" s="1"/>
  <c r="I102" i="2" s="1"/>
  <c r="E21" i="2"/>
  <c r="E59" i="2" s="1"/>
  <c r="E97" i="2" s="1"/>
  <c r="E26" i="2"/>
  <c r="E64" i="2" s="1"/>
  <c r="E102" i="2" s="1"/>
  <c r="I25" i="2"/>
  <c r="I63" i="2" s="1"/>
  <c r="I101" i="2" s="1"/>
  <c r="H26" i="2"/>
  <c r="H64" i="2" s="1"/>
  <c r="H102" i="2" s="1"/>
  <c r="K14" i="2"/>
  <c r="K52" i="2" s="1"/>
  <c r="K90" i="2" s="1"/>
  <c r="C20" i="2"/>
  <c r="C58" i="2" s="1"/>
  <c r="C96" i="2" s="1"/>
  <c r="E17" i="2"/>
  <c r="E55" i="2" s="1"/>
  <c r="E93" i="2" s="1"/>
  <c r="I14" i="2"/>
  <c r="I52" i="2" s="1"/>
  <c r="I90" i="2" s="1"/>
  <c r="D19" i="2"/>
  <c r="D57" i="2" s="1"/>
  <c r="D95" i="2" s="1"/>
  <c r="H16" i="2"/>
  <c r="H54" i="2" s="1"/>
  <c r="H92" i="2" s="1"/>
  <c r="K24" i="2"/>
  <c r="K62" i="2" s="1"/>
  <c r="K100" i="2" s="1"/>
  <c r="K16" i="2"/>
  <c r="K54" i="2" s="1"/>
  <c r="K92" i="2" s="1"/>
  <c r="C25" i="2"/>
  <c r="C63" i="2" s="1"/>
  <c r="C101" i="2" s="1"/>
  <c r="K20" i="2"/>
  <c r="K58" i="2" s="1"/>
  <c r="K96" i="2" s="1"/>
  <c r="I19" i="2"/>
  <c r="I57" i="2" s="1"/>
  <c r="I95" i="2" s="1"/>
  <c r="B19" i="2"/>
  <c r="B57" i="2" s="1"/>
  <c r="B95" i="2" s="1"/>
  <c r="H13" i="2"/>
  <c r="H51" i="2" s="1"/>
  <c r="H89" i="2" s="1"/>
  <c r="K19" i="2"/>
  <c r="K57" i="2" s="1"/>
  <c r="K95" i="2" s="1"/>
  <c r="B26" i="2"/>
  <c r="B64" i="2" s="1"/>
  <c r="B102" i="2" s="1"/>
  <c r="J11" i="2"/>
  <c r="J49" i="2" s="1"/>
  <c r="J87" i="2" s="1"/>
  <c r="J23" i="2"/>
  <c r="J61" i="2" s="1"/>
  <c r="J99" i="2" s="1"/>
  <c r="H24" i="2"/>
  <c r="H62" i="2" s="1"/>
  <c r="H100" i="2" s="1"/>
  <c r="E20" i="2"/>
  <c r="E58" i="2" s="1"/>
  <c r="E96" i="2" s="1"/>
  <c r="H19" i="2"/>
  <c r="H57" i="2" s="1"/>
  <c r="H95" i="2" s="1"/>
  <c r="D26" i="2"/>
  <c r="D64" i="2" s="1"/>
  <c r="D102" i="2" s="1"/>
  <c r="K17" i="2"/>
  <c r="K55" i="2" s="1"/>
  <c r="K93" i="2" s="1"/>
  <c r="D23" i="2"/>
  <c r="D61" i="2" s="1"/>
  <c r="D99" i="2" s="1"/>
  <c r="D22" i="2"/>
  <c r="D60" i="2" s="1"/>
  <c r="D98" i="2" s="1"/>
  <c r="J21" i="2"/>
  <c r="J59" i="2" s="1"/>
  <c r="J97" i="2" s="1"/>
  <c r="D25" i="2"/>
  <c r="D63" i="2" s="1"/>
  <c r="D101" i="2" s="1"/>
  <c r="C22" i="2"/>
  <c r="C60" i="2" s="1"/>
  <c r="C98" i="2" s="1"/>
  <c r="I20" i="2"/>
  <c r="I58" i="2" s="1"/>
  <c r="I96" i="2" s="1"/>
  <c r="C18" i="2"/>
  <c r="C56" i="2" s="1"/>
  <c r="C94" i="2" s="1"/>
  <c r="I12" i="2"/>
  <c r="I50" i="2" s="1"/>
  <c r="I88" i="2" s="1"/>
  <c r="B20" i="2"/>
  <c r="B58" i="2" s="1"/>
  <c r="B96" i="2" s="1"/>
  <c r="D17" i="2"/>
  <c r="D55" i="2" s="1"/>
  <c r="D93" i="2" s="1"/>
  <c r="H14" i="2"/>
  <c r="H52" i="2" s="1"/>
  <c r="H90" i="2" s="1"/>
  <c r="K31" i="2"/>
  <c r="K69" i="2" s="1"/>
  <c r="K107" i="2" s="1"/>
  <c r="J67" i="2"/>
  <c r="J105" i="2" s="1"/>
  <c r="K35" i="2"/>
  <c r="K73" i="2" s="1"/>
  <c r="K111" i="2" s="1"/>
  <c r="Z5" i="4"/>
  <c r="K58" i="4"/>
  <c r="Z4" i="4"/>
  <c r="Z6" i="4" s="1"/>
  <c r="L58" i="4"/>
  <c r="W19" i="4"/>
  <c r="S54" i="4"/>
  <c r="S51" i="4"/>
  <c r="V20" i="4"/>
  <c r="S44" i="4"/>
  <c r="S45" i="4"/>
  <c r="U45" i="4"/>
  <c r="S42" i="4"/>
  <c r="S32" i="4"/>
  <c r="S23" i="4"/>
  <c r="V32" i="4"/>
  <c r="T23" i="4"/>
  <c r="S28" i="4"/>
  <c r="S26" i="4"/>
  <c r="W26" i="4"/>
  <c r="T26" i="4"/>
  <c r="S22" i="4"/>
  <c r="T28" i="4"/>
  <c r="V28" i="4"/>
  <c r="V42" i="4"/>
  <c r="W32" i="4"/>
  <c r="V23" i="4"/>
  <c r="W28" i="4"/>
  <c r="W22" i="4"/>
  <c r="S38" i="4"/>
  <c r="U20" i="4"/>
  <c r="S40" i="4"/>
  <c r="S52" i="4"/>
  <c r="S49" i="4"/>
  <c r="S31" i="4"/>
  <c r="T51" i="4"/>
  <c r="U52" i="4"/>
  <c r="U44" i="4"/>
  <c r="W31" i="4"/>
  <c r="T20" i="4"/>
  <c r="S57" i="4"/>
  <c r="U38" i="4"/>
  <c r="W54" i="4"/>
  <c r="T49" i="4"/>
  <c r="U19" i="4"/>
  <c r="S48" i="4"/>
  <c r="S27" i="4"/>
  <c r="S35" i="4"/>
  <c r="U22" i="4"/>
  <c r="V22" i="4"/>
  <c r="S50" i="4"/>
  <c r="S55" i="4"/>
  <c r="U55" i="4"/>
  <c r="U48" i="4"/>
  <c r="U57" i="4"/>
  <c r="W23" i="4"/>
  <c r="U28" i="4"/>
  <c r="V55" i="4"/>
  <c r="V44" i="4"/>
  <c r="T38" i="4"/>
  <c r="W49" i="4"/>
  <c r="W57" i="4"/>
  <c r="T27" i="4"/>
  <c r="T55" i="4"/>
  <c r="W20" i="4"/>
  <c r="S29" i="4"/>
  <c r="S34" i="4"/>
  <c r="S36" i="4"/>
  <c r="W44" i="4"/>
  <c r="S41" i="4"/>
  <c r="W41" i="4" s="1"/>
  <c r="U41" i="4"/>
  <c r="S53" i="4"/>
  <c r="W51" i="4"/>
  <c r="V54" i="4"/>
  <c r="V51" i="4"/>
  <c r="T45" i="4"/>
  <c r="S56" i="4"/>
  <c r="S46" i="4"/>
  <c r="U46" i="4" s="1"/>
  <c r="S30" i="4"/>
  <c r="U30" i="4" s="1"/>
  <c r="T32" i="4"/>
  <c r="V30" i="4"/>
  <c r="U51" i="4"/>
  <c r="S37" i="4"/>
  <c r="W37" i="4" s="1"/>
  <c r="W56" i="4"/>
  <c r="U26" i="4"/>
  <c r="T19" i="4"/>
  <c r="V41" i="4"/>
  <c r="S39" i="4"/>
  <c r="U37" i="4"/>
  <c r="W45" i="4"/>
  <c r="T42" i="4"/>
  <c r="W46" i="4"/>
  <c r="T30" i="4"/>
  <c r="U23" i="4"/>
  <c r="V37" i="4"/>
  <c r="T39" i="4"/>
  <c r="S43" i="4"/>
  <c r="V43" i="4" s="1"/>
  <c r="V19" i="4"/>
  <c r="S21" i="4"/>
  <c r="T34" i="4"/>
  <c r="W52" i="4"/>
  <c r="U43" i="4"/>
  <c r="V31" i="4"/>
  <c r="S25" i="4"/>
  <c r="U25" i="4" s="1"/>
  <c r="V52" i="4"/>
  <c r="W53" i="4"/>
  <c r="T44" i="4"/>
  <c r="V49" i="4"/>
  <c r="T46" i="4"/>
  <c r="S47" i="4"/>
  <c r="W47" i="4" s="1"/>
  <c r="T54" i="4"/>
  <c r="V21" i="4"/>
  <c r="S24" i="4"/>
  <c r="W24" i="4" s="1"/>
  <c r="U40" i="4"/>
  <c r="U53" i="4"/>
  <c r="U54" i="4"/>
  <c r="T52" i="4"/>
  <c r="T43" i="4"/>
  <c r="S33" i="4"/>
  <c r="T33" i="4" s="1"/>
  <c r="U33" i="4"/>
  <c r="V45" i="4"/>
  <c r="V46" i="4"/>
  <c r="W29" i="4"/>
  <c r="T25" i="4"/>
  <c r="W42" i="4"/>
  <c r="U32" i="4"/>
  <c r="U27" i="4"/>
  <c r="T37" i="4"/>
  <c r="U35" i="4"/>
  <c r="T50" i="4"/>
  <c r="T35" i="4"/>
  <c r="U31" i="4"/>
  <c r="V35" i="4"/>
  <c r="U56" i="4"/>
  <c r="U42" i="4"/>
  <c r="W30" i="4"/>
  <c r="W27" i="4"/>
  <c r="W50" i="4"/>
  <c r="W39" i="4"/>
  <c r="T22" i="4"/>
  <c r="V26" i="4"/>
  <c r="T41" i="4"/>
  <c r="U24" i="4"/>
  <c r="W43" i="4"/>
  <c r="W38" i="4"/>
  <c r="T40" i="4"/>
  <c r="V40" i="4"/>
  <c r="U49" i="4"/>
  <c r="V25" i="4"/>
  <c r="V57" i="4"/>
  <c r="T47" i="4"/>
  <c r="T24" i="4"/>
  <c r="V24" i="4"/>
  <c r="W48" i="4"/>
  <c r="V27" i="4"/>
  <c r="W33" i="4"/>
  <c r="V50" i="4"/>
  <c r="W55" i="4"/>
  <c r="W34" i="4"/>
  <c r="V38" i="4"/>
  <c r="W40" i="4"/>
  <c r="W25" i="4"/>
  <c r="T57" i="4"/>
  <c r="U47" i="4"/>
  <c r="T48" i="4"/>
  <c r="V48" i="4"/>
  <c r="V33" i="4"/>
  <c r="U50" i="4"/>
  <c r="W35" i="4"/>
  <c r="V47" i="4"/>
  <c r="V29" i="4"/>
  <c r="U29" i="4"/>
  <c r="T29" i="4"/>
  <c r="U34" i="4"/>
  <c r="V34" i="4"/>
  <c r="T36" i="4"/>
  <c r="W36" i="4"/>
  <c r="U36" i="4"/>
  <c r="V36" i="4"/>
  <c r="T53" i="4"/>
  <c r="V53" i="4"/>
  <c r="T56" i="4"/>
  <c r="V56" i="4"/>
  <c r="U39" i="4"/>
  <c r="V39" i="4"/>
  <c r="W21" i="4"/>
  <c r="T21" i="4"/>
  <c r="U21" i="4"/>
  <c r="T31" i="4"/>
</calcChain>
</file>

<file path=xl/sharedStrings.xml><?xml version="1.0" encoding="utf-8"?>
<sst xmlns="http://schemas.openxmlformats.org/spreadsheetml/2006/main" count="767" uniqueCount="374">
  <si>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</si>
  <si>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</si>
  <si>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</si>
  <si>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</si>
  <si>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</si>
  <si>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</si>
  <si>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</si>
  <si>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</si>
  <si>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</si>
  <si>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</si>
  <si>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</si>
  <si>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</si>
  <si>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</si>
  <si>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</si>
  <si>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</si>
  <si>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</si>
  <si>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</si>
  <si>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</si>
  <si>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</si>
  <si>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</si>
  <si>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</si>
  <si>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</si>
  <si>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</si>
  <si>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</si>
  <si>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</si>
  <si>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</si>
  <si>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</si>
  <si>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</si>
  <si>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</si>
  <si>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</si>
  <si>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</si>
  <si>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</si>
  <si>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</si>
  <si>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</si>
  <si>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</si>
  <si>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</si>
  <si>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</si>
  <si>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</si>
  <si>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</si>
  <si>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</si>
  <si>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</si>
  <si>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</si>
  <si>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</si>
  <si>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</si>
  <si>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</si>
  <si>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</si>
  <si>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</si>
  <si>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</si>
  <si>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</si>
  <si>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</si>
  <si>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</si>
  <si>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</si>
  <si>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</si>
  <si>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</si>
  <si>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</si>
  <si>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</si>
  <si>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</si>
  <si>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</si>
  <si>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</si>
  <si>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</si>
  <si>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</si>
  <si>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</si>
  <si>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</si>
  <si>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</si>
  <si>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</si>
  <si>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</si>
  <si>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</si>
  <si>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</si>
  <si>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</si>
  <si>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</si>
  <si>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</si>
  <si>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</si>
  <si>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</si>
  <si>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</si>
  <si>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</si>
  <si>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</si>
  <si>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</si>
  <si>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</si>
  <si>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</si>
  <si>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</si>
  <si>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</si>
  <si>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</si>
  <si>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</si>
  <si>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</si>
  <si>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</si>
  <si>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</si>
  <si>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</si>
  <si>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</si>
  <si>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</si>
  <si>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</si>
  <si>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</si>
  <si>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</si>
  <si>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</si>
  <si>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</si>
  <si>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</si>
  <si>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</si>
  <si>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</si>
  <si>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</si>
  <si>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</si>
  <si>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</si>
  <si>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</si>
  <si>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</si>
  <si>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(JATI MULYO)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</si>
  <si>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</si>
  <si>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</si>
  <si>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</si>
  <si>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</si>
  <si>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</si>
  <si>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</si>
  <si>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</si>
  <si>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</si>
  <si>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</si>
  <si>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</si>
  <si>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</si>
  <si>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</si>
  <si>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</si>
  <si>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</si>
  <si>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</si>
  <si>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</si>
  <si>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PENSIL ZHONG HUA 6925-2B</t>
  </si>
  <si>
    <t>SPIDOL PERMANEN KENKO KE-10 (KECIL)</t>
  </si>
  <si>
    <t>H_TGL</t>
  </si>
  <si>
    <t>KO</t>
  </si>
  <si>
    <t>4721</t>
  </si>
  <si>
    <t>LS</t>
  </si>
  <si>
    <t>BOX</t>
  </si>
  <si>
    <t>LEM SUPER 3 GR KENKO SG-03A (isi 12 pc)</t>
  </si>
  <si>
    <t>STIP / PENGHAPUS KENKO ERB-20SQ HITAM</t>
  </si>
  <si>
    <t>RISMA / YO</t>
  </si>
  <si>
    <t>G</t>
  </si>
  <si>
    <t>4920</t>
  </si>
  <si>
    <t>PC</t>
  </si>
  <si>
    <t>ISI CUTTER 18 MM JOYKO L-150 MH (BESAR)</t>
  </si>
  <si>
    <t>CRAYON / OIL PASTEL JOYKO OP-36S PP CASE SEA WORLD</t>
  </si>
  <si>
    <t>NOVI / YO</t>
  </si>
  <si>
    <t>D</t>
  </si>
  <si>
    <t>E</t>
  </si>
  <si>
    <t>K</t>
  </si>
  <si>
    <t>J</t>
  </si>
  <si>
    <t>---</t>
  </si>
  <si>
    <t>4</t>
  </si>
  <si>
    <t>4928</t>
  </si>
  <si>
    <t>LSN</t>
  </si>
  <si>
    <t>PENKENKE303</t>
  </si>
  <si>
    <t>PENKENHITECH028HITAM</t>
  </si>
  <si>
    <t>PENJKGP265</t>
  </si>
  <si>
    <t>GEL PEN KENKO HI-TECH-H 0.28 MM HITAM</t>
  </si>
  <si>
    <t>GEL PEN KENKO KE-303 T-GEL TRIANGULAR</t>
  </si>
  <si>
    <t>GEL PEN JOYKO GP-265 Q-GEL</t>
  </si>
  <si>
    <t>NOVI / CONDRO</t>
  </si>
  <si>
    <t>ko</t>
  </si>
  <si>
    <t>4861</t>
  </si>
  <si>
    <t>wisuda</t>
  </si>
  <si>
    <t>LABJK1LINEPUTIH</t>
  </si>
  <si>
    <t>CONDRO</t>
  </si>
  <si>
    <t>PCS</t>
  </si>
  <si>
    <t>TIPKENCT905</t>
  </si>
  <si>
    <t>ISIKENBESAR</t>
  </si>
  <si>
    <t>GRS</t>
  </si>
  <si>
    <t>CLIJK260</t>
  </si>
  <si>
    <t>STAJKBIRU</t>
  </si>
  <si>
    <t>STAJKKUNING</t>
  </si>
  <si>
    <t>LABEL HARGA JOYKO LB-2RL (1 LINE PUTIH)</t>
  </si>
  <si>
    <t>CORRECTION TAPE KENKO CT-905 (12M x 5MM)</t>
  </si>
  <si>
    <t>HIGHLIGHTER / STABILLO JOYKO HL-3 BIRU</t>
  </si>
  <si>
    <t>HIGHLIGHTER / STABILLO JOYKO HL-1 KUNING</t>
  </si>
  <si>
    <t>ISI CUTTER 18 MM KENKO L-150 (BESAR)</t>
  </si>
  <si>
    <t>BINDER CLIP JOYKO 260</t>
  </si>
  <si>
    <t>4731</t>
  </si>
  <si>
    <t>PUNKEN40</t>
  </si>
  <si>
    <t>RISMA / CONDRO</t>
  </si>
  <si>
    <t>STAKENHD50</t>
  </si>
  <si>
    <t>PAK</t>
  </si>
  <si>
    <t>KTSTKWARTOPUTIH</t>
  </si>
  <si>
    <t>PUNCH KENKO NO. 40</t>
  </si>
  <si>
    <t>STAPLER KENKO HD-50</t>
  </si>
  <si>
    <t>KARTU STOCK KWARTO PUTIH</t>
  </si>
  <si>
    <t>4923</t>
  </si>
  <si>
    <t>LEMKENLG50</t>
  </si>
  <si>
    <t>OPJK24W</t>
  </si>
  <si>
    <t>LEM CAIR 50 ML KENKO LG-50</t>
  </si>
  <si>
    <t>CRAYON / OIL PASTEL JOYKO OP-24S PP CASE SEA WORLD</t>
  </si>
  <si>
    <t>4866</t>
  </si>
  <si>
    <t>NIKISAE</t>
  </si>
  <si>
    <t>OPTITI24W</t>
  </si>
  <si>
    <t>CRAYON / OIL PASTEL PUTAR TITI TI-CP-24T TWIST</t>
  </si>
  <si>
    <t>4871</t>
  </si>
  <si>
    <t>STASDI1102</t>
  </si>
  <si>
    <t>STAPLER SDI 1102 NO.10 (HD-10)</t>
  </si>
  <si>
    <t>g</t>
  </si>
  <si>
    <t>4944</t>
  </si>
  <si>
    <t>TIPJKJK01</t>
  </si>
  <si>
    <t>CORRECTION FLUID JOYKO JK-01</t>
  </si>
  <si>
    <t>4949</t>
  </si>
  <si>
    <t>CLIKEN107</t>
  </si>
  <si>
    <t>CLIKEN155</t>
  </si>
  <si>
    <t>CLIKEN260</t>
  </si>
  <si>
    <t>LEMKEN8GR</t>
  </si>
  <si>
    <t>BINDER CLIP KENKO NO. 107</t>
  </si>
  <si>
    <t>BINDER CLIP KENKO NO. 155</t>
  </si>
  <si>
    <t>BINDER CLIP KENKO NO. 260</t>
  </si>
  <si>
    <t>LEM STICK KENKO 8 GR (KECIL) isi 30 pc</t>
  </si>
  <si>
    <t>4927</t>
  </si>
  <si>
    <t>CUTKENL500</t>
  </si>
  <si>
    <t>CUTTER 18 MM KENKO L-500 (BESAR)</t>
  </si>
  <si>
    <t>4823</t>
  </si>
  <si>
    <t>OPJK12W</t>
  </si>
  <si>
    <t>OPJK18W</t>
  </si>
  <si>
    <t>STIJK40PUTIH</t>
  </si>
  <si>
    <t>STIJK40HITAM</t>
  </si>
  <si>
    <t>SLOP</t>
  </si>
  <si>
    <t>ISIJK2LINEPUTIH</t>
  </si>
  <si>
    <t>CRAYON / OIL PASTEL JOYKO OP-12S PP CASE SEA WORLD</t>
  </si>
  <si>
    <t>CRAYON / OIL PASTEL JOYKO OP-18S PP CASE SEA WORLD</t>
  </si>
  <si>
    <t>STIP / PENGHAPUS JOYKO 526-B40P PUTIH</t>
  </si>
  <si>
    <t>STIP / PENGHAPUS JOYKO 526-B40BL HITAM</t>
  </si>
  <si>
    <t>LABEL HARGA JOYKO LB-P2LN (2 LINE PUTIH)</t>
  </si>
  <si>
    <t>4883</t>
  </si>
  <si>
    <t>ISOKENTDB2</t>
  </si>
  <si>
    <t>HANDY TAPE DISPENSER KENKO TDB-2</t>
  </si>
  <si>
    <t>4888</t>
  </si>
  <si>
    <t>STAKENHD10D</t>
  </si>
  <si>
    <t>STAPLER KENKO HD-10D</t>
  </si>
  <si>
    <t>4892</t>
  </si>
  <si>
    <t>TIPKENCT902CL</t>
  </si>
  <si>
    <t>CORRECTION TAPE KENKO CT-902CL (12M x 5MM)</t>
  </si>
  <si>
    <t>PENKENKE303HITAM</t>
  </si>
  <si>
    <t>GEL PEN KENKO KE-303 T-GEL TRIANGULAR HITAM</t>
  </si>
  <si>
    <t>4963</t>
  </si>
  <si>
    <t>1295</t>
  </si>
  <si>
    <t>PWJK12WPANJANG</t>
  </si>
  <si>
    <t>STIJK20PUTIH</t>
  </si>
  <si>
    <t>PENJKP88</t>
  </si>
  <si>
    <t>ISOJKTD103</t>
  </si>
  <si>
    <t>ISIGWNO10</t>
  </si>
  <si>
    <t>PENSIL WARNA JOYKO CP-12PB (PANJANG)</t>
  </si>
  <si>
    <t>STIP / PENGHAPUS JOYKO 526-B20 PUTIH</t>
  </si>
  <si>
    <t>PENSIL JOYKO 2B P-88</t>
  </si>
  <si>
    <t>TAPE CUTTER JOYKO TD-103</t>
  </si>
  <si>
    <t>ISI STAPLER (STAPLES) GREATWALL GW-NO. 10 (KECIL)</t>
  </si>
  <si>
    <t>STIJKER30PUTIH</t>
  </si>
  <si>
    <t>STIP / PENGHAPUS JOYKO ER-30W PUTIH</t>
  </si>
  <si>
    <t>4897</t>
  </si>
  <si>
    <t>TIPKENKE107</t>
  </si>
  <si>
    <t>STAKENHD10SMINI</t>
  </si>
  <si>
    <t>ISIKEN1210</t>
  </si>
  <si>
    <t>CORRECTION FLUID KENKO KE-107M</t>
  </si>
  <si>
    <t>STAPLER KENKO HD-10S (MINI)</t>
  </si>
  <si>
    <t>ISI STAPLER (STAPLES) KENKO 1210 PREMIUM (23/10)</t>
  </si>
  <si>
    <t>07-Hitung FP Keluar Juli 2023</t>
  </si>
  <si>
    <t>4899</t>
  </si>
  <si>
    <t>TIPJKCFS209</t>
  </si>
  <si>
    <t>TIPJKCFS210</t>
  </si>
  <si>
    <t>CORRECTION FLUID JOYKO CF-S209</t>
  </si>
  <si>
    <t>CORRECTION FLUID JOYKO CF-S210</t>
  </si>
  <si>
    <t>4980</t>
  </si>
  <si>
    <t>CLIKEN111</t>
  </si>
  <si>
    <t>BINDER CLIP KENKO NO. 111</t>
  </si>
  <si>
    <t>lemken15gr</t>
  </si>
  <si>
    <t>LEM STICK KENKO 15 GR (TANGGUNG) isi 20 pc</t>
  </si>
  <si>
    <t>4817</t>
  </si>
  <si>
    <t>GUNJKSC838</t>
  </si>
  <si>
    <t>GUNTING JOYKO SC-838</t>
  </si>
  <si>
    <t>2359</t>
  </si>
  <si>
    <t>LEMKEN15GR</t>
  </si>
  <si>
    <t>PENKENKE16HITAM</t>
  </si>
  <si>
    <t>GEL PEN KENKO KE-16 DOT N DOT HITAM</t>
  </si>
  <si>
    <t>2366</t>
  </si>
  <si>
    <t>4964</t>
  </si>
  <si>
    <t>GEL PEN KENKO KE-303 T-GEL TRIANGULAR BIRU</t>
  </si>
  <si>
    <t>2378</t>
  </si>
  <si>
    <t>MESJKMX5500M</t>
  </si>
  <si>
    <t>MESIN LABEL HARGA JOYKO MX-5500M (8 DIGITS, 1 LINE)</t>
  </si>
  <si>
    <t>4835</t>
  </si>
  <si>
    <t>STAJKHD10CL</t>
  </si>
  <si>
    <t>GUNJKSC848</t>
  </si>
  <si>
    <t>STAPLER JOYKO HD-10CL</t>
  </si>
  <si>
    <t>GUNTING JOYKO SC-848</t>
  </si>
  <si>
    <t>2380</t>
  </si>
  <si>
    <t>4840</t>
  </si>
  <si>
    <t>ISIJKPL11</t>
  </si>
  <si>
    <t>ISI PENSIL 2B 2.0 MM JOYKO PL-11</t>
  </si>
  <si>
    <t>ISIJKPL10</t>
  </si>
  <si>
    <t>ISI PENSIL 2B 2.0 MM JOYKO PL-10</t>
  </si>
  <si>
    <t>2388</t>
  </si>
  <si>
    <t>TIPKENKE01</t>
  </si>
  <si>
    <t>CORRECTION FLUID KENKO KE-01</t>
  </si>
  <si>
    <t>PENKENK1HITAM</t>
  </si>
  <si>
    <t>GEL PEN KENKO K-1 HITAM</t>
  </si>
  <si>
    <t>4993</t>
  </si>
  <si>
    <t>STASDI1123</t>
  </si>
  <si>
    <t>STAPLER SDI 1123</t>
  </si>
  <si>
    <t>TIPKENKE108</t>
  </si>
  <si>
    <t>CORRECTION FLUID KENKO KE-108</t>
  </si>
  <si>
    <t>LEMJKGS104</t>
  </si>
  <si>
    <t>LEM STICK JOYKO 15 GR GS-104 TG (ANIMAL KINGDOM) isi 24 pc</t>
  </si>
  <si>
    <t>2397</t>
  </si>
  <si>
    <t>2653</t>
  </si>
  <si>
    <t>PENJKGP212</t>
  </si>
  <si>
    <t>GEL PEN JOYKO GP-212 I-DIAMOND</t>
  </si>
  <si>
    <t>2655</t>
  </si>
  <si>
    <t>STAKENHD10</t>
  </si>
  <si>
    <t>STAPLER KENKO HD-10</t>
  </si>
  <si>
    <t>PENJKBP338</t>
  </si>
  <si>
    <t>BALLPEN JOYKO BP-338 VOCUS HITAM</t>
  </si>
  <si>
    <t>CUTKENA300A</t>
  </si>
  <si>
    <t>CUTTER 9 MM KENKO A-300 (KECIL)</t>
  </si>
  <si>
    <t>2660</t>
  </si>
  <si>
    <t>PWKEN12WPENDEK</t>
  </si>
  <si>
    <t>PENSIL WARNA KENKO CP-12HALF CLASSIC (PENDEK)</t>
  </si>
  <si>
    <t>1625</t>
  </si>
  <si>
    <t>PENKENSAHARAHITAM</t>
  </si>
  <si>
    <t>PENKENSAHARASNACKHITAM</t>
  </si>
  <si>
    <t>GEL PEN KENKO SAHARA SNACK (HITAM)</t>
  </si>
  <si>
    <t>GEL PEN KENKO SAHARA (HITAM)</t>
  </si>
  <si>
    <t>2676</t>
  </si>
  <si>
    <t>PENKEN6191</t>
  </si>
  <si>
    <t>PENSIL KENKO 2B-6191 HIJAU CAP HITAM</t>
  </si>
  <si>
    <t>2677</t>
  </si>
  <si>
    <t>2682</t>
  </si>
  <si>
    <t>PWKEN12WPANJANG</t>
  </si>
  <si>
    <t>PENSIL WARNA KENKO CP-12F CLASSIC (PANJANG)</t>
  </si>
  <si>
    <t>STAKEND4</t>
  </si>
  <si>
    <t>DATE STAMP KENKO D-4 (Cap Tanggal 4 Mm)</t>
  </si>
  <si>
    <t>1685</t>
  </si>
  <si>
    <t>1632</t>
  </si>
  <si>
    <t>TIPKENCT919</t>
  </si>
  <si>
    <t>TIPKENKE826</t>
  </si>
  <si>
    <t>CORRECTION FLUID KENKO KE-826M</t>
  </si>
  <si>
    <t>STASDI1104</t>
  </si>
  <si>
    <t>PENJKGP243</t>
  </si>
  <si>
    <t>PENJKBP349</t>
  </si>
  <si>
    <t>GUNKENSC848N</t>
  </si>
  <si>
    <t>ISIKENKECIL</t>
  </si>
  <si>
    <t>LEMKENLG35</t>
  </si>
  <si>
    <t>TIPKENKE301</t>
  </si>
  <si>
    <t>PENJKJK100</t>
  </si>
  <si>
    <t>CORRECTION TAPE KENKO CT-919 (12M x 5MM)</t>
  </si>
  <si>
    <t>CORRECTION FLUID KENKO KE-301</t>
  </si>
  <si>
    <t>STAPLER SDI 1104</t>
  </si>
  <si>
    <t>GEL PEN JOYKO JK-100 KING JELLER</t>
  </si>
  <si>
    <t>GEL PEN JOYKO GP-243 WHIZ GEL HITAM</t>
  </si>
  <si>
    <t>GUNTING KENKO SC-848N</t>
  </si>
  <si>
    <t>ISI CUTTER 9 MM KENKO A-100 (KECIL)</t>
  </si>
  <si>
    <t>LEM CAIR 35 ML KENKO LG-35</t>
  </si>
  <si>
    <t>BALLPEN JOYKO BP-349-12 VOKUS TRANS HITAM</t>
  </si>
  <si>
    <t>1633</t>
  </si>
  <si>
    <t>STIJK20HITAM</t>
  </si>
  <si>
    <t>CLIKEN3</t>
  </si>
  <si>
    <t>PCJH220A</t>
  </si>
  <si>
    <t>PENCIL CASE 23 x 8.5 MAGNET JH-220A</t>
  </si>
  <si>
    <t>PCAC1762</t>
  </si>
  <si>
    <t>PENCIL CASE 22 x 7.5 MAGNET AC-1762 COWOK</t>
  </si>
  <si>
    <t>PENCIL CASE 22 x 7.5 MAGNET AC-1762 CEWEK</t>
  </si>
  <si>
    <t>PCFC1758</t>
  </si>
  <si>
    <t>PCFX2275</t>
  </si>
  <si>
    <t>PCC1755</t>
  </si>
  <si>
    <t>LLJKA5100</t>
  </si>
  <si>
    <t>STIP / PENGHAPUS JOYKO ER-B20BL HITAM</t>
  </si>
  <si>
    <t>PAPER TRIGONAL CLIP KENKO NO. 3</t>
  </si>
  <si>
    <t>PENCIL CASE 22 x 7.5 MAGNET FC-1758</t>
  </si>
  <si>
    <t>PENCIL CASE 22 x 7.5 MAGNET FX-2275 (METALIK)</t>
  </si>
  <si>
    <t>PENCIL CASE 22 x 7.5 MAGNET C-1755-1</t>
  </si>
  <si>
    <t>SAMBOXKWBTK</t>
  </si>
  <si>
    <t>LOOSE LEAF JOYKO A5-7020 (100S)</t>
  </si>
  <si>
    <t>SAMPUL SAMSON KWARTO BATIK</t>
  </si>
  <si>
    <t>2686</t>
  </si>
  <si>
    <t>PCJK0719</t>
  </si>
  <si>
    <t>BNJKCAMPUS</t>
  </si>
  <si>
    <t>PENCIL CASE JOYKO PC-0719 FANCY</t>
  </si>
  <si>
    <t>BINDER NOTE JOYKO A5 (CAMPUS/CLASSIC)</t>
  </si>
  <si>
    <t>2379</t>
  </si>
  <si>
    <t>HIGHLIGHTER / STABILLO JOYKO HL-MIX PINK / ORANGE</t>
  </si>
  <si>
    <t>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</si>
</sst>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9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6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43" fontId="0" fillId="0" borderId="0" xfId="0" quotePrefix="1" applyNumberFormat="1"/>
    <xf numFmtId="0" fontId="38" fillId="0" borderId="0" xfId="0" applyNumberFormat="1" applyFont="1" applyFill="1" applyBorder="1" applyAlignment="1">
      <alignment horizontal="left" vertical="center"/>
    </xf>
    <xf numFmtId="164" fontId="38" fillId="0" borderId="0" xfId="0" applyNumberFormat="1" applyFont="1" applyFill="1" applyBorder="1" applyAlignment="1">
      <alignment horizontal="left" vertical="center"/>
    </xf>
    <xf numFmtId="1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0" fontId="38" fillId="0" borderId="0" xfId="0" applyNumberFormat="1" applyFont="1" applyFill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10" fontId="38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00">
    <dxf>
      <alignment horizontal="left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99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7%20JULI\KELUAR%2007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39.678916203702" createdVersion="5" refreshedVersion="5" minRefreshableVersion="3" recordCount="261">
  <cacheSource type="worksheet">
    <worksheetSource name="Table1" r:id="rId2"/>
  </cacheSource>
  <cacheFields count="32">
    <cacheField name="//" numFmtId="0">
      <sharedItems containsMixedTypes="1" containsNumber="1" containsInteger="1" minValue="3" maxValue="174" count="50">
        <n v="3"/>
        <s v=""/>
        <n v="6"/>
        <n v="9"/>
        <n v="13"/>
        <n v="20"/>
        <n v="25"/>
        <n v="28"/>
        <n v="30"/>
        <n v="32"/>
        <n v="34"/>
        <n v="40"/>
        <n v="42"/>
        <n v="49"/>
        <n v="51"/>
        <n v="54"/>
        <n v="57"/>
        <n v="59"/>
        <n v="66"/>
        <n v="71"/>
        <n v="74"/>
        <n v="78"/>
        <n v="80"/>
        <n v="85"/>
        <n v="87"/>
        <n v="89"/>
        <n v="92"/>
        <n v="95"/>
        <n v="98"/>
        <n v="100"/>
        <n v="104"/>
        <n v="107"/>
        <n v="110"/>
        <n v="113"/>
        <n v="120"/>
        <n v="122"/>
        <n v="127"/>
        <n v="129"/>
        <n v="131"/>
        <n v="134"/>
        <n v="136"/>
        <n v="153"/>
        <n v="166"/>
        <n v="170"/>
        <n v="174"/>
        <n v="91" u="1"/>
        <n v="99" u="1"/>
        <n v="94" u="1"/>
        <n v="97" u="1"/>
        <n v="101" u="1"/>
      </sharedItems>
    </cacheField>
    <cacheField name="h_No. Invoice :" numFmtId="0">
      <sharedItems containsMixedTypes="1" containsNumber="1" containsInteger="1" minValue="23070001" maxValue="23070044"/>
    </cacheField>
    <cacheField name="Tgl Invoice :" numFmtId="164">
      <sharedItems containsDate="1" containsMixedTypes="1" minDate="2023-07-04T00:00:00" maxDate="2023-08-01T00:00:00"/>
    </cacheField>
    <cacheField name="H_TGL" numFmtId="1">
      <sharedItems containsString="0" containsBlank="1" containsNumber="1" containsInteger="1" minValue="4" maxValue="31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1" maxValue="7776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050" maxValue="300000"/>
    </cacheField>
    <cacheField name="Disc 1" numFmtId="10">
      <sharedItems containsString="0" containsBlank="1" containsNumber="1" minValue="0.1" maxValue="0.14000000000000001"/>
    </cacheField>
    <cacheField name="Disc 2" numFmtId="10">
      <sharedItems containsNonDate="0" containsString="0" containsBlank="1"/>
    </cacheField>
    <cacheField name="Amount" numFmtId="43">
      <sharedItems containsMixedTypes="1" containsNumber="1" minValue="17820" maxValue="31500000"/>
    </cacheField>
    <cacheField name="pembuat nota :" numFmtId="43">
      <sharedItems containsBlank="1"/>
    </cacheField>
    <cacheField name="edited :" numFmtId="0">
      <sharedItems containsBlank="1"/>
    </cacheField>
    <cacheField name="h_id" numFmtId="0">
      <sharedItems containsMixedTypes="1" containsNumber="1" containsInteger="1" minValue="3" maxValue="174"/>
    </cacheField>
    <cacheField name="h_jumlahbarang" numFmtId="0">
      <sharedItems containsMixedTypes="1" containsNumber="1" containsInteger="1" minValue="1" maxValue="16"/>
    </cacheField>
    <cacheField name="h_hargasebelumdiskon" numFmtId="43">
      <sharedItems containsMixedTypes="1" containsNumber="1" containsInteger="1" minValue="19800" maxValue="36000000"/>
    </cacheField>
    <cacheField name="h_disc 1" numFmtId="43">
      <sharedItems containsMixedTypes="1" containsNumber="1" minValue="0" maxValue="4500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4500000"/>
    </cacheField>
    <cacheField name="h_hargasetelahdiskon" numFmtId="43">
      <sharedItems containsMixedTypes="1" containsNumber="1" minValue="17820" maxValue="31500000"/>
    </cacheField>
    <cacheField name="Total Invoice" numFmtId="43">
      <sharedItems containsMixedTypes="1" containsNumber="1" minValue="244350" maxValue="43944768"/>
    </cacheField>
    <cacheField name="KETERANGAN" numFmtId="43">
      <sharedItems containsNonDate="0" containsString="0" containsBlank="1"/>
    </cacheField>
    <cacheField name="H_A1" numFmtId="43">
      <sharedItems containsMixedTypes="1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1">
  <r>
    <x v="0"/>
    <n v="23070001"/>
    <d v="2023-07-04T00:00:00"/>
    <n v="4"/>
    <s v="KO"/>
    <s v="4721"/>
    <s v="NIRMALA"/>
    <s v="AM 23070001"/>
    <s v="KO 4721"/>
    <s v="CV SINAR CAHAYA NIRMALA BREBES"/>
    <n v="2"/>
    <s v="LS"/>
    <m/>
    <m/>
    <s v=""/>
    <s v="LEM SUPER 3 GR KENKO SG-03A (isi 12 pc)"/>
    <n v="21600"/>
    <n v="0.1"/>
    <m/>
    <n v="38880"/>
    <s v="RISMA / YO"/>
    <m/>
    <n v="3"/>
    <n v="2"/>
    <n v="43200"/>
    <n v="4320"/>
    <n v="0"/>
    <n v="4320"/>
    <n v="38880"/>
    <n v="578880"/>
    <m/>
    <s v="LEM SUPER 3 GR KENKO SG-03A (isi 12 pc)LS21600"/>
  </r>
  <r>
    <x v="1"/>
    <s v=""/>
    <s v=""/>
    <m/>
    <m/>
    <m/>
    <m/>
    <s v=""/>
    <s v=" "/>
    <s v=""/>
    <n v="20"/>
    <s v="BOX"/>
    <m/>
    <m/>
    <s v=""/>
    <s v="STIP / PENGHAPUS KENKO ERB-20SQ HITAM"/>
    <n v="30000"/>
    <n v="0.1"/>
    <m/>
    <n v="540000"/>
    <m/>
    <m/>
    <n v="3"/>
    <n v="2"/>
    <n v="600000"/>
    <n v="60000"/>
    <n v="0"/>
    <n v="60000"/>
    <n v="540000"/>
    <s v=""/>
    <m/>
    <s v="STIP / PENGHAPUS KENKO ERB-20SQ HITAMBOX3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070002"/>
    <d v="2023-07-05T00:00:00"/>
    <n v="5"/>
    <s v="G"/>
    <s v="4920"/>
    <s v="nikisae"/>
    <s v="AM 23070002"/>
    <s v="G 4920"/>
    <s v="GUNAWAN HARTONO KUSUMA ( NIKI SAE ) TULUNG AGUNG"/>
    <n v="80"/>
    <s v="LS"/>
    <n v="2"/>
    <m/>
    <s v=""/>
    <s v="ISI CUTTER 18 MM JOYKO L-150 MH (BESAR)"/>
    <n v="49200"/>
    <n v="0.125"/>
    <m/>
    <n v="3444000"/>
    <s v="NOVI / YO"/>
    <m/>
    <n v="6"/>
    <n v="2"/>
    <n v="3936000"/>
    <n v="492000"/>
    <n v="0"/>
    <n v="492000"/>
    <n v="3444000"/>
    <n v="9980250"/>
    <m/>
    <s v="ISI CUTTER 18 MM JOYKO L-150 MH (BESAR)LS49200"/>
  </r>
  <r>
    <x v="1"/>
    <s v=""/>
    <s v=""/>
    <m/>
    <m/>
    <m/>
    <m/>
    <s v=""/>
    <s v=" "/>
    <s v=""/>
    <n v="180"/>
    <s v="PC"/>
    <n v="5"/>
    <m/>
    <s v=""/>
    <s v="CRAYON / OIL PASTEL JOYKO OP-36S PP CASE SEA WORLD"/>
    <n v="41500"/>
    <n v="0.125"/>
    <m/>
    <n v="6536250"/>
    <m/>
    <m/>
    <n v="6"/>
    <n v="2"/>
    <n v="7470000"/>
    <n v="933750"/>
    <n v="0"/>
    <n v="933750"/>
    <n v="6536250"/>
    <s v=""/>
    <m/>
    <s v="CRAYON / OIL PASTEL JOYKO OP-36S PP CASE SEA WORLDPC41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070003"/>
    <d v="2023-07-06T00:00:00"/>
    <n v="6"/>
    <s v="KO"/>
    <s v="4928"/>
    <s v="ANUGERAH"/>
    <s v="AM 23070003"/>
    <s v="KO 4928"/>
    <s v="CV PELITA JAYA (ANUGERAH SEJAHTERA) PURWOKERTO"/>
    <n v="720"/>
    <s v="LSN"/>
    <n v="5"/>
    <s v="PENKENHITECH028HITAM"/>
    <s v="GEL PEN KENKO HI-TECH-H 0.28 MM HITAM"/>
    <s v="GEL PEN KENKO HI-TECH-H 0.28 MM HITAM"/>
    <n v="39000"/>
    <n v="0.13500000000000001"/>
    <m/>
    <n v="24289200"/>
    <s v="NOVI / CONDRO"/>
    <m/>
    <n v="9"/>
    <n v="3"/>
    <n v="28080000"/>
    <n v="3790800.0000000005"/>
    <n v="0"/>
    <n v="3790800.0000000005"/>
    <n v="24289200"/>
    <n v="43944768"/>
    <m/>
    <s v="GEL PEN KENKO HI-TECH-H 0.28 MM HITAMLSN39000"/>
  </r>
  <r>
    <x v="1"/>
    <s v=""/>
    <s v=""/>
    <m/>
    <m/>
    <m/>
    <m/>
    <s v=""/>
    <s v=" "/>
    <s v=""/>
    <n v="864"/>
    <s v="LSN"/>
    <n v="6"/>
    <s v="PENKENKE303"/>
    <s v="GEL PEN KENKO KE-303 T-GEL TRIANGULAR"/>
    <s v="GEL PEN KENKO KE-303 T-GEL TRIANGULAR"/>
    <n v="21600"/>
    <n v="0.13500000000000001"/>
    <m/>
    <n v="16142976"/>
    <m/>
    <m/>
    <n v="9"/>
    <n v="3"/>
    <n v="18662400"/>
    <n v="2519424"/>
    <n v="0"/>
    <n v="2519424"/>
    <n v="16142976"/>
    <s v=""/>
    <m/>
    <s v="GEL PEN KENKO KE-303 T-GEL TRIANGULARLSN21600"/>
  </r>
  <r>
    <x v="1"/>
    <s v=""/>
    <s v=""/>
    <m/>
    <m/>
    <m/>
    <m/>
    <s v=""/>
    <s v=" "/>
    <s v=""/>
    <n v="144"/>
    <s v="LSN"/>
    <n v="1"/>
    <s v="PENJKGP265"/>
    <s v="GEL PEN JOYKO GP-265 Q-GEL"/>
    <s v="GEL PEN JOYKO GP-265 Q-GEL"/>
    <n v="28200"/>
    <n v="0.13500000000000001"/>
    <m/>
    <n v="3512592"/>
    <m/>
    <m/>
    <n v="9"/>
    <n v="3"/>
    <n v="4060800"/>
    <n v="548208"/>
    <n v="0"/>
    <n v="548208"/>
    <n v="3512592"/>
    <s v=""/>
    <m/>
    <s v="GEL PEN JOYKO GP-265 Q-GELLSN282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070004"/>
    <d v="2023-07-06T00:00:00"/>
    <n v="6"/>
    <s v="KO"/>
    <s v="4861"/>
    <s v="wisuda"/>
    <s v="AM 23070004"/>
    <s v="KO 4861"/>
    <s v="CV  WISUDA PURWOKERTO"/>
    <n v="1000"/>
    <s v="PCS"/>
    <n v="1"/>
    <s v="LABJK1LINEPUTIH"/>
    <s v="LABEL HARGA JOYKO LB-2RL (1 LINE PUTIH)"/>
    <s v="LABEL HARGA JOYKO LB-2RL (1 LINE PUTIH)"/>
    <n v="2050"/>
    <n v="0.1"/>
    <m/>
    <n v="1845000"/>
    <s v="NOVI / CONDRO"/>
    <s v="CONDRO"/>
    <n v="13"/>
    <n v="6"/>
    <n v="2050000"/>
    <n v="205000"/>
    <n v="0"/>
    <n v="205000"/>
    <n v="1845000"/>
    <n v="3771900"/>
    <m/>
    <s v="LABEL HARGA JOYKO LB-2RL (1 LINE PUTIH)PCS2050"/>
  </r>
  <r>
    <x v="1"/>
    <s v=""/>
    <s v=""/>
    <m/>
    <m/>
    <m/>
    <m/>
    <s v=""/>
    <s v=" "/>
    <s v=""/>
    <n v="5"/>
    <s v="LSN"/>
    <m/>
    <s v="TIPKENCT905"/>
    <s v="CORRECTION TAPE KENKO CT-905 (12M x 5MM)"/>
    <s v="CORRECTION TAPE KENKO CT-905 (12M x 5MM)"/>
    <n v="62400"/>
    <n v="0.1"/>
    <m/>
    <n v="280800"/>
    <m/>
    <m/>
    <n v="13"/>
    <n v="6"/>
    <n v="312000"/>
    <n v="31200"/>
    <n v="0"/>
    <n v="31200"/>
    <n v="280800"/>
    <s v=""/>
    <m/>
    <s v="CORRECTION TAPE KENKO CT-905 (12M x 5MM)LSN62400"/>
  </r>
  <r>
    <x v="1"/>
    <s v=""/>
    <s v=""/>
    <m/>
    <m/>
    <m/>
    <m/>
    <s v=""/>
    <s v=" "/>
    <s v=""/>
    <n v="30"/>
    <s v="PCS"/>
    <m/>
    <s v="STAJKBIRU"/>
    <s v="HIGHLIGHTER / STABILLO JOYKO HL-3 BIRU"/>
    <s v="HIGHLIGHTER / STABILLO JOYKO HL-3 BIRU"/>
    <n v="3700"/>
    <n v="0.1"/>
    <m/>
    <n v="99900"/>
    <m/>
    <m/>
    <n v="13"/>
    <n v="6"/>
    <n v="111000"/>
    <n v="11100"/>
    <n v="0"/>
    <n v="11100"/>
    <n v="99900"/>
    <s v=""/>
    <m/>
    <s v="HIGHLIGHTER / STABILLO JOYKO HL-3 BIRUPCS3700"/>
  </r>
  <r>
    <x v="1"/>
    <s v=""/>
    <s v=""/>
    <m/>
    <m/>
    <m/>
    <m/>
    <s v=""/>
    <s v=" "/>
    <s v=""/>
    <n v="50"/>
    <s v="PCS"/>
    <m/>
    <s v="STAJKKUNING"/>
    <s v="HIGHLIGHTER / STABILLO JOYKO HL-1 KUNING"/>
    <s v="HIGHLIGHTER / STABILLO JOYKO HL-1 KUNING"/>
    <n v="3700"/>
    <n v="0.1"/>
    <m/>
    <n v="166500"/>
    <m/>
    <m/>
    <n v="13"/>
    <n v="6"/>
    <n v="185000"/>
    <n v="18500"/>
    <n v="0"/>
    <n v="18500"/>
    <n v="166500"/>
    <s v=""/>
    <m/>
    <s v="HIGHLIGHTER / STABILLO JOYKO HL-1 KUNINGPCS3700"/>
  </r>
  <r>
    <x v="1"/>
    <s v="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13"/>
    <n v="6"/>
    <n v="648000"/>
    <n v="64800"/>
    <n v="0"/>
    <n v="64800"/>
    <n v="583200"/>
    <s v=""/>
    <m/>
    <s v="ISI CUTTER 18 MM KENKO L-150 (BESAR)LSN64800"/>
  </r>
  <r>
    <x v="1"/>
    <s v=""/>
    <s v=""/>
    <m/>
    <m/>
    <m/>
    <m/>
    <s v=""/>
    <s v=" "/>
    <s v=""/>
    <n v="5"/>
    <s v="GRS"/>
    <n v="1"/>
    <s v="CLIJK260"/>
    <s v="BINDER CLIP JOYKO 260"/>
    <s v="BINDER CLIP JOYKO 260"/>
    <n v="177000"/>
    <n v="0.1"/>
    <m/>
    <n v="796500"/>
    <m/>
    <m/>
    <n v="13"/>
    <n v="6"/>
    <n v="885000"/>
    <n v="88500"/>
    <n v="0"/>
    <n v="88500"/>
    <n v="796500"/>
    <s v=""/>
    <m/>
    <s v="BINDER CLIP JOYKO 260GRS177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070005"/>
    <d v="2023-07-06T00:00:00"/>
    <n v="6"/>
    <s v="KO"/>
    <s v="4731"/>
    <s v="ARMADA"/>
    <s v="AM 23070005"/>
    <s v="KO 4731"/>
    <s v="SANTOSO BUDIONO (  ARMADA  ) PURWOKERTO"/>
    <n v="33"/>
    <s v="PCS"/>
    <m/>
    <s v="PUNKEN40"/>
    <s v="PUNCH KENKO NO. 40"/>
    <s v="PUNCH KENKO NO. 40"/>
    <n v="23500"/>
    <n v="0.125"/>
    <m/>
    <n v="678562.5"/>
    <s v="RISMA / CONDRO"/>
    <m/>
    <n v="20"/>
    <n v="4"/>
    <n v="775500"/>
    <n v="96937.5"/>
    <n v="0"/>
    <n v="96937.5"/>
    <n v="678562.5"/>
    <n v="4390122.5"/>
    <m/>
    <s v="PUNCH KENKO NO. 40PCS23500"/>
  </r>
  <r>
    <x v="1"/>
    <s v=""/>
    <s v=""/>
    <m/>
    <m/>
    <m/>
    <m/>
    <s v=""/>
    <s v=" "/>
    <s v=""/>
    <n v="12"/>
    <s v="PCS"/>
    <m/>
    <s v="STAKENHD50"/>
    <s v="STAPLER KENKO HD-50"/>
    <s v="STAPLER KENKO HD-50"/>
    <n v="19000"/>
    <n v="0.125"/>
    <m/>
    <n v="199500"/>
    <m/>
    <m/>
    <n v="20"/>
    <n v="4"/>
    <n v="228000"/>
    <n v="28500"/>
    <n v="0"/>
    <n v="28500"/>
    <n v="199500"/>
    <s v=""/>
    <m/>
    <s v="STAPLER KENKO HD-50PCS19000"/>
  </r>
  <r>
    <x v="1"/>
    <s v=""/>
    <s v=""/>
    <m/>
    <m/>
    <m/>
    <m/>
    <s v=""/>
    <s v=" "/>
    <s v=""/>
    <n v="7"/>
    <s v="PAK"/>
    <m/>
    <s v="KTSTKWARTOPUTIH"/>
    <s v="KARTU STOCK KWARTO PUTIH"/>
    <s v="KARTU STOCK KWARTO PUTIH"/>
    <n v="18500"/>
    <m/>
    <m/>
    <n v="129500"/>
    <m/>
    <m/>
    <n v="20"/>
    <n v="4"/>
    <n v="129500"/>
    <n v="0"/>
    <n v="0"/>
    <n v="0"/>
    <n v="129500"/>
    <s v=""/>
    <m/>
    <s v="KARTU STOCK KWARTO PUTIHPAK18500"/>
  </r>
  <r>
    <x v="1"/>
    <s v=""/>
    <s v=""/>
    <m/>
    <m/>
    <m/>
    <m/>
    <s v=""/>
    <s v=" "/>
    <s v=""/>
    <n v="60"/>
    <s v="LSN"/>
    <n v="1"/>
    <s v="ISIKENBESAR"/>
    <s v="ISI CUTTER 18 MM KENKO L-150 (BESAR)"/>
    <s v="ISI CUTTER 18 MM KENKO L-150 (BESAR)"/>
    <n v="64800"/>
    <n v="0.13"/>
    <m/>
    <n v="3382560"/>
    <m/>
    <m/>
    <n v="20"/>
    <n v="4"/>
    <n v="3888000"/>
    <n v="505440"/>
    <n v="0"/>
    <n v="505440"/>
    <n v="3382560"/>
    <s v=""/>
    <m/>
    <s v="ISI CUTTER 18 MM KENKO L-150 (BESAR)LSN64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070006"/>
    <d v="2023-07-06T00:00:00"/>
    <n v="6"/>
    <s v="KO"/>
    <s v="4923"/>
    <s v="DWIJAYA"/>
    <s v="AM 23070006"/>
    <s v="KO 4923"/>
    <s v="CV DWI JAYA YOGYAKARTA"/>
    <n v="20"/>
    <s v="LSN"/>
    <n v="1"/>
    <s v="LEMKENLG50"/>
    <s v="LEM CAIR 50 ML KENKO LG-50"/>
    <s v="LEM CAIR 50 ML KENKO LG-50"/>
    <n v="25200"/>
    <n v="0.1"/>
    <m/>
    <n v="453600"/>
    <s v="NOVI / CONDRO"/>
    <m/>
    <n v="25"/>
    <n v="2"/>
    <n v="504000"/>
    <n v="50400"/>
    <n v="0"/>
    <n v="50400"/>
    <n v="453600"/>
    <n v="4289760"/>
    <m/>
    <s v="LEM CAIR 50 ML KENKO LG-50LSN25200"/>
  </r>
  <r>
    <x v="1"/>
    <s v=""/>
    <s v=""/>
    <m/>
    <m/>
    <m/>
    <m/>
    <s v=""/>
    <s v=" "/>
    <s v=""/>
    <n v="144"/>
    <s v="PCS"/>
    <n v="3"/>
    <s v="OPJK24W"/>
    <s v="CRAYON / OIL PASTEL JOYKO OP-24S PP CASE SEA WORLD"/>
    <s v="CRAYON / OIL PASTEL JOYKO OP-24S PP CASE SEA WORLD"/>
    <n v="29600"/>
    <n v="0.1"/>
    <m/>
    <n v="3836160"/>
    <m/>
    <m/>
    <n v="25"/>
    <n v="2"/>
    <n v="4262400"/>
    <n v="426240"/>
    <n v="0"/>
    <n v="426240"/>
    <n v="3836160"/>
    <s v=""/>
    <m/>
    <s v="CRAYON / OIL PASTEL JOYKO OP-24S PP CASE SEA WORLDPCS29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070007"/>
    <d v="2023-07-07T00:00:00"/>
    <n v="7"/>
    <s v="G"/>
    <s v="4866"/>
    <s v="nikisae"/>
    <s v="AM 23070007"/>
    <s v="G 4866"/>
    <s v="GUNAWAN HARTONO KUSUMA ( NIKI SAE ) TULUNG AGUNG"/>
    <n v="720"/>
    <s v="PCS"/>
    <n v="10"/>
    <s v="OPTITI24W"/>
    <e v="#N/A"/>
    <s v="CRAYON / OIL PASTEL PUTAR TITI TI-CP-24T TWIST"/>
    <n v="50000"/>
    <n v="0.125"/>
    <m/>
    <n v="31500000"/>
    <s v="NOVI / CONDRO"/>
    <m/>
    <n v="28"/>
    <n v="1"/>
    <n v="36000000"/>
    <n v="4500000"/>
    <n v="0"/>
    <n v="4500000"/>
    <n v="31500000"/>
    <n v="31500000"/>
    <m/>
    <s v="CRAYON / OIL PASTEL PUTAR TITI TI-CP-24T TWISTPCS5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070008"/>
    <d v="2023-07-08T00:00:00"/>
    <n v="8"/>
    <s v="KO"/>
    <s v="4871"/>
    <s v="ANUGERAH"/>
    <s v="AM 23070008"/>
    <s v="KO 4871"/>
    <s v="CV PELITA JAYA (ANUGERAH SEJAHTERA) PURWOKERTO"/>
    <n v="30"/>
    <s v="LSN"/>
    <n v="1"/>
    <s v="STASDI1102"/>
    <s v="STAPLER SDI 1102 NO.10 (HD-10)"/>
    <s v="STAPLER SDI 1102 NO.10 (HD-10)"/>
    <n v="138000"/>
    <n v="0.125"/>
    <m/>
    <n v="3622500"/>
    <s v="NOVI / CONDRO"/>
    <m/>
    <n v="30"/>
    <n v="1"/>
    <n v="4140000"/>
    <n v="517500"/>
    <n v="0"/>
    <n v="517500"/>
    <n v="3622500"/>
    <n v="3622500"/>
    <m/>
    <s v="STAPLER SDI 1102 NO.10 (HD-10)LSN13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070009"/>
    <d v="2023-07-08T00:00:00"/>
    <n v="8"/>
    <s v="G"/>
    <s v="4944"/>
    <s v="nikisae"/>
    <s v="AM 23070009"/>
    <s v="G 4944"/>
    <s v="GUNAWAN HARTONO KUSUMA ( NIKI SAE ) TULUNG AGUNG"/>
    <n v="240"/>
    <s v="LSN"/>
    <n v="5"/>
    <s v="TIPJKJK01"/>
    <s v="CORRECTION FLUID JOYKO JK-01"/>
    <s v="CORRECTION FLUID JOYKO JK-01"/>
    <n v="36000"/>
    <n v="0.125"/>
    <m/>
    <n v="7560000"/>
    <s v="NOVI / CONDRO"/>
    <m/>
    <n v="32"/>
    <n v="1"/>
    <n v="8640000"/>
    <n v="1080000"/>
    <n v="0"/>
    <n v="1080000"/>
    <n v="7560000"/>
    <n v="7560000"/>
    <m/>
    <s v="CORRECTION FLUID JOYKO JK-01LSN36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070010"/>
    <d v="2023-07-08T00:00:00"/>
    <n v="8"/>
    <s v="KO"/>
    <s v="4949"/>
    <s v="GANESHA"/>
    <s v="AM 23070010"/>
    <s v="KO 4949"/>
    <s v="CV GANESHA WONOSOBO"/>
    <n v="20"/>
    <s v="GRS"/>
    <m/>
    <s v="CLIKEN107"/>
    <s v="BINDER CLIP KENKO NO. 107"/>
    <s v="BINDER CLIP KENKO NO. 107"/>
    <n v="31800"/>
    <n v="0.1"/>
    <m/>
    <n v="572400"/>
    <s v="NOVI / CONDRO"/>
    <m/>
    <n v="34"/>
    <n v="5"/>
    <n v="636000"/>
    <n v="63600"/>
    <n v="0"/>
    <n v="63600"/>
    <n v="572400"/>
    <n v="2578500"/>
    <m/>
    <s v="BINDER CLIP KENKO NO. 107GRS31800"/>
  </r>
  <r>
    <x v="1"/>
    <s v=""/>
    <s v=""/>
    <m/>
    <m/>
    <m/>
    <m/>
    <s v=""/>
    <s v=" "/>
    <s v=""/>
    <n v="5"/>
    <s v="GRS"/>
    <m/>
    <s v="CLIKEN155"/>
    <s v="BINDER CLIP KENKO NO. 155"/>
    <s v="BINDER CLIP KENKO NO. 155"/>
    <n v="69000"/>
    <n v="0.1"/>
    <m/>
    <n v="310500"/>
    <m/>
    <m/>
    <n v="34"/>
    <n v="5"/>
    <n v="345000"/>
    <n v="34500"/>
    <n v="0"/>
    <n v="34500"/>
    <n v="310500"/>
    <s v=""/>
    <m/>
    <s v="BINDER CLIP KENKO NO. 155GRS69000"/>
  </r>
  <r>
    <x v="1"/>
    <s v=""/>
    <s v=""/>
    <m/>
    <m/>
    <m/>
    <m/>
    <s v=""/>
    <s v=" "/>
    <s v=""/>
    <n v="5"/>
    <s v="GRS"/>
    <n v="1"/>
    <s v="CLIKEN260"/>
    <s v="BINDER CLIP KENKO NO. 260"/>
    <s v="BINDER CLIP KENKO NO. 260"/>
    <n v="180000"/>
    <n v="0.1"/>
    <m/>
    <n v="810000"/>
    <m/>
    <m/>
    <n v="34"/>
    <n v="5"/>
    <n v="900000"/>
    <n v="90000"/>
    <n v="0"/>
    <n v="90000"/>
    <n v="810000"/>
    <s v=""/>
    <m/>
    <s v="BINDER CLIP KENKO NO. 260GRS180000"/>
  </r>
  <r>
    <x v="1"/>
    <s v=""/>
    <s v=""/>
    <m/>
    <m/>
    <m/>
    <m/>
    <s v=""/>
    <s v=" "/>
    <s v=""/>
    <n v="10"/>
    <s v="BOX"/>
    <m/>
    <s v="LEMKEN8GR"/>
    <s v="LEM STICK KENKO 8 GR (KECIL) isi 30 pc"/>
    <s v="LEM STICK KENKO 8 GR (KECIL) isi 30 pc"/>
    <n v="66000"/>
    <n v="0.1"/>
    <m/>
    <n v="594000"/>
    <m/>
    <m/>
    <n v="34"/>
    <n v="5"/>
    <n v="660000"/>
    <n v="66000"/>
    <n v="0"/>
    <n v="66000"/>
    <n v="594000"/>
    <s v=""/>
    <m/>
    <s v="LEM STICK KENKO 8 GR (KECIL) isi 30 pcBOX66000"/>
  </r>
  <r>
    <x v="1"/>
    <s v=""/>
    <s v=""/>
    <m/>
    <m/>
    <m/>
    <m/>
    <s v=""/>
    <s v=" "/>
    <s v=""/>
    <n v="5"/>
    <s v="LSN"/>
    <m/>
    <s v="ISIKENBESAR"/>
    <s v="ISI CUTTER 18 MM KENKO L-150 (BESAR)"/>
    <s v="ISI CUTTER 18 MM KENKO L-150 (BESAR)"/>
    <n v="64800"/>
    <n v="0.1"/>
    <m/>
    <n v="291600"/>
    <m/>
    <m/>
    <n v="34"/>
    <n v="5"/>
    <n v="324000"/>
    <n v="32400"/>
    <n v="0"/>
    <n v="32400"/>
    <n v="291600"/>
    <s v=""/>
    <m/>
    <s v="ISI CUTTER 18 MM KENKO L-150 (BESAR)LSN64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n v="10"/>
  </r>
  <r>
    <x v="11"/>
    <n v="23070011"/>
    <d v="2023-07-10T00:00:00"/>
    <n v="10"/>
    <s v="G"/>
    <s v="4927"/>
    <s v="REJOAGUNG"/>
    <s v="AM 23070011"/>
    <s v="G 4927"/>
    <s v="LILY JULIAWATI (REJO AGUNG) JOMBANG"/>
    <n v="40"/>
    <s v="LSN"/>
    <m/>
    <s v="CUTKENL500"/>
    <s v="CUTTER 18 MM KENKO L-500 (BESAR)"/>
    <s v="CUTTER 18 MM KENKO L-500 (BESAR)"/>
    <n v="147600"/>
    <n v="0.125"/>
    <m/>
    <n v="5166000"/>
    <s v="NOVI / CONDRO"/>
    <m/>
    <n v="40"/>
    <n v="1"/>
    <n v="5904000"/>
    <n v="738000"/>
    <n v="0"/>
    <n v="738000"/>
    <n v="5166000"/>
    <n v="5166000"/>
    <m/>
    <s v="CUTTER 18 MM KENKO L-500 (BESAR)LSN147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070012"/>
    <d v="2023-07-10T00:00:00"/>
    <n v="10"/>
    <s v="KO"/>
    <s v="4823"/>
    <s v="LANCAR"/>
    <s v="AM 23070012"/>
    <s v="KO 4823"/>
    <s v="CV LANCAR JAYA SENTOSA MALANG"/>
    <n v="720"/>
    <s v="PCS"/>
    <n v="5"/>
    <s v="OPJK12W"/>
    <s v="CRAYON / OIL PASTEL JOYKO OP-12S PP CASE SEA WORLD"/>
    <s v="CRAYON / OIL PASTEL JOYKO OP-12S PP CASE SEA WORLD"/>
    <n v="11900"/>
    <n v="0.125"/>
    <m/>
    <n v="7497000"/>
    <s v="NOVI / CONDRO"/>
    <m/>
    <n v="42"/>
    <n v="6"/>
    <n v="8568000"/>
    <n v="1071000"/>
    <n v="0"/>
    <n v="1071000"/>
    <n v="7497000"/>
    <n v="21644525"/>
    <m/>
    <s v="CRAYON / OIL PASTEL JOYKO OP-12S PP CASE SEA WORLDPCS11900"/>
  </r>
  <r>
    <x v="1"/>
    <s v=""/>
    <s v=""/>
    <m/>
    <m/>
    <m/>
    <m/>
    <s v=""/>
    <s v=" "/>
    <s v=""/>
    <n v="144"/>
    <s v="PCS"/>
    <n v="2"/>
    <s v="OPJK18W"/>
    <s v="CRAYON / OIL PASTEL JOYKO OP-18S PP CASE SEA WORLD"/>
    <s v="CRAYON / OIL PASTEL JOYKO OP-18S PP CASE SEA WORLD"/>
    <n v="23000"/>
    <n v="0.125"/>
    <m/>
    <n v="2898000"/>
    <m/>
    <m/>
    <n v="42"/>
    <n v="6"/>
    <n v="3312000"/>
    <n v="414000"/>
    <n v="0"/>
    <n v="414000"/>
    <n v="2898000"/>
    <s v=""/>
    <m/>
    <s v="CRAYON / OIL PASTEL JOYKO OP-18S PP CASE SEA WORLDPCS23000"/>
  </r>
  <r>
    <x v="1"/>
    <s v=""/>
    <s v=""/>
    <m/>
    <m/>
    <m/>
    <m/>
    <s v=""/>
    <s v=" "/>
    <s v=""/>
    <n v="96"/>
    <s v="PCS"/>
    <n v="2"/>
    <s v="OPJK24W"/>
    <s v="CRAYON / OIL PASTEL JOYKO OP-24S PP CASE SEA WORLD"/>
    <s v="CRAYON / OIL PASTEL JOYKO OP-24S PP CASE SEA WORLD"/>
    <n v="29600"/>
    <n v="0.125"/>
    <m/>
    <n v="2486400"/>
    <m/>
    <m/>
    <n v="42"/>
    <n v="6"/>
    <n v="2841600"/>
    <n v="355200"/>
    <n v="0"/>
    <n v="355200"/>
    <n v="2486400"/>
    <s v=""/>
    <m/>
    <s v="CRAYON / OIL PASTEL JOYKO OP-24S PP CASE SEA WORLDPCS29600"/>
  </r>
  <r>
    <x v="1"/>
    <s v=""/>
    <s v=""/>
    <m/>
    <m/>
    <m/>
    <m/>
    <s v=""/>
    <s v=" "/>
    <s v=""/>
    <n v="200"/>
    <s v="BOX"/>
    <n v="4"/>
    <s v="STIJK40PUTIH"/>
    <s v="STIP / PENGHAPUS JOYKO 526-B40P PUTIH"/>
    <s v="STIP / PENGHAPUS JOYKO 526-B40P PUTIH"/>
    <n v="28300"/>
    <n v="0.125"/>
    <m/>
    <n v="4952500"/>
    <m/>
    <m/>
    <n v="42"/>
    <n v="6"/>
    <n v="5660000"/>
    <n v="707500"/>
    <n v="0"/>
    <n v="707500"/>
    <n v="4952500"/>
    <s v=""/>
    <m/>
    <s v="STIP / PENGHAPUS JOYKO 526-B40P PUTIHBOX28300"/>
  </r>
  <r>
    <x v="1"/>
    <s v=""/>
    <s v=""/>
    <m/>
    <m/>
    <m/>
    <m/>
    <s v=""/>
    <s v=" "/>
    <s v=""/>
    <n v="100"/>
    <s v="BOX"/>
    <n v="2"/>
    <s v="STIJK40HITAM"/>
    <s v="STIP / PENGHAPUS JOYKO 526-B40BL HITAM"/>
    <s v="STIP / PENGHAPUS JOYKO 526-B40BL HITAM"/>
    <n v="28300"/>
    <n v="0.125"/>
    <m/>
    <n v="2476250"/>
    <m/>
    <m/>
    <n v="42"/>
    <n v="6"/>
    <n v="2830000"/>
    <n v="353750"/>
    <n v="0"/>
    <n v="353750"/>
    <n v="2476250"/>
    <s v=""/>
    <m/>
    <s v="STIP / PENGHAPUS JOYKO 526-B40BL HITAMBOX28300"/>
  </r>
  <r>
    <x v="1"/>
    <s v=""/>
    <s v=""/>
    <m/>
    <m/>
    <m/>
    <m/>
    <s v=""/>
    <s v=" "/>
    <s v=""/>
    <n v="50"/>
    <s v="SLOP"/>
    <n v="1"/>
    <s v="ISIJK2LINEPUTIH"/>
    <s v="LABEL HARGA JOYKO LB-P2LN (2 LINE PUTIH)"/>
    <s v="LABEL HARGA JOYKO LB-P2LN (2 LINE PUTIH)"/>
    <n v="30500"/>
    <n v="0.125"/>
    <m/>
    <n v="1334375"/>
    <m/>
    <m/>
    <n v="42"/>
    <n v="6"/>
    <n v="1525000"/>
    <n v="190625"/>
    <n v="0"/>
    <n v="190625"/>
    <n v="1334375"/>
    <s v=""/>
    <m/>
    <s v="LABEL HARGA JOYKO LB-P2LN (2 LINE PUTIH)SLOP30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070013"/>
    <d v="2023-07-10T00:00:00"/>
    <n v="10"/>
    <s v="KO"/>
    <s v="4883"/>
    <s v="BENDAN"/>
    <s v="AM 23070013"/>
    <s v="KO 4883"/>
    <s v="HARNOYO (BENDAN) PEKALONGAN"/>
    <n v="96"/>
    <s v="PCS"/>
    <n v="1"/>
    <s v="ISOKENTDB2"/>
    <s v="HANDY TAPE DISPENSER KENKO TDB-2 (BESI)"/>
    <s v="HANDY TAPE DISPENSER KENKO TDB-2"/>
    <n v="22000"/>
    <n v="0.14000000000000001"/>
    <m/>
    <n v="1816320"/>
    <s v="NOVI / CONDRO"/>
    <m/>
    <n v="49"/>
    <n v="1"/>
    <n v="2112000"/>
    <n v="295680"/>
    <n v="0"/>
    <n v="295680"/>
    <n v="1816320"/>
    <n v="1816320"/>
    <m/>
    <s v="HANDY TAPE DISPENSER KENKO TDB-2PCS2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070014"/>
    <d v="2023-07-11T00:00:00"/>
    <n v="11"/>
    <s v="KO"/>
    <s v="4888"/>
    <s v="ARMADA"/>
    <s v="AM 23070014"/>
    <s v="KO 4888"/>
    <s v="SANTOSO BUDIONO (  ARMADA  ) PURWOKERTO"/>
    <n v="20"/>
    <s v="LSN"/>
    <n v="1"/>
    <s v="STAKENHD10D"/>
    <s v="STAPLER KENKO HD-10D"/>
    <s v="STAPLER KENKO HD-10D"/>
    <n v="117600"/>
    <n v="0.13"/>
    <m/>
    <n v="2046240"/>
    <s v="NOVI / CONDRO"/>
    <m/>
    <n v="51"/>
    <n v="2"/>
    <n v="2352000"/>
    <n v="305760"/>
    <n v="0"/>
    <n v="305760"/>
    <n v="2046240"/>
    <n v="2844240"/>
    <m/>
    <s v="STAPLER KENKO HD-10DLSN117600"/>
  </r>
  <r>
    <x v="1"/>
    <s v=""/>
    <s v=""/>
    <m/>
    <m/>
    <m/>
    <m/>
    <s v=""/>
    <s v=" "/>
    <s v=""/>
    <n v="4"/>
    <s v="LSN"/>
    <m/>
    <s v="STAKENHD50"/>
    <s v="STAPLER KENKO HD-50"/>
    <s v="STAPLER KENKO HD-50"/>
    <n v="228000"/>
    <n v="0.125"/>
    <m/>
    <n v="798000"/>
    <m/>
    <m/>
    <n v="51"/>
    <n v="2"/>
    <n v="912000"/>
    <n v="114000"/>
    <n v="0"/>
    <n v="114000"/>
    <n v="798000"/>
    <s v=""/>
    <m/>
    <s v="STAPLER KENKO HD-50LSN22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3070015"/>
    <d v="2023-07-11T00:00:00"/>
    <n v="11"/>
    <s v="KO"/>
    <s v="4892"/>
    <s v="ANUGERAH"/>
    <s v="AM 23070015"/>
    <s v="KO 4892"/>
    <s v="CV PELITA JAYA (ANUGERAH SEJAHTERA) PURWOKERTO"/>
    <n v="60"/>
    <s v="LSN"/>
    <n v="1"/>
    <s v="ISIKENBESAR"/>
    <s v="ISI CUTTER 18 MM KENKO L-150 (BESAR)"/>
    <s v="ISI CUTTER 18 MM KENKO L-150 (BESAR)"/>
    <n v="64800"/>
    <n v="0.13500000000000001"/>
    <m/>
    <n v="3363120"/>
    <s v="NOVI / CONDRO"/>
    <m/>
    <n v="54"/>
    <n v="2"/>
    <n v="3888000"/>
    <n v="524880"/>
    <n v="0"/>
    <n v="524880"/>
    <n v="3363120"/>
    <n v="5854320"/>
    <m/>
    <s v="ISI CUTTER 18 MM KENKO L-150 (BESAR)LSN64800"/>
  </r>
  <r>
    <x v="1"/>
    <s v=""/>
    <s v=""/>
    <m/>
    <m/>
    <m/>
    <m/>
    <s v=""/>
    <s v=" "/>
    <s v=""/>
    <n v="48"/>
    <s v="LSN"/>
    <n v="1"/>
    <s v="TIPKENCT902CL"/>
    <s v="CORRECTION TAPE KENKO CT-902CL (12M x 5MM)"/>
    <s v="CORRECTION TAPE KENKO CT-902CL (12M x 5MM)"/>
    <n v="60000"/>
    <n v="0.13500000000000001"/>
    <m/>
    <n v="2491200"/>
    <m/>
    <m/>
    <n v="54"/>
    <n v="2"/>
    <n v="2880000"/>
    <n v="388800"/>
    <n v="0"/>
    <n v="388800"/>
    <n v="2491200"/>
    <s v=""/>
    <m/>
    <s v="CORRECTION TAPE KENKO CT-902CL (12M x 5MM)LSN6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070016"/>
    <d v="2023-07-11T00:00:00"/>
    <n v="11"/>
    <s v="G"/>
    <s v="4963"/>
    <s v="nikisae"/>
    <s v="AM 23070016"/>
    <s v="G 4963"/>
    <s v="GUNAWAN HARTONO KUSUMA ( NIKI SAE ) TULUNG AGUNG"/>
    <n v="432"/>
    <s v="LSN"/>
    <n v="3"/>
    <s v="PENKENKE303HITAM"/>
    <s v="GEL PEN KENKO KE-303 T-GEL TRIANGULAR HITAM"/>
    <s v="GEL PEN KENKO KE-303 T-GEL TRIANGULAR HITAM"/>
    <n v="21600"/>
    <n v="0.125"/>
    <m/>
    <n v="8164800"/>
    <s v="NOVI / CONDRO"/>
    <m/>
    <n v="57"/>
    <n v="1"/>
    <n v="9331200"/>
    <n v="1166400"/>
    <n v="0"/>
    <n v="1166400"/>
    <n v="8164800"/>
    <n v="8164800"/>
    <m/>
    <s v="GEL PEN KENKO KE-303 T-GEL TRIANGULAR HITAMLSN21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070017"/>
    <d v="2023-07-12T00:00:00"/>
    <n v="12"/>
    <s v="KO"/>
    <s v="1295"/>
    <s v="LANCAR"/>
    <s v="AM 23070017"/>
    <s v="KO 1295"/>
    <s v="CV LANCAR JAYA SENTOSA MALANG"/>
    <n v="36"/>
    <s v="LSN"/>
    <n v="3"/>
    <s v="PWJK12WPANJANG"/>
    <s v="PENSIL WARNA JOYKO CP-12PB (PANJANG)"/>
    <s v="PENSIL WARNA JOYKO CP-12PB (PANJANG)"/>
    <n v="127200"/>
    <n v="0.125"/>
    <m/>
    <n v="4006800"/>
    <s v="NOVI / CONDRO"/>
    <m/>
    <n v="59"/>
    <n v="6"/>
    <n v="4579200"/>
    <n v="572400"/>
    <n v="0"/>
    <n v="572400"/>
    <n v="4006800"/>
    <n v="42028925"/>
    <m/>
    <s v="PENSIL WARNA JOYKO CP-12PB (PANJANG)LSN127200"/>
  </r>
  <r>
    <x v="1"/>
    <s v=""/>
    <s v=""/>
    <m/>
    <m/>
    <m/>
    <m/>
    <s v=""/>
    <s v=" "/>
    <s v=""/>
    <n v="150"/>
    <s v="BOX"/>
    <n v="3"/>
    <s v="STIJK20PUTIH"/>
    <s v="STIP / PENGHAPUS JOYKO 526-B20 PUTIH"/>
    <s v="STIP / PENGHAPUS JOYKO 526-B20 PUTIH"/>
    <n v="34100"/>
    <n v="0.125"/>
    <m/>
    <n v="4475625"/>
    <m/>
    <m/>
    <n v="59"/>
    <n v="6"/>
    <n v="5115000"/>
    <n v="639375"/>
    <n v="0"/>
    <n v="639375"/>
    <n v="4475625"/>
    <s v=""/>
    <m/>
    <s v="STIP / PENGHAPUS JOYKO 526-B20 PUTIHBOX34100"/>
  </r>
  <r>
    <x v="1"/>
    <s v=""/>
    <s v=""/>
    <m/>
    <m/>
    <m/>
    <m/>
    <s v=""/>
    <s v=" "/>
    <s v=""/>
    <n v="150"/>
    <s v="BOX"/>
    <n v="3"/>
    <s v="STIJKER30PUTIH"/>
    <s v="STIP / PENGHAPUS JOYKO ER-30W PUTIH"/>
    <s v="STIP / PENGHAPUS JOYKO ER-30W PUTIH"/>
    <n v="32000"/>
    <n v="0.125"/>
    <m/>
    <n v="4200000"/>
    <m/>
    <m/>
    <n v="59"/>
    <n v="6"/>
    <n v="4800000"/>
    <n v="600000"/>
    <n v="0"/>
    <n v="600000"/>
    <n v="4200000"/>
    <s v=""/>
    <m/>
    <s v="STIP / PENGHAPUS JOYKO ER-30W PUTIHBOX32000"/>
  </r>
  <r>
    <x v="1"/>
    <s v=""/>
    <s v=""/>
    <m/>
    <m/>
    <m/>
    <m/>
    <s v=""/>
    <s v=" "/>
    <s v=""/>
    <n v="150"/>
    <s v="GRS"/>
    <n v="5"/>
    <s v="PENJKP88"/>
    <s v="PENSIL JOYKO 2B P-88"/>
    <s v="PENSIL JOYKO 2B P-88"/>
    <n v="104400"/>
    <n v="0.125"/>
    <m/>
    <n v="13702500"/>
    <m/>
    <m/>
    <n v="59"/>
    <n v="6"/>
    <n v="15660000"/>
    <n v="1957500"/>
    <n v="0"/>
    <n v="1957500"/>
    <n v="13702500"/>
    <s v=""/>
    <m/>
    <s v="PENSIL JOYKO 2B P-88GRS104400"/>
  </r>
  <r>
    <x v="1"/>
    <s v=""/>
    <s v=""/>
    <m/>
    <m/>
    <m/>
    <m/>
    <s v=""/>
    <s v=" "/>
    <s v=""/>
    <n v="144"/>
    <s v="PCS"/>
    <n v="3"/>
    <s v="ISOJKTD103"/>
    <s v="TAPE CUTTER JOYKO TD-103"/>
    <s v="TAPE CUTTER JOYKO TD-103"/>
    <n v="19000"/>
    <n v="0.125"/>
    <m/>
    <n v="2394000"/>
    <m/>
    <m/>
    <n v="59"/>
    <n v="6"/>
    <n v="2736000"/>
    <n v="342000"/>
    <n v="0"/>
    <n v="342000"/>
    <n v="2394000"/>
    <s v=""/>
    <m/>
    <s v="TAPE CUTTER JOYKO TD-103PCS19000"/>
  </r>
  <r>
    <x v="1"/>
    <s v=""/>
    <s v=""/>
    <m/>
    <m/>
    <m/>
    <m/>
    <s v=""/>
    <s v=" "/>
    <s v=""/>
    <n v="1000"/>
    <s v="PAK"/>
    <n v="10"/>
    <s v="ISIGWNO10"/>
    <s v="ISI STAPLER (STAPLES) GREATWALL GW-NO. 10 (KECIL)"/>
    <s v="ISI STAPLER (STAPLES) GREATWALL GW-NO. 10 (KECIL)"/>
    <n v="13250"/>
    <m/>
    <m/>
    <n v="13250000"/>
    <m/>
    <m/>
    <n v="59"/>
    <n v="6"/>
    <n v="13250000"/>
    <n v="0"/>
    <n v="0"/>
    <n v="0"/>
    <n v="13250000"/>
    <s v=""/>
    <m/>
    <s v="ISI STAPLER (STAPLES) GREATWALL GW-NO. 10 (KECIL)PAK1325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070018"/>
    <d v="2023-07-12T00:00:00"/>
    <n v="12"/>
    <s v="KO"/>
    <s v="4897"/>
    <s v="ANUGERAH"/>
    <s v="AM 23070018"/>
    <s v="KO 4897"/>
    <s v="CV PELITA JAYA (ANUGERAH SEJAHTERA) PURWOKERTO"/>
    <n v="72"/>
    <s v="LSN"/>
    <n v="1"/>
    <s v="TIPKENKE107"/>
    <s v="CORRECTION FLUID KENKO KE-107M"/>
    <s v="CORRECTION FLUID KENKO KE-107M"/>
    <n v="55800"/>
    <n v="0.13500000000000001"/>
    <m/>
    <n v="3475224"/>
    <s v="NOVI / CONDRO"/>
    <m/>
    <n v="66"/>
    <n v="4"/>
    <n v="4017600"/>
    <n v="542376"/>
    <n v="0"/>
    <n v="542376"/>
    <n v="3475224"/>
    <n v="15391464"/>
    <m/>
    <s v="CORRECTION FLUID KENKO KE-107MLSN55800"/>
  </r>
  <r>
    <x v="1"/>
    <s v=""/>
    <s v=""/>
    <m/>
    <m/>
    <m/>
    <m/>
    <s v=""/>
    <s v=" "/>
    <s v=""/>
    <n v="120"/>
    <s v="LSN"/>
    <n v="2"/>
    <s v="ISIKENBESAR"/>
    <s v="ISI CUTTER 18 MM KENKO L-150 (BESAR)"/>
    <s v="ISI CUTTER 18 MM KENKO L-150 (BESAR)"/>
    <n v="64800"/>
    <n v="0.13500000000000001"/>
    <m/>
    <n v="6726240"/>
    <m/>
    <m/>
    <n v="66"/>
    <n v="4"/>
    <n v="7776000"/>
    <n v="1049760"/>
    <n v="0"/>
    <n v="1049760"/>
    <n v="6726240"/>
    <s v=""/>
    <m/>
    <s v="ISI CUTTER 18 MM KENKO L-150 (BESAR)LSN64800"/>
  </r>
  <r>
    <x v="1"/>
    <s v=""/>
    <s v=""/>
    <m/>
    <m/>
    <m/>
    <m/>
    <m/>
    <m/>
    <s v=""/>
    <n v="50"/>
    <s v="LSN"/>
    <n v="2"/>
    <s v="STAKENHD10SMINI"/>
    <s v="STAPLER KENKO HD-10S (MINI)"/>
    <s v="STAPLER KENKO HD-10S (MINI)"/>
    <n v="69600"/>
    <n v="0.13500000000000001"/>
    <m/>
    <n v="3010200"/>
    <m/>
    <m/>
    <n v="66"/>
    <n v="4"/>
    <n v="3480000"/>
    <n v="469800.00000000006"/>
    <n v="0"/>
    <n v="469800.00000000006"/>
    <n v="3010200"/>
    <s v=""/>
    <m/>
    <s v="STAPLER KENKO HD-10S (MINI)LSN69600"/>
  </r>
  <r>
    <x v="1"/>
    <s v=""/>
    <s v=""/>
    <m/>
    <m/>
    <m/>
    <m/>
    <s v=""/>
    <s v=" "/>
    <s v=""/>
    <n v="60"/>
    <s v="PAK"/>
    <n v="3"/>
    <s v="ISIKEN1210"/>
    <s v="ISI STAPLER (STAPLES) KENKO 1210 PREMIUM (23/10)"/>
    <s v="ISI STAPLER (STAPLES) KENKO 1210 PREMIUM (23/10)"/>
    <n v="42000"/>
    <n v="0.13500000000000001"/>
    <m/>
    <n v="2179800"/>
    <m/>
    <m/>
    <n v="66"/>
    <n v="4"/>
    <n v="2520000"/>
    <n v="340200"/>
    <n v="0"/>
    <n v="340200"/>
    <n v="2179800"/>
    <s v=""/>
    <m/>
    <s v="ISI STAPLER (STAPLES) KENKO 1210 PREMIUM (23/10)PAK4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3070019"/>
    <d v="2023-07-14T00:00:00"/>
    <n v="14"/>
    <s v="KO"/>
    <s v="4899"/>
    <s v="nikisae"/>
    <s v="AM 23070019"/>
    <s v="KO 4899"/>
    <s v="GUNAWAN HARTONO KUSUMA ( NIKI SAE ) TULUNG AGUNG"/>
    <n v="180"/>
    <s v="LSN"/>
    <n v="5"/>
    <s v="TIPJKCFS209"/>
    <s v="CORRECTION FLUID JOYKO CF-S209"/>
    <s v="CORRECTION FLUID JOYKO CF-S209"/>
    <n v="41400"/>
    <n v="0.125"/>
    <m/>
    <n v="6520500"/>
    <s v="NOVI / CONDRO"/>
    <m/>
    <n v="71"/>
    <n v="2"/>
    <n v="7452000"/>
    <n v="931500"/>
    <n v="0"/>
    <n v="931500"/>
    <n v="6520500"/>
    <n v="13324500"/>
    <m/>
    <s v="CORRECTION FLUID JOYKO CF-S209LSN41400"/>
  </r>
  <r>
    <x v="1"/>
    <s v=""/>
    <s v=""/>
    <m/>
    <m/>
    <m/>
    <m/>
    <s v=""/>
    <s v=" "/>
    <s v=""/>
    <n v="180"/>
    <s v="LSN"/>
    <n v="5"/>
    <s v="TIPJKCFS210"/>
    <s v="CORRECTION FLUID JOYKO CF-S210"/>
    <s v="CORRECTION FLUID JOYKO CF-S210"/>
    <n v="43200"/>
    <n v="0.125"/>
    <m/>
    <n v="6804000"/>
    <m/>
    <m/>
    <n v="71"/>
    <n v="2"/>
    <n v="7776000"/>
    <n v="972000"/>
    <n v="0"/>
    <n v="972000"/>
    <n v="6804000"/>
    <s v=""/>
    <m/>
    <s v="CORRECTION FLUID JOYKO CF-S210LSN432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070020"/>
    <d v="2023-07-14T00:00:00"/>
    <n v="14"/>
    <s v="KO"/>
    <s v="4980"/>
    <s v="BENDAN"/>
    <s v="AM 23070020"/>
    <s v="KO 4980"/>
    <s v="HARNOYO (BENDAN) PEKALONGAN"/>
    <n v="20"/>
    <s v="GRS"/>
    <n v="1"/>
    <s v="CLIKEN155"/>
    <s v="BINDER CLIP KENKO NO. 155"/>
    <s v="BINDER CLIP KENKO NO. 155"/>
    <n v="69000"/>
    <n v="0.14000000000000001"/>
    <m/>
    <n v="1186800"/>
    <s v="NOVI / CONDRO"/>
    <m/>
    <n v="74"/>
    <n v="3"/>
    <n v="1380000"/>
    <n v="193200.00000000003"/>
    <n v="0"/>
    <n v="193200.00000000003"/>
    <n v="1186800"/>
    <n v="4685280"/>
    <m/>
    <s v="BINDER CLIP KENKO NO. 155GRS69000"/>
  </r>
  <r>
    <x v="1"/>
    <s v=""/>
    <s v=""/>
    <m/>
    <m/>
    <m/>
    <m/>
    <s v=""/>
    <s v=" "/>
    <s v=""/>
    <n v="30"/>
    <s v="GRS"/>
    <n v="1"/>
    <s v="CLIKEN111"/>
    <s v="BINDER CLIP KENKO NO. 111"/>
    <s v="BINDER CLIP KENKO NO. 111"/>
    <n v="49200"/>
    <n v="0.14000000000000001"/>
    <m/>
    <n v="1269360"/>
    <m/>
    <m/>
    <n v="74"/>
    <n v="3"/>
    <n v="1476000"/>
    <n v="206640.00000000003"/>
    <n v="0"/>
    <n v="206640.00000000003"/>
    <n v="1269360"/>
    <s v=""/>
    <m/>
    <s v="BINDER CLIP KENKO NO. 111GRS49200"/>
  </r>
  <r>
    <x v="1"/>
    <s v="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4000000000000001"/>
    <m/>
    <n v="2229120"/>
    <m/>
    <m/>
    <n v="74"/>
    <n v="3"/>
    <n v="2592000"/>
    <n v="362880.00000000006"/>
    <n v="0"/>
    <n v="362880.00000000006"/>
    <n v="2229120"/>
    <s v=""/>
    <m/>
    <s v="LEM STICK KENKO 15 GR (TANGGUNG) isi 20 pcBOX7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070021"/>
    <d v="2023-07-07T00:00:00"/>
    <n v="7"/>
    <s v="KO"/>
    <s v="4817"/>
    <s v="LANCAR"/>
    <s v="AM 23070021"/>
    <s v="KO 4817"/>
    <s v="CV LANCAR JAYA SENTOSA MALANG"/>
    <n v="288"/>
    <s v="PCS"/>
    <n v="1"/>
    <s v="GUNJKSC838"/>
    <s v="GUNTING JOYKO SC-838"/>
    <s v="GUNTING JOYKO SC-838"/>
    <n v="6500"/>
    <n v="0.125"/>
    <m/>
    <n v="1638000"/>
    <s v="NOVI / CONDRO"/>
    <m/>
    <n v="78"/>
    <n v="1"/>
    <n v="1872000"/>
    <n v="234000"/>
    <n v="0"/>
    <n v="234000"/>
    <n v="1638000"/>
    <n v="1638000"/>
    <m/>
    <s v="GUNTING JOYKO SC-838PCS6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070022"/>
    <d v="2023-07-15T00:00:00"/>
    <n v="15"/>
    <s v="G"/>
    <s v="2359"/>
    <s v="nikisae"/>
    <s v="AM 23070022"/>
    <s v="G 2359"/>
    <s v="GUNAWAN HARTONO KUSUMA ( NIKI SAE ) TULUNG AGUNG"/>
    <n v="432"/>
    <s v="LSN"/>
    <n v="3"/>
    <s v="PENKENKE16HITAM"/>
    <s v="GEL PEN KENKO KE-16 DOT N DOT HITAM"/>
    <s v="GEL PEN KENKO KE-16 DOT N DOT HITAM"/>
    <n v="26100"/>
    <n v="0.125"/>
    <m/>
    <n v="9865800"/>
    <s v="NOVI / CONDRO"/>
    <m/>
    <n v="80"/>
    <n v="4"/>
    <n v="11275200"/>
    <n v="1409400"/>
    <n v="0"/>
    <n v="1409400"/>
    <n v="9865800"/>
    <n v="19485900"/>
    <m/>
    <s v="GEL PEN KENKO KE-16 DOT N DOT HITAMLSN26100"/>
  </r>
  <r>
    <x v="1"/>
    <s v=""/>
    <s v=""/>
    <m/>
    <m/>
    <m/>
    <m/>
    <s v=""/>
    <s v=" "/>
    <s v=""/>
    <n v="108"/>
    <s v="LSN"/>
    <n v="3"/>
    <s v="TIPKENKE107"/>
    <s v="CORRECTION FLUID KENKO KE-107M"/>
    <s v="CORRECTION FLUID KENKO KE-107M"/>
    <n v="55800"/>
    <n v="0.125"/>
    <m/>
    <n v="5273100"/>
    <m/>
    <m/>
    <n v="80"/>
    <n v="4"/>
    <n v="6026400"/>
    <n v="753300"/>
    <n v="0"/>
    <n v="753300"/>
    <n v="5273100"/>
    <s v=""/>
    <m/>
    <s v="CORRECTION FLUID KENKO KE-107MLSN55800"/>
  </r>
  <r>
    <x v="1"/>
    <s v="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25"/>
    <m/>
    <n v="2079000"/>
    <m/>
    <m/>
    <n v="80"/>
    <n v="4"/>
    <n v="2376000"/>
    <n v="297000"/>
    <n v="0"/>
    <n v="297000"/>
    <n v="2079000"/>
    <s v=""/>
    <m/>
    <s v="LEM STICK KENKO 8 GR (KECIL) isi 30 pcBOX66000"/>
  </r>
  <r>
    <x v="1"/>
    <s v="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25"/>
    <m/>
    <n v="2268000"/>
    <m/>
    <m/>
    <n v="80"/>
    <n v="4"/>
    <n v="2592000"/>
    <n v="324000"/>
    <n v="0"/>
    <n v="324000"/>
    <n v="2268000"/>
    <s v=""/>
    <m/>
    <s v="LEM STICK KENKO 15 GR (TANGGUNG) isi 20 pcBOX7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3070023"/>
    <d v="2023-07-15T00:00:00"/>
    <n v="15"/>
    <s v="KO"/>
    <s v="2366"/>
    <s v="ANUGERAH"/>
    <s v="AM 23070023"/>
    <s v="KO 2366"/>
    <s v="CV PELITA JAYA (ANUGERAH SEJAHTERA) PURWOKERTO"/>
    <n v="36"/>
    <s v="BOX"/>
    <n v="1"/>
    <s v="LEMKEN15GR"/>
    <s v="LEM STICK KENKO 15 GR (TANGGUNG) isi 20 pc"/>
    <s v="LEM STICK KENKO 15 GR (TANGGUNG) isi 20 pc"/>
    <n v="72000"/>
    <n v="0.13500000000000001"/>
    <m/>
    <n v="2242080"/>
    <s v="NOVI / CONDRO"/>
    <m/>
    <n v="85"/>
    <n v="1"/>
    <n v="2592000"/>
    <n v="349920"/>
    <n v="0"/>
    <n v="349920"/>
    <n v="2242080"/>
    <n v="2242080"/>
    <m/>
    <s v="LEM STICK KENKO 15 GR (TANGGUNG) isi 20 pcBOX7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3070024"/>
    <d v="2023-07-15T00:00:00"/>
    <n v="15"/>
    <s v="G"/>
    <s v="4964"/>
    <s v="UTAMA"/>
    <s v="AM 23070024"/>
    <s v="G 4964"/>
    <s v="CV UTAMA PUTRA TULUNG AGUNG"/>
    <n v="144"/>
    <s v="LSN"/>
    <n v="1"/>
    <s v="PENKENKE303"/>
    <s v="GEL PEN KENKO KE-303 T-GEL TRIANGULAR"/>
    <s v="GEL PEN KENKO KE-303 T-GEL TRIANGULAR BIRU"/>
    <n v="21600"/>
    <n v="0.125"/>
    <m/>
    <n v="2721600"/>
    <s v="NOVI / CONDRO"/>
    <m/>
    <n v="87"/>
    <n v="1"/>
    <n v="3110400"/>
    <n v="388800"/>
    <n v="0"/>
    <n v="388800"/>
    <n v="2721600"/>
    <n v="2721600"/>
    <m/>
    <s v="GEL PEN KENKO KE-303 T-GEL TRIANGULAR BIRULSN21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3070025"/>
    <d v="2023-07-17T00:00:00"/>
    <n v="17"/>
    <s v="KO"/>
    <s v="4993"/>
    <s v="ANUGERAH"/>
    <s v="AM 23070025"/>
    <s v="KO 4993"/>
    <s v="CV PELITA JAYA (ANUGERAH SEJAHTERA) PURWOKERTO"/>
    <n v="20"/>
    <s v="LSN"/>
    <n v="1"/>
    <s v="STASDI1123"/>
    <s v="STAPLER SDI 1123"/>
    <s v="STAPLER SDI 1123"/>
    <n v="300000"/>
    <n v="0.125"/>
    <m/>
    <n v="5250000"/>
    <s v="NOVI / YO"/>
    <m/>
    <n v="89"/>
    <n v="2"/>
    <n v="6000000"/>
    <n v="750000"/>
    <n v="0"/>
    <n v="750000"/>
    <n v="5250000"/>
    <n v="8217300"/>
    <m/>
    <s v="STAPLER SDI 1123LSN300000"/>
  </r>
  <r>
    <x v="1"/>
    <s v="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89"/>
    <n v="2"/>
    <n v="3391200"/>
    <n v="423900"/>
    <n v="0"/>
    <n v="423900"/>
    <n v="2967300"/>
    <s v=""/>
    <m/>
    <s v="CORRECTION FLUID KENKO KE-108LSN471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3070026"/>
    <d v="2023-07-20T00:00:00"/>
    <n v="20"/>
    <s v="G"/>
    <s v="2378"/>
    <s v="REJOAGUNG"/>
    <s v="AM 23070026"/>
    <s v="G 2378"/>
    <s v="LILY JULIAWATI (REJO AGUNG) JOMBANG"/>
    <n v="300"/>
    <s v="GRS"/>
    <n v="10"/>
    <s v="PENJKP88"/>
    <s v="PENSIL JOYKO 2B P-88"/>
    <s v="PENSIL JOYKO 2B P-88"/>
    <n v="104400"/>
    <n v="0.125"/>
    <m/>
    <n v="27405000"/>
    <s v="NOVI / CONDRO"/>
    <m/>
    <n v="92"/>
    <n v="2"/>
    <n v="31320000"/>
    <n v="3915000"/>
    <n v="0"/>
    <n v="3915000"/>
    <n v="27405000"/>
    <n v="28113750"/>
    <m/>
    <s v="PENSIL JOYKO 2B P-88GRS104400"/>
  </r>
  <r>
    <x v="1"/>
    <s v=""/>
    <s v=""/>
    <m/>
    <m/>
    <m/>
    <m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92"/>
    <n v="2"/>
    <n v="810000"/>
    <n v="101250"/>
    <n v="0"/>
    <n v="101250"/>
    <n v="708750"/>
    <s v=""/>
    <m/>
    <s v="MESIN LABEL HARGA JOYKO MX-5500M (8 DIGITS, 1 LINE)PCS40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3070027"/>
    <d v="2023-07-20T00:00:00"/>
    <n v="20"/>
    <s v="KO"/>
    <s v="4835"/>
    <s v="LANCAR"/>
    <s v="AM 23070027"/>
    <s v="KO 4835"/>
    <s v="CV LANCAR JAYA SENTOSA MALANG"/>
    <n v="1200"/>
    <s v="PCS"/>
    <n v="5"/>
    <s v="STAJKHD10CL"/>
    <s v="STAPLER JOYKO HD-10CL"/>
    <s v="STAPLER JOYKO HD-10CL"/>
    <n v="7000"/>
    <n v="0.125"/>
    <m/>
    <n v="7350000"/>
    <s v="NOVI / CONDRO"/>
    <m/>
    <n v="95"/>
    <n v="2"/>
    <n v="8400000"/>
    <n v="1050000"/>
    <n v="0"/>
    <n v="1050000"/>
    <n v="7350000"/>
    <n v="8578500"/>
    <m/>
    <s v="STAPLER JOYKO HD-10CLPCS7000"/>
  </r>
  <r>
    <x v="1"/>
    <s v=""/>
    <s v=""/>
    <m/>
    <m/>
    <m/>
    <m/>
    <s v=""/>
    <s v=" "/>
    <s v=""/>
    <n v="144"/>
    <s v="PCS"/>
    <n v="1"/>
    <s v="GUNJKSC848"/>
    <s v="GUNTING JOYKO SC-848"/>
    <s v="GUNTING JOYKO SC-848"/>
    <n v="9750"/>
    <n v="0.125"/>
    <m/>
    <n v="1228500"/>
    <m/>
    <m/>
    <n v="95"/>
    <n v="2"/>
    <n v="1404000"/>
    <n v="175500"/>
    <n v="0"/>
    <n v="175500"/>
    <n v="1228500"/>
    <s v=""/>
    <m/>
    <s v="GUNTING JOYKO SC-848PCS975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3070028"/>
    <d v="2023-07-21T00:00:00"/>
    <n v="21"/>
    <s v="KO"/>
    <s v="2380"/>
    <s v="ANUGERAH"/>
    <s v="AM 23070028"/>
    <s v="KO 2380"/>
    <s v="CV PELITA JAYA (ANUGERAH SEJAHTERA) PURWOKERTO"/>
    <n v="20"/>
    <s v="LSN"/>
    <n v="2"/>
    <s v="STAKENHD50"/>
    <s v="STAPLER KENKO HD-50"/>
    <s v="STAPLER KENKO HD-50"/>
    <n v="228000"/>
    <n v="0.13500000000000001"/>
    <m/>
    <n v="3944400"/>
    <s v="NOVI / CONDRO"/>
    <m/>
    <n v="98"/>
    <n v="1"/>
    <n v="4560000"/>
    <n v="615600"/>
    <n v="0"/>
    <n v="615600"/>
    <n v="3944400"/>
    <n v="3944400"/>
    <m/>
    <s v="STAPLER KENKO HD-50LSN22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3070029"/>
    <d v="2023-07-22T00:00:00"/>
    <n v="22"/>
    <s v="KO"/>
    <s v="2388"/>
    <s v="BENDAN"/>
    <s v="AM 23070029"/>
    <s v="KO 2388"/>
    <s v="HARNOYO (BENDAN) PEKALONGAN"/>
    <n v="36"/>
    <s v="LSN"/>
    <n v="1"/>
    <s v="TIPKENKE01"/>
    <s v="CORRECTION FLUID KENKO KE-01"/>
    <s v="CORRECTION FLUID KENKO KE-01"/>
    <n v="54300"/>
    <n v="0.14000000000000001"/>
    <m/>
    <n v="1681128"/>
    <s v="NOVI / CONDRO"/>
    <m/>
    <n v="100"/>
    <n v="2"/>
    <n v="1954800"/>
    <n v="273672"/>
    <n v="0"/>
    <n v="273672"/>
    <n v="1681128"/>
    <n v="6585192"/>
    <m/>
    <s v="CORRECTION FLUID KENKO KE-01LSN54300"/>
  </r>
  <r>
    <x v="1"/>
    <s v=""/>
    <s v=""/>
    <m/>
    <m/>
    <m/>
    <m/>
    <s v=""/>
    <s v=" "/>
    <s v=""/>
    <n v="144"/>
    <s v="LSN"/>
    <n v="1"/>
    <s v="PENKENK1HITAM"/>
    <s v="GEL PEN KENKO K-1 HITAM"/>
    <s v="GEL PEN KENKO K-1 HITAM"/>
    <n v="39600"/>
    <n v="0.14000000000000001"/>
    <m/>
    <n v="4904064"/>
    <m/>
    <m/>
    <n v="100"/>
    <n v="2"/>
    <n v="5702400"/>
    <n v="798336.00000000012"/>
    <n v="0"/>
    <n v="798336.00000000012"/>
    <n v="4904064"/>
    <s v=""/>
    <m/>
    <s v="GEL PEN KENKO K-1 HITAMLSN39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0"/>
    <n v="23070030"/>
    <d v="2023-07-24T00:00:00"/>
    <n v="24"/>
    <s v="KO"/>
    <s v="4840"/>
    <s v="LANCAR"/>
    <s v="AM 23070030"/>
    <s v="KO 4840"/>
    <s v="CV LANCAR JAYA SENTOSA MALANG"/>
    <n v="144"/>
    <s v="LSN"/>
    <n v="2"/>
    <s v="ISIJKPL11"/>
    <s v="ISI PENSIL 2B 2.0 MM JOYKO PL-11"/>
    <s v="ISI PENSIL 2B 2.0 MM JOYKO PL-11"/>
    <n v="37200"/>
    <n v="0.125"/>
    <m/>
    <n v="4687200"/>
    <s v="NOVI / CONDRO"/>
    <m/>
    <n v="104"/>
    <n v="2"/>
    <n v="5356800"/>
    <n v="669600"/>
    <n v="0"/>
    <n v="669600"/>
    <n v="4687200"/>
    <n v="7182000"/>
    <m/>
    <s v="ISI PENSIL 2B 2.0 MM JOYKO PL-11LSN37200"/>
  </r>
  <r>
    <x v="1"/>
    <s v=""/>
    <s v=""/>
    <m/>
    <m/>
    <m/>
    <m/>
    <s v=""/>
    <s v=" "/>
    <s v=""/>
    <n v="144"/>
    <s v="LSN"/>
    <n v="1"/>
    <s v="ISIJKPL10"/>
    <s v="ISI PENSIL 2B 2.0 MM JOYKO PL-10"/>
    <s v="ISI PENSIL 2B 2.0 MM JOYKO PL-10"/>
    <n v="19800"/>
    <n v="0.125"/>
    <m/>
    <n v="2494800"/>
    <m/>
    <m/>
    <n v="104"/>
    <n v="2"/>
    <n v="2851200"/>
    <n v="356400"/>
    <n v="0"/>
    <n v="356400"/>
    <n v="2494800"/>
    <s v=""/>
    <m/>
    <s v="ISI PENSIL 2B 2.0 MM JOYKO PL-10LSN19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1"/>
    <n v="23070031"/>
    <d v="2023-07-24T00:00:00"/>
    <n v="24"/>
    <s v="G"/>
    <s v="2397"/>
    <s v="REJOAGUNG"/>
    <s v="AM 23070031"/>
    <s v="G 2397"/>
    <s v="LILY JULIAWATI (REJO AGUNG) JOMBANG"/>
    <n v="7776"/>
    <s v="PCS"/>
    <n v="9"/>
    <s v="LEMJKGS104"/>
    <s v="LEM STICK JOYKO 15 GR GS-104 TG (ANIMAL KINGDOM) isi 24 pc"/>
    <s v="LEM STICK JOYKO 15 GR GS-104 TG (ANIMAL KINGDOM) isi 24 pc"/>
    <n v="2450"/>
    <n v="0.125"/>
    <m/>
    <n v="16669800"/>
    <s v="NOVI / CONDRO"/>
    <m/>
    <n v="107"/>
    <n v="2"/>
    <n v="19051200"/>
    <n v="2381400"/>
    <n v="0"/>
    <n v="2381400"/>
    <n v="16669800"/>
    <n v="18463550"/>
    <m/>
    <s v="LEM STICK JOYKO 15 GR GS-104 TG (ANIMAL KINGDOM) isi 24 pcPCS2450"/>
  </r>
  <r>
    <x v="1"/>
    <s v=""/>
    <s v=""/>
    <m/>
    <m/>
    <m/>
    <m/>
    <s v=""/>
    <s v=" "/>
    <s v=""/>
    <n v="1000"/>
    <s v="PCS"/>
    <n v="1"/>
    <s v="LABJK1LINEPUTIH"/>
    <s v="LABEL HARGA JOYKO LB-2RL (1 LINE PUTIH)"/>
    <s v="LABEL HARGA JOYKO LB-2RL (1 LINE PUTIH)"/>
    <n v="2050"/>
    <n v="0.125"/>
    <m/>
    <n v="1793750"/>
    <m/>
    <m/>
    <n v="107"/>
    <n v="2"/>
    <n v="2050000"/>
    <n v="256250"/>
    <n v="0"/>
    <n v="256250"/>
    <n v="1793750"/>
    <s v=""/>
    <m/>
    <s v="LABEL HARGA JOYKO LB-2RL (1 LINE PUTIH)PCS205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2"/>
    <n v="23070032"/>
    <d v="2023-07-24T00:00:00"/>
    <n v="24"/>
    <s v="G"/>
    <s v="2653"/>
    <s v="nikisae"/>
    <s v="AM 23070032"/>
    <s v="G 2653"/>
    <s v="GUNAWAN HARTONO KUSUMA ( NIKI SAE ) TULUNG AGUNG"/>
    <n v="144"/>
    <s v="LSN"/>
    <n v="1"/>
    <s v="PENJKGP212"/>
    <s v="GEL PEN JOYKO GP-212 I-DIAMOND"/>
    <s v="GEL PEN JOYKO GP-212 I-DIAMOND"/>
    <n v="21600"/>
    <n v="0.125"/>
    <m/>
    <n v="2721600"/>
    <s v="NOVI / CONDRO"/>
    <m/>
    <n v="110"/>
    <n v="2"/>
    <n v="3110400"/>
    <n v="388800"/>
    <n v="0"/>
    <n v="388800"/>
    <n v="2721600"/>
    <n v="7172550"/>
    <m/>
    <s v="GEL PEN JOYKO GP-212 I-DIAMONDLSN21600"/>
  </r>
  <r>
    <x v="1"/>
    <s v=""/>
    <s v=""/>
    <m/>
    <m/>
    <m/>
    <m/>
    <s v=""/>
    <s v=" "/>
    <s v=""/>
    <n v="108"/>
    <s v="LSN"/>
    <n v="3"/>
    <s v="TIPKENKE108"/>
    <s v="CORRECTION FLUID KENKO KE-108"/>
    <s v="CORRECTION FLUID KENKO KE-108"/>
    <n v="47100"/>
    <n v="0.125"/>
    <m/>
    <n v="4450950"/>
    <m/>
    <m/>
    <n v="110"/>
    <n v="2"/>
    <n v="5086800"/>
    <n v="635850"/>
    <n v="0"/>
    <n v="635850"/>
    <n v="4450950"/>
    <s v=""/>
    <m/>
    <s v="CORRECTION FLUID KENKO KE-108LSN471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3"/>
    <n v="23070033"/>
    <d v="2023-07-24T00:00:00"/>
    <n v="24"/>
    <s v="KO"/>
    <s v="2655"/>
    <s v="ANUGERAH"/>
    <s v="AM 23070033"/>
    <s v="KO 2655"/>
    <s v="CV PELITA JAYA (ANUGERAH SEJAHTERA) PURWOKERTO"/>
    <n v="432"/>
    <s v="LSN"/>
    <n v="3"/>
    <s v="PWJK12WPANJANG"/>
    <s v="PENSIL WARNA JOYKO CP-12PB (PANJANG)"/>
    <s v="PENSIL WARNA JOYKO CP-12PB (PANJANG)"/>
    <n v="10600"/>
    <n v="0.13500000000000001"/>
    <m/>
    <n v="3961008"/>
    <s v="NOVI / CONDRO"/>
    <m/>
    <n v="113"/>
    <n v="6"/>
    <n v="4579200"/>
    <n v="618192"/>
    <n v="0"/>
    <n v="618192"/>
    <n v="3961008"/>
    <n v="26192892"/>
    <m/>
    <s v="PENSIL WARNA JOYKO CP-12PB (PANJANG)LSN10600"/>
  </r>
  <r>
    <x v="1"/>
    <s v=""/>
    <s v=""/>
    <m/>
    <m/>
    <m/>
    <m/>
    <s v=""/>
    <s v=" "/>
    <s v=""/>
    <n v="100"/>
    <s v="LSN"/>
    <n v="5"/>
    <s v="STAKENHD10"/>
    <s v="STAPLER KENKO HD-10"/>
    <s v="STAPLER KENKO HD-10"/>
    <n v="93000"/>
    <n v="0.13500000000000001"/>
    <m/>
    <n v="8044500"/>
    <m/>
    <m/>
    <n v="113"/>
    <n v="6"/>
    <n v="9300000"/>
    <n v="1255500"/>
    <n v="0"/>
    <n v="1255500"/>
    <n v="8044500"/>
    <s v=""/>
    <m/>
    <s v="STAPLER KENKO HD-10LSN93000"/>
  </r>
  <r>
    <x v="1"/>
    <s v=""/>
    <s v=""/>
    <m/>
    <m/>
    <m/>
    <m/>
    <s v=""/>
    <s v=" "/>
    <s v=""/>
    <n v="60"/>
    <s v="LSN"/>
    <n v="2"/>
    <s v="CUTKENA300A"/>
    <s v="CUTTER 9 MM KENKO A-300 (KECIL)"/>
    <s v="CUTTER 9 MM KENKO A-300 (KECIL)"/>
    <n v="57000"/>
    <n v="0.13500000000000001"/>
    <m/>
    <n v="2958300"/>
    <m/>
    <m/>
    <n v="113"/>
    <n v="6"/>
    <n v="3420000"/>
    <n v="461700.00000000006"/>
    <n v="0"/>
    <n v="461700.00000000006"/>
    <n v="2958300"/>
    <s v=""/>
    <m/>
    <s v="CUTTER 9 MM KENKO A-300 (KECIL)LSN57000"/>
  </r>
  <r>
    <x v="1"/>
    <s v=""/>
    <s v=""/>
    <m/>
    <m/>
    <m/>
    <m/>
    <s v=""/>
    <s v=" "/>
    <s v=""/>
    <n v="144"/>
    <s v="LSN"/>
    <n v="1"/>
    <s v="PENJKBP338"/>
    <s v="BALLPEN JOYKO BP-338 VOCUS HITAM"/>
    <s v="BALLPEN JOYKO BP-338 VOCUS HITAM"/>
    <n v="12600"/>
    <n v="0.13500000000000001"/>
    <m/>
    <n v="1569456"/>
    <m/>
    <m/>
    <n v="113"/>
    <n v="6"/>
    <n v="1814400"/>
    <n v="244944.00000000003"/>
    <n v="0"/>
    <n v="244944.00000000003"/>
    <n v="1569456"/>
    <s v=""/>
    <m/>
    <s v="BALLPEN JOYKO BP-338 VOCUS HITAMLSN12600"/>
  </r>
  <r>
    <x v="1"/>
    <s v="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3500000000000001"/>
    <m/>
    <n v="2933388"/>
    <m/>
    <m/>
    <n v="113"/>
    <n v="6"/>
    <n v="3391200"/>
    <n v="457812.00000000006"/>
    <n v="0"/>
    <n v="457812.00000000006"/>
    <n v="2933388"/>
    <s v=""/>
    <m/>
    <s v="CORRECTION FLUID KENKO KE-108LSN47100"/>
  </r>
  <r>
    <x v="1"/>
    <s v=""/>
    <s v=""/>
    <m/>
    <m/>
    <m/>
    <m/>
    <s v=""/>
    <s v=" "/>
    <s v=""/>
    <n v="120"/>
    <s v="LSN"/>
    <n v="2"/>
    <s v="ISIKENBESAR"/>
    <s v="ISI CUTTER 18 MM KENKO L-150 (BESAR)"/>
    <s v="ISI CUTTER 18 MM KENKO L-150 (BESAR)"/>
    <n v="64800"/>
    <n v="0.13500000000000001"/>
    <m/>
    <n v="6726240"/>
    <m/>
    <m/>
    <n v="113"/>
    <n v="6"/>
    <n v="7776000"/>
    <n v="1049760"/>
    <n v="0"/>
    <n v="1049760"/>
    <n v="6726240"/>
    <s v=""/>
    <m/>
    <s v="ISI CUTTER 18 MM KENKO L-150 (BESAR)LSN64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4"/>
    <n v="23070034"/>
    <d v="2023-07-25T00:00:00"/>
    <n v="25"/>
    <s v="KO"/>
    <s v="2660"/>
    <s v="ANUGERAH"/>
    <s v="AM 23070034"/>
    <s v="KO 2660"/>
    <s v="CV PELITA JAYA (ANUGERAH SEJAHTERA) PURWOKERTO"/>
    <n v="144"/>
    <s v="LSN"/>
    <n v="3"/>
    <s v="PWKEN12WPENDEK"/>
    <s v="PENSIL WARNA KENKO CP-12HALF CLASSIC (PENDEK)"/>
    <s v="PENSIL WARNA KENKO CP-12HALF CLASSIC (PENDEK)"/>
    <n v="79200"/>
    <n v="0.13500000000000001"/>
    <m/>
    <n v="9865152"/>
    <s v="NOVI / CONDRO"/>
    <m/>
    <n v="120"/>
    <n v="1"/>
    <n v="11404800"/>
    <n v="1539648"/>
    <n v="0"/>
    <n v="1539648"/>
    <n v="9865152"/>
    <n v="9865152"/>
    <m/>
    <s v="PENSIL WARNA KENKO CP-12HALF CLASSIC (PENDEK)LSN792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5"/>
    <n v="23070035"/>
    <d v="2023-07-26T00:00:00"/>
    <n v="26"/>
    <s v="G"/>
    <s v="1625"/>
    <s v="UTAMA"/>
    <s v="AM 23070035"/>
    <s v="G 1625"/>
    <s v="CV UTAMA PUTRA TULUNG AGUNG"/>
    <n v="72"/>
    <s v="LSN"/>
    <n v="1"/>
    <s v="TIPKENKE01"/>
    <s v="CORRECTION FLUID KENKO KE-01"/>
    <s v="CORRECTION FLUID KENKO KE-01"/>
    <n v="54300"/>
    <n v="0.125"/>
    <m/>
    <n v="3420900"/>
    <s v="RISMA / CONDRO"/>
    <m/>
    <n v="122"/>
    <n v="4"/>
    <n v="3909600"/>
    <n v="488700"/>
    <n v="0"/>
    <n v="488700"/>
    <n v="3420900"/>
    <n v="9613800"/>
    <m/>
    <s v="CORRECTION FLUID KENKO KE-01LSN54300"/>
  </r>
  <r>
    <x v="1"/>
    <s v="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122"/>
    <n v="4"/>
    <n v="3391200"/>
    <n v="423900"/>
    <n v="0"/>
    <n v="423900"/>
    <n v="2967300"/>
    <s v=""/>
    <m/>
    <s v="CORRECTION FLUID KENKO KE-108LSN47100"/>
  </r>
  <r>
    <x v="1"/>
    <s v=""/>
    <s v=""/>
    <m/>
    <m/>
    <m/>
    <m/>
    <s v=""/>
    <s v=" "/>
    <s v=""/>
    <n v="72"/>
    <s v="LSN"/>
    <m/>
    <s v="PENKENSAHARASNACKHITAM"/>
    <s v="GEL PEN KENKO SAHARA SNACK (HITAM)"/>
    <s v="GEL PEN KENKO SAHARA SNACK (HITAM)"/>
    <n v="39000"/>
    <n v="0.125"/>
    <m/>
    <n v="2457000"/>
    <m/>
    <m/>
    <n v="122"/>
    <n v="4"/>
    <n v="2808000"/>
    <n v="351000"/>
    <n v="0"/>
    <n v="351000"/>
    <n v="2457000"/>
    <s v=""/>
    <m/>
    <s v="GEL PEN KENKO SAHARA SNACK (HITAM)LSN39000"/>
  </r>
  <r>
    <x v="1"/>
    <s v=""/>
    <s v=""/>
    <m/>
    <m/>
    <m/>
    <m/>
    <s v=""/>
    <s v=" "/>
    <s v=""/>
    <n v="24"/>
    <s v="LSN"/>
    <m/>
    <s v="PENKENSAHARAHITAM"/>
    <s v="GEL PEN KENKO SAHARA (HITAM)"/>
    <s v="GEL PEN KENKO SAHARA (HITAM)"/>
    <n v="36600"/>
    <n v="0.125"/>
    <m/>
    <n v="768600"/>
    <m/>
    <m/>
    <n v="122"/>
    <n v="4"/>
    <n v="878400"/>
    <n v="109800"/>
    <n v="0"/>
    <n v="109800"/>
    <n v="768600"/>
    <s v=""/>
    <m/>
    <s v="GEL PEN KENKO SAHARA (HITAM)LSN36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6"/>
    <n v="23070036"/>
    <d v="2023-07-27T00:00:00"/>
    <n v="27"/>
    <s v="KO"/>
    <s v="2676"/>
    <s v="ANUGERAH"/>
    <s v="AM 23070036"/>
    <s v="KO 2676"/>
    <s v="CV PELITA JAYA (ANUGERAH SEJAHTERA) PURWOKERTO"/>
    <n v="20"/>
    <s v="GRS"/>
    <n v="1"/>
    <s v="PENKEN6191"/>
    <s v="PENSIL KENKO 2B-6191 HIJAU CAP HITAM"/>
    <s v="PENSIL KENKO 2B-6191 HIJAU CAP HITAM"/>
    <n v="110400"/>
    <n v="0.13500000000000001"/>
    <m/>
    <n v="1909920"/>
    <s v="NOVI / CONDRO"/>
    <m/>
    <n v="127"/>
    <n v="1"/>
    <n v="2208000"/>
    <n v="298080"/>
    <n v="0"/>
    <n v="298080"/>
    <n v="1909920"/>
    <n v="1909920"/>
    <m/>
    <s v="PENSIL KENKO 2B-6191 HIJAU CAP HITAMGRS1104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7"/>
    <n v="23070037"/>
    <d v="2023-07-28T00:00:00"/>
    <n v="28"/>
    <s v="G"/>
    <s v="2677"/>
    <s v="REJOAGUNG"/>
    <s v="AM 23070037"/>
    <s v="G 2677"/>
    <s v="LILY JULIAWATI (REJO AGUNG) JOMBANG"/>
    <n v="864"/>
    <s v="PCS"/>
    <n v="1"/>
    <s v="LEMJKGS104"/>
    <s v="LEM STICK JOYKO 15 GR GS-104 TG (ANIMAL KINGDOM) isi 24 pc"/>
    <s v="LEM STICK JOYKO 15 GR GS-104 TG (ANIMAL KINGDOM) isi 24 pc"/>
    <n v="2450"/>
    <n v="0.125"/>
    <m/>
    <n v="1852200"/>
    <s v="NOVI / CONDRO"/>
    <m/>
    <n v="129"/>
    <n v="1"/>
    <n v="2116800"/>
    <n v="264600"/>
    <n v="0"/>
    <n v="264600"/>
    <n v="1852200"/>
    <n v="1852200"/>
    <m/>
    <s v="LEM STICK JOYKO 15 GR GS-104 TG (ANIMAL KINGDOM) isi 24 pcPCS245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8"/>
    <n v="23070038"/>
    <d v="2023-07-28T00:00:00"/>
    <n v="28"/>
    <s v="KO"/>
    <s v="2682"/>
    <s v="BENDAN"/>
    <s v="AM 23070038"/>
    <s v="KO 2682"/>
    <s v="HARNOYO (BENDAN) PEKALONGAN"/>
    <n v="5"/>
    <s v="LSN"/>
    <m/>
    <s v="PWKEN12WPANJANG"/>
    <s v="PENSIL WARNA KENKO CP-12F CLASSIC (PANJANG)"/>
    <s v="PENSIL WARNA KENKO CP-12F CLASSIC (PANJANG)"/>
    <n v="124200"/>
    <n v="0.125"/>
    <m/>
    <n v="543375"/>
    <s v="NOVI / CONDRO"/>
    <m/>
    <n v="131"/>
    <n v="2"/>
    <n v="621000"/>
    <n v="77625"/>
    <n v="0"/>
    <n v="77625"/>
    <n v="543375"/>
    <n v="868875"/>
    <m/>
    <s v="PENSIL WARNA KENKO CP-12F CLASSIC (PANJANG)LSN124200"/>
  </r>
  <r>
    <x v="1"/>
    <s v=""/>
    <s v=""/>
    <m/>
    <m/>
    <m/>
    <m/>
    <s v=""/>
    <s v=" "/>
    <s v=""/>
    <n v="5"/>
    <s v="LSN"/>
    <m/>
    <s v="STAKEND4"/>
    <s v="DATE STAMP KENKO D-4 (Cap Tanggal 4 Mm)"/>
    <s v="DATE STAMP KENKO D-4 (Cap Tanggal 4 Mm)"/>
    <n v="74400"/>
    <n v="0.125"/>
    <m/>
    <n v="325500"/>
    <m/>
    <m/>
    <n v="131"/>
    <n v="2"/>
    <n v="372000"/>
    <n v="46500"/>
    <n v="0"/>
    <n v="46500"/>
    <n v="325500"/>
    <s v=""/>
    <m/>
    <s v="DATE STAMP KENKO D-4 (Cap Tanggal 4 Mm)LSN744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9"/>
    <n v="23070039"/>
    <d v="2023-07-28T00:00:00"/>
    <n v="28"/>
    <s v="KO"/>
    <s v="1685"/>
    <s v="GANESHA"/>
    <s v="AM 23070039"/>
    <s v="KO 1685"/>
    <s v="CV GANESHA WONOSOBO"/>
    <n v="5"/>
    <s v="LSN"/>
    <m/>
    <s v="TIPKENKE01"/>
    <s v="CORRECTION FLUID KENKO KE-01"/>
    <s v="CORRECTION FLUID KENKO KE-01"/>
    <n v="54300"/>
    <n v="0.1"/>
    <m/>
    <n v="244350"/>
    <s v="NOVI / CONDRO"/>
    <m/>
    <n v="134"/>
    <n v="1"/>
    <n v="271500"/>
    <n v="27150"/>
    <n v="0"/>
    <n v="27150"/>
    <n v="244350"/>
    <n v="244350"/>
    <m/>
    <s v="CORRECTION FLUID KENKO KE-01LSN543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0"/>
    <n v="23070040"/>
    <d v="2023-07-28T00:00:00"/>
    <n v="28"/>
    <s v="KO"/>
    <s v="1632"/>
    <s v="NIRMALA"/>
    <s v="AM 23070040"/>
    <s v="KO 1632"/>
    <s v="CV SINAR CAHAYA NIRMALA BREBES"/>
    <n v="1"/>
    <s v="LSN"/>
    <m/>
    <s v="TIPKENCT919"/>
    <s v="CORRECTION TAPE KENKO CT-919 (12M x 5MM)"/>
    <s v="CORRECTION TAPE KENKO CT-919 (12M x 5MM)"/>
    <n v="55800"/>
    <n v="0.1"/>
    <m/>
    <n v="50220"/>
    <s v="RISMA / CONDRO"/>
    <m/>
    <n v="136"/>
    <n v="16"/>
    <n v="55800"/>
    <n v="5580"/>
    <n v="0"/>
    <n v="5580"/>
    <n v="50220"/>
    <n v="1849770"/>
    <m/>
    <s v="CORRECTION TAPE KENKO CT-919 (12M x 5MM)LSN55800"/>
  </r>
  <r>
    <x v="1"/>
    <s v=""/>
    <s v=""/>
    <m/>
    <m/>
    <m/>
    <m/>
    <s v=""/>
    <s v=" "/>
    <s v=""/>
    <n v="3"/>
    <s v="LSN"/>
    <m/>
    <s v="TIPKENKE301"/>
    <s v="CORRECTION FLUID KENKO KE-301"/>
    <s v="CORRECTION FLUID KENKO KE-301"/>
    <n v="53400"/>
    <n v="0.1"/>
    <m/>
    <n v="144180"/>
    <m/>
    <m/>
    <n v="136"/>
    <n v="16"/>
    <n v="160200"/>
    <n v="16020"/>
    <n v="0"/>
    <n v="16020"/>
    <n v="144180"/>
    <s v=""/>
    <m/>
    <s v="CORRECTION FLUID KENKO KE-301LSN53400"/>
  </r>
  <r>
    <x v="1"/>
    <s v=""/>
    <s v=""/>
    <m/>
    <m/>
    <m/>
    <m/>
    <s v=""/>
    <s v=" "/>
    <s v=""/>
    <n v="3"/>
    <s v="LSN"/>
    <m/>
    <s v="TIPKENKE826"/>
    <s v="CORRECTION FLUID KENKO KE-826M"/>
    <s v="CORRECTION FLUID KENKO KE-826M"/>
    <n v="60300"/>
    <n v="0.1"/>
    <m/>
    <n v="162810"/>
    <m/>
    <m/>
    <n v="136"/>
    <n v="16"/>
    <n v="180900"/>
    <n v="18090"/>
    <n v="0"/>
    <n v="18090"/>
    <n v="162810"/>
    <s v=""/>
    <m/>
    <s v="CORRECTION FLUID KENKO KE-826MLSN60300"/>
  </r>
  <r>
    <x v="1"/>
    <s v=""/>
    <s v=""/>
    <m/>
    <m/>
    <m/>
    <m/>
    <s v=""/>
    <s v=" "/>
    <s v=""/>
    <n v="1"/>
    <s v="LSN"/>
    <m/>
    <s v="STAKENHD10"/>
    <s v="STAPLER KENKO HD-10"/>
    <s v="STAPLER KENKO HD-10"/>
    <n v="93000"/>
    <n v="0.1"/>
    <m/>
    <n v="83700"/>
    <m/>
    <m/>
    <n v="136"/>
    <n v="16"/>
    <n v="93000"/>
    <n v="9300"/>
    <n v="0"/>
    <n v="9300"/>
    <n v="83700"/>
    <s v=""/>
    <m/>
    <s v="STAPLER KENKO HD-10LSN93000"/>
  </r>
  <r>
    <x v="1"/>
    <s v=""/>
    <s v=""/>
    <m/>
    <m/>
    <m/>
    <m/>
    <s v=""/>
    <s v=" "/>
    <s v=""/>
    <n v="1"/>
    <s v="LSN"/>
    <m/>
    <s v="STAKENHD10D"/>
    <s v="STAPLER KENKO HD-10D"/>
    <s v="STAPLER KENKO HD-10D"/>
    <n v="117600"/>
    <n v="0.1"/>
    <m/>
    <n v="105840"/>
    <m/>
    <m/>
    <n v="136"/>
    <n v="16"/>
    <n v="117600"/>
    <n v="11760"/>
    <n v="0"/>
    <n v="11760"/>
    <n v="105840"/>
    <s v=""/>
    <m/>
    <s v="STAPLER KENKO HD-10DLSN117600"/>
  </r>
  <r>
    <x v="1"/>
    <s v=""/>
    <s v=""/>
    <m/>
    <m/>
    <m/>
    <m/>
    <s v=""/>
    <s v=" "/>
    <s v=""/>
    <n v="1"/>
    <s v="LSN"/>
    <m/>
    <s v="STASDI1104"/>
    <s v="STAPLER SDI 1104"/>
    <s v="STAPLER SDI 1104"/>
    <n v="234000"/>
    <n v="0.1"/>
    <m/>
    <n v="210600"/>
    <m/>
    <m/>
    <n v="136"/>
    <n v="16"/>
    <n v="234000"/>
    <n v="23400"/>
    <n v="0"/>
    <n v="23400"/>
    <n v="210600"/>
    <s v=""/>
    <m/>
    <s v="STAPLER SDI 1104LSN234000"/>
  </r>
  <r>
    <x v="1"/>
    <s v=""/>
    <s v=""/>
    <m/>
    <m/>
    <m/>
    <m/>
    <s v=""/>
    <s v=" "/>
    <s v=""/>
    <n v="3"/>
    <s v="LSN"/>
    <m/>
    <s v="PENJKGP265"/>
    <s v="GEL PEN JOYKO GP-265 Q-GEL"/>
    <s v="GEL PEN JOYKO GP-265 Q-GEL"/>
    <n v="28200"/>
    <n v="0.1"/>
    <m/>
    <n v="76140"/>
    <m/>
    <m/>
    <n v="136"/>
    <n v="16"/>
    <n v="84600"/>
    <n v="8460"/>
    <n v="0"/>
    <n v="8460"/>
    <n v="76140"/>
    <s v=""/>
    <m/>
    <s v="GEL PEN JOYKO GP-265 Q-GELLSN28200"/>
  </r>
  <r>
    <x v="1"/>
    <s v=""/>
    <s v=""/>
    <m/>
    <m/>
    <m/>
    <m/>
    <s v=""/>
    <s v=" "/>
    <s v=""/>
    <n v="3"/>
    <s v="LSN"/>
    <m/>
    <s v="PENJKJK100"/>
    <s v="GEL PEN JOYKO JK-100 KING JELLER"/>
    <s v="GEL PEN JOYKO JK-100 KING JELLER"/>
    <n v="20400"/>
    <n v="0.1"/>
    <m/>
    <n v="55080"/>
    <m/>
    <m/>
    <n v="136"/>
    <n v="16"/>
    <n v="61200"/>
    <n v="6120"/>
    <n v="0"/>
    <n v="6120"/>
    <n v="55080"/>
    <s v=""/>
    <m/>
    <s v="GEL PEN JOYKO JK-100 KING JELLERLSN20400"/>
  </r>
  <r>
    <x v="1"/>
    <s v=""/>
    <s v=""/>
    <m/>
    <m/>
    <m/>
    <m/>
    <s v=""/>
    <s v=" "/>
    <s v=""/>
    <n v="3"/>
    <s v="LSN"/>
    <m/>
    <s v="PENJKGP243"/>
    <s v="GEL PEN JOYKO GP-243 WHIZ GEL HITAM"/>
    <s v="GEL PEN JOYKO GP-243 WHIZ GEL HITAM"/>
    <n v="24600"/>
    <n v="0.1"/>
    <m/>
    <n v="66420"/>
    <m/>
    <m/>
    <n v="136"/>
    <n v="16"/>
    <n v="73800"/>
    <n v="7380"/>
    <n v="0"/>
    <n v="7380"/>
    <n v="66420"/>
    <s v=""/>
    <m/>
    <s v="GEL PEN JOYKO GP-243 WHIZ GEL HITAMLSN24600"/>
  </r>
  <r>
    <x v="1"/>
    <s v=""/>
    <s v=""/>
    <m/>
    <m/>
    <m/>
    <m/>
    <s v=""/>
    <s v=" "/>
    <s v=""/>
    <n v="12"/>
    <s v="LSN"/>
    <m/>
    <s v="PENJKBP349"/>
    <s v="BALLPEN JOYKO BP-349-12 VOKUS TRANS HITAM (BONUS)"/>
    <s v="BALLPEN JOYKO BP-349-12 VOKUS TRANS HITAM"/>
    <n v="13200"/>
    <n v="0.1"/>
    <m/>
    <n v="142560"/>
    <m/>
    <m/>
    <n v="136"/>
    <n v="16"/>
    <n v="158400"/>
    <n v="15840"/>
    <n v="0"/>
    <n v="15840"/>
    <n v="142560"/>
    <s v=""/>
    <m/>
    <s v="BALLPEN JOYKO BP-349-12 VOKUS TRANS HITAMLSN13200"/>
  </r>
  <r>
    <x v="1"/>
    <s v=""/>
    <s v=""/>
    <m/>
    <m/>
    <m/>
    <m/>
    <s v=""/>
    <s v=" "/>
    <s v=""/>
    <n v="1"/>
    <s v="LSN"/>
    <m/>
    <s v="GUNKENSC848N"/>
    <s v="GUNTING KENKO SC-848N"/>
    <s v="GUNTING KENKO SC-848N"/>
    <n v="118800"/>
    <n v="0.1"/>
    <m/>
    <n v="106920"/>
    <m/>
    <m/>
    <n v="136"/>
    <n v="16"/>
    <n v="118800"/>
    <n v="11880"/>
    <n v="0"/>
    <n v="11880"/>
    <n v="106920"/>
    <s v=""/>
    <m/>
    <s v="GUNTING KENKO SC-848NLSN118800"/>
  </r>
  <r>
    <x v="1"/>
    <s v=""/>
    <s v=""/>
    <m/>
    <m/>
    <m/>
    <m/>
    <s v=""/>
    <s v=" "/>
    <s v=""/>
    <n v="2"/>
    <s v="LSN"/>
    <m/>
    <s v="PWJK12WPANJANG"/>
    <s v="PENSIL WARNA JOYKO CP-12PB (PANJANG)"/>
    <s v="PENSIL WARNA JOYKO CP-12PB (PANJANG)"/>
    <n v="127200"/>
    <n v="0.1"/>
    <m/>
    <n v="228960"/>
    <m/>
    <m/>
    <n v="136"/>
    <n v="16"/>
    <n v="254400"/>
    <n v="25440"/>
    <n v="0"/>
    <n v="25440"/>
    <n v="228960"/>
    <s v=""/>
    <m/>
    <s v="PENSIL WARNA JOYKO CP-12PB (PANJANG)LSN127200"/>
  </r>
  <r>
    <x v="1"/>
    <s v=""/>
    <s v=""/>
    <m/>
    <m/>
    <m/>
    <m/>
    <s v=""/>
    <s v=" "/>
    <s v=""/>
    <n v="2"/>
    <s v="LSN"/>
    <m/>
    <s v="PWKEN12WPANJANG"/>
    <s v="PENSIL WARNA KENKO CP-12F CLASSIC (PANJANG)"/>
    <s v="PENSIL WARNA KENKO CP-12F CLASSIC (PANJANG)"/>
    <n v="124200"/>
    <n v="0.1"/>
    <m/>
    <n v="223560"/>
    <m/>
    <m/>
    <n v="136"/>
    <n v="16"/>
    <n v="248400"/>
    <n v="24840"/>
    <n v="0"/>
    <n v="24840"/>
    <n v="223560"/>
    <s v=""/>
    <m/>
    <s v="PENSIL WARNA KENKO CP-12F CLASSIC (PANJANG)LSN124200"/>
  </r>
  <r>
    <x v="1"/>
    <s v=""/>
    <s v=""/>
    <m/>
    <m/>
    <m/>
    <m/>
    <s v=""/>
    <s v=" "/>
    <s v=""/>
    <n v="2"/>
    <s v="LSN"/>
    <m/>
    <s v="ISIKENKECIL"/>
    <s v="ISI CUTTER 9 MM KENKO A-100 (KECIL)"/>
    <s v="ISI CUTTER 9 MM KENKO A-100 (KECIL)"/>
    <n v="32400"/>
    <n v="0.1"/>
    <m/>
    <n v="58320"/>
    <m/>
    <m/>
    <n v="136"/>
    <n v="16"/>
    <n v="64800"/>
    <n v="6480"/>
    <n v="0"/>
    <n v="6480"/>
    <n v="58320"/>
    <s v=""/>
    <m/>
    <s v="ISI CUTTER 9 MM KENKO A-100 (KECIL)LSN32400"/>
  </r>
  <r>
    <x v="1"/>
    <s v=""/>
    <s v=""/>
    <m/>
    <m/>
    <m/>
    <m/>
    <s v=""/>
    <s v=" "/>
    <s v=""/>
    <n v="2"/>
    <s v="LSN"/>
    <m/>
    <s v="ISIKENBESAR"/>
    <s v="ISI CUTTER 18 MM KENKO L-150 (BESAR)"/>
    <s v="ISI CUTTER 18 MM KENKO L-150 (BESAR)"/>
    <n v="64800"/>
    <n v="0.1"/>
    <m/>
    <n v="116640"/>
    <m/>
    <m/>
    <n v="136"/>
    <n v="16"/>
    <n v="129600"/>
    <n v="12960"/>
    <n v="0"/>
    <n v="12960"/>
    <n v="116640"/>
    <s v=""/>
    <m/>
    <s v="ISI CUTTER 18 MM KENKO L-150 (BESAR)LSN64800"/>
  </r>
  <r>
    <x v="1"/>
    <s v=""/>
    <s v=""/>
    <m/>
    <m/>
    <m/>
    <m/>
    <s v=""/>
    <s v=" "/>
    <s v=""/>
    <n v="1"/>
    <s v="LSN"/>
    <m/>
    <s v="LEMKENLG35"/>
    <s v="LEM CAIR 35 ML KENKO LG-35"/>
    <s v="LEM CAIR 35 ML KENKO LG-35"/>
    <n v="19800"/>
    <n v="0.1"/>
    <m/>
    <n v="17820"/>
    <m/>
    <m/>
    <n v="136"/>
    <n v="16"/>
    <n v="19800"/>
    <n v="1980"/>
    <n v="0"/>
    <n v="1980"/>
    <n v="17820"/>
    <s v=""/>
    <m/>
    <s v="LEM CAIR 35 ML KENKO LG-35LSN19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1"/>
    <n v="23070041"/>
    <d v="2023-07-28T00:00:00"/>
    <n v="28"/>
    <s v="KO"/>
    <s v="1633"/>
    <s v="NIRMALA"/>
    <s v="AM 23070041"/>
    <s v="KO 1633"/>
    <s v="CV SINAR CAHAYA NIRMALA BREBES"/>
    <n v="2"/>
    <s v="BOX"/>
    <m/>
    <s v="STIJK20HITAM"/>
    <s v="STIP / PENGHAPUS JOYKO ER-B20BL HITAM"/>
    <s v="STIP / PENGHAPUS JOYKO ER-B20BL HITAM"/>
    <n v="34100"/>
    <n v="0.1"/>
    <m/>
    <n v="61380"/>
    <s v="RISMA / CONDRO"/>
    <m/>
    <n v="153"/>
    <n v="12"/>
    <n v="68200"/>
    <n v="6820"/>
    <n v="0"/>
    <n v="6820"/>
    <n v="61380"/>
    <n v="3078560"/>
    <m/>
    <s v="STIP / PENGHAPUS JOYKO ER-B20BL HITAMBOX34100"/>
  </r>
  <r>
    <x v="1"/>
    <s v=""/>
    <s v=""/>
    <m/>
    <m/>
    <m/>
    <m/>
    <s v=""/>
    <s v=" "/>
    <s v=""/>
    <n v="2"/>
    <s v="BOX"/>
    <m/>
    <s v="STIJK20PUTIH"/>
    <s v="STIP / PENGHAPUS JOYKO 526-B20 PUTIH"/>
    <s v="STIP / PENGHAPUS JOYKO 526-B20 PUTIH"/>
    <n v="34100"/>
    <n v="0.1"/>
    <m/>
    <n v="61380"/>
    <m/>
    <m/>
    <n v="153"/>
    <n v="12"/>
    <n v="68200"/>
    <n v="6820"/>
    <n v="0"/>
    <n v="6820"/>
    <n v="61380"/>
    <s v=""/>
    <m/>
    <s v="STIP / PENGHAPUS JOYKO 526-B20 PUTIHBOX34100"/>
  </r>
  <r>
    <x v="1"/>
    <s v=""/>
    <s v=""/>
    <m/>
    <m/>
    <m/>
    <m/>
    <s v=""/>
    <s v=" "/>
    <s v=""/>
    <n v="1"/>
    <s v="LSN"/>
    <m/>
    <s v="CUTKENA300A"/>
    <s v="CUTTER 9 MM KENKO A-300 (KECIL)"/>
    <s v="CUTTER 9 MM KENKO A-300 (KECIL)"/>
    <n v="57000"/>
    <n v="0.1"/>
    <m/>
    <n v="51300"/>
    <m/>
    <m/>
    <n v="153"/>
    <n v="12"/>
    <n v="57000"/>
    <n v="5700"/>
    <n v="0"/>
    <n v="5700"/>
    <n v="51300"/>
    <s v=""/>
    <m/>
    <s v="CUTTER 9 MM KENKO A-300 (KECIL)LSN57000"/>
  </r>
  <r>
    <x v="1"/>
    <s v=""/>
    <s v=""/>
    <m/>
    <m/>
    <m/>
    <m/>
    <s v=""/>
    <s v=" "/>
    <s v=""/>
    <n v="5"/>
    <s v="BOX"/>
    <m/>
    <s v="CLIKEN3"/>
    <s v="PAPER TRIGONAL CLIP KENKO NO. 3"/>
    <s v="PAPER TRIGONAL CLIP KENKO NO. 3"/>
    <n v="16000"/>
    <n v="0.1"/>
    <m/>
    <n v="72000"/>
    <m/>
    <m/>
    <n v="153"/>
    <n v="12"/>
    <n v="80000"/>
    <n v="8000"/>
    <n v="0"/>
    <n v="8000"/>
    <n v="72000"/>
    <s v=""/>
    <m/>
    <s v="PAPER TRIGONAL CLIP KENKO NO. 3BOX16000"/>
  </r>
  <r>
    <x v="1"/>
    <s v=""/>
    <s v=""/>
    <m/>
    <m/>
    <m/>
    <m/>
    <s v=""/>
    <s v=" "/>
    <s v=""/>
    <n v="1"/>
    <s v="LSN"/>
    <m/>
    <s v="PCJH220A"/>
    <s v="PENCIL CASE 23 x 8.5 MAGNET JH-220A"/>
    <s v="PENCIL CASE 23 x 8.5 MAGNET JH-220A"/>
    <n v="175000"/>
    <m/>
    <m/>
    <n v="175000"/>
    <m/>
    <m/>
    <n v="153"/>
    <n v="12"/>
    <n v="175000"/>
    <n v="0"/>
    <n v="0"/>
    <n v="0"/>
    <n v="175000"/>
    <s v=""/>
    <m/>
    <s v="PENCIL CASE 23 x 8.5 MAGNET JH-220ALSN175000"/>
  </r>
  <r>
    <x v="1"/>
    <s v=""/>
    <s v=""/>
    <m/>
    <m/>
    <m/>
    <m/>
    <s v=""/>
    <s v=" "/>
    <s v=""/>
    <n v="1"/>
    <s v="LSN"/>
    <m/>
    <s v="PCAC1762"/>
    <s v="PENCIL CASE 22 x 7.5 MAGNET AC-1762"/>
    <s v="PENCIL CASE 22 x 7.5 MAGNET AC-1762 COWOK"/>
    <n v="175000"/>
    <m/>
    <m/>
    <n v="175000"/>
    <m/>
    <m/>
    <n v="153"/>
    <n v="12"/>
    <n v="175000"/>
    <n v="0"/>
    <n v="0"/>
    <n v="0"/>
    <n v="175000"/>
    <s v=""/>
    <m/>
    <s v="PENCIL CASE 22 x 7.5 MAGNET AC-1762 COWOKLSN175000"/>
  </r>
  <r>
    <x v="1"/>
    <s v=""/>
    <s v=""/>
    <m/>
    <m/>
    <m/>
    <m/>
    <s v=""/>
    <s v=" "/>
    <s v=""/>
    <n v="1"/>
    <s v="LSN"/>
    <m/>
    <s v="PCAC1762"/>
    <s v="PENCIL CASE 22 x 7.5 MAGNET AC-1762"/>
    <s v="PENCIL CASE 22 x 7.5 MAGNET AC-1762 CEWEK"/>
    <n v="175000"/>
    <m/>
    <m/>
    <n v="175000"/>
    <m/>
    <m/>
    <n v="153"/>
    <n v="12"/>
    <n v="175000"/>
    <n v="0"/>
    <n v="0"/>
    <n v="0"/>
    <n v="175000"/>
    <s v=""/>
    <m/>
    <s v="PENCIL CASE 22 x 7.5 MAGNET AC-1762 CEWEKLSN175000"/>
  </r>
  <r>
    <x v="1"/>
    <s v=""/>
    <s v=""/>
    <m/>
    <m/>
    <m/>
    <m/>
    <s v=""/>
    <s v=" "/>
    <s v=""/>
    <n v="1"/>
    <s v="LSN"/>
    <m/>
    <s v="PCFC1758"/>
    <s v="PENCIL CASE 22 x 7.5 MAGNET FC-1758"/>
    <s v="PENCIL CASE 22 x 7.5 MAGNET FC-1758"/>
    <n v="175000"/>
    <m/>
    <m/>
    <n v="175000"/>
    <m/>
    <m/>
    <n v="153"/>
    <n v="12"/>
    <n v="175000"/>
    <n v="0"/>
    <n v="0"/>
    <n v="0"/>
    <n v="175000"/>
    <s v=""/>
    <m/>
    <s v="PENCIL CASE 22 x 7.5 MAGNET FC-1758LSN175000"/>
  </r>
  <r>
    <x v="1"/>
    <s v=""/>
    <s v=""/>
    <m/>
    <m/>
    <m/>
    <m/>
    <s v=""/>
    <s v=" "/>
    <s v=""/>
    <n v="1"/>
    <s v="LSN"/>
    <m/>
    <s v="PCFX2275"/>
    <s v="PENCIL CASE 22 x 7.5 MAGNET FX-2275 (METALIK)"/>
    <s v="PENCIL CASE 22 x 7.5 MAGNET FX-2275 (METALIK)"/>
    <n v="200000"/>
    <m/>
    <m/>
    <n v="200000"/>
    <m/>
    <m/>
    <n v="153"/>
    <n v="12"/>
    <n v="200000"/>
    <n v="0"/>
    <n v="0"/>
    <n v="0"/>
    <n v="200000"/>
    <s v=""/>
    <m/>
    <s v="PENCIL CASE 22 x 7.5 MAGNET FX-2275 (METALIK)LSN200000"/>
  </r>
  <r>
    <x v="1"/>
    <s v=""/>
    <s v=""/>
    <m/>
    <m/>
    <m/>
    <m/>
    <s v=""/>
    <s v=" "/>
    <s v=""/>
    <n v="1"/>
    <s v="LSN"/>
    <m/>
    <s v="PCC1755"/>
    <s v="PENCIL CASE 22 x 7.5 MAGNET C-1755-1"/>
    <s v="PENCIL CASE 22 x 7.5 MAGNET C-1755-1"/>
    <n v="175000"/>
    <m/>
    <m/>
    <n v="175000"/>
    <m/>
    <m/>
    <n v="153"/>
    <n v="12"/>
    <n v="175000"/>
    <n v="0"/>
    <n v="0"/>
    <n v="0"/>
    <n v="175000"/>
    <s v=""/>
    <m/>
    <s v="PENCIL CASE 22 x 7.5 MAGNET C-1755-1LSN175000"/>
  </r>
  <r>
    <x v="1"/>
    <s v=""/>
    <s v=""/>
    <m/>
    <m/>
    <m/>
    <m/>
    <s v=""/>
    <s v=" "/>
    <s v=""/>
    <n v="25"/>
    <s v="PAK"/>
    <m/>
    <s v="LLJKA5100"/>
    <s v="LOOSE LEAF JOYKO A5-7020 (100S)"/>
    <s v="LOOSE LEAF JOYKO A5-7020 (100S)"/>
    <n v="7000"/>
    <n v="0.1"/>
    <m/>
    <n v="157500"/>
    <m/>
    <m/>
    <n v="153"/>
    <n v="12"/>
    <n v="175000"/>
    <n v="17500"/>
    <n v="0"/>
    <n v="17500"/>
    <n v="157500"/>
    <s v=""/>
    <m/>
    <s v="LOOSE LEAF JOYKO A5-7020 (100S)PAK7000"/>
  </r>
  <r>
    <x v="1"/>
    <s v=""/>
    <s v=""/>
    <m/>
    <m/>
    <m/>
    <m/>
    <s v=""/>
    <s v=" "/>
    <s v=""/>
    <n v="200"/>
    <s v="PAK"/>
    <n v="1"/>
    <s v="SAMBOXKWBTK"/>
    <s v="SAMPUL SAMSON KWARTO BATIK"/>
    <s v="SAMPUL SAMSON KWARTO BATIK"/>
    <n v="8000"/>
    <m/>
    <m/>
    <n v="1600000"/>
    <m/>
    <m/>
    <n v="153"/>
    <n v="12"/>
    <n v="1600000"/>
    <n v="0"/>
    <n v="0"/>
    <n v="0"/>
    <n v="1600000"/>
    <s v=""/>
    <m/>
    <s v="SAMPUL SAMSON KWARTO BATIKPAK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2"/>
    <n v="23070042"/>
    <d v="2023-07-29T00:00:00"/>
    <n v="29"/>
    <s v="G"/>
    <s v="2686"/>
    <s v="REJOAGUNG"/>
    <s v="AM 23070042"/>
    <s v="G 2686"/>
    <s v="LILY JULIAWATI (REJO AGUNG) JOMBANG"/>
    <n v="288"/>
    <s v="PCS"/>
    <n v="1"/>
    <s v="PCJK0719"/>
    <e v="#N/A"/>
    <s v="PENCIL CASE JOYKO PC-0719 FANCY"/>
    <n v="4800"/>
    <n v="0.125"/>
    <m/>
    <n v="1209600"/>
    <s v="NOVI / CONDRO"/>
    <m/>
    <n v="166"/>
    <n v="3"/>
    <n v="1382400"/>
    <n v="172800"/>
    <n v="0"/>
    <n v="172800"/>
    <n v="1209600"/>
    <n v="9185400"/>
    <m/>
    <s v="PENCIL CASE JOYKO PC-0719 FANCYPCS4800"/>
  </r>
  <r>
    <x v="1"/>
    <s v=""/>
    <s v=""/>
    <m/>
    <m/>
    <m/>
    <m/>
    <s v=""/>
    <s v=" "/>
    <s v=""/>
    <n v="216"/>
    <s v="PCS"/>
    <n v="3"/>
    <s v="BNJKCAMPUS"/>
    <e v="#N/A"/>
    <s v="BINDER NOTE JOYKO A5 (CAMPUS/CLASSIC)"/>
    <n v="15800"/>
    <n v="0.125"/>
    <m/>
    <n v="2986200"/>
    <m/>
    <m/>
    <n v="166"/>
    <n v="3"/>
    <n v="3412800"/>
    <n v="426600"/>
    <n v="0"/>
    <n v="426600"/>
    <n v="2986200"/>
    <s v=""/>
    <m/>
    <s v="BINDER NOTE JOYKO A5 (CAMPUS/CLASSIC)PCS15800"/>
  </r>
  <r>
    <x v="1"/>
    <s v=""/>
    <s v=""/>
    <m/>
    <m/>
    <m/>
    <m/>
    <s v=""/>
    <s v=" "/>
    <s v=""/>
    <n v="288"/>
    <s v="LSN"/>
    <n v="2"/>
    <s v="ISIJKPL10"/>
    <s v="ISI PENSIL 2B 2.0 MM JOYKO PL-10"/>
    <s v="ISI PENSIL 2B 2.0 MM JOYKO PL-10"/>
    <n v="19800"/>
    <n v="0.125"/>
    <m/>
    <n v="4989600"/>
    <m/>
    <m/>
    <n v="166"/>
    <n v="3"/>
    <n v="5702400"/>
    <n v="712800"/>
    <n v="0"/>
    <n v="712800"/>
    <n v="4989600"/>
    <s v=""/>
    <m/>
    <s v="ISI PENSIL 2B 2.0 MM JOYKO PL-10LSN19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3"/>
    <n v="23070043"/>
    <d v="2023-07-31T00:00:00"/>
    <n v="31"/>
    <s v="KO"/>
    <s v="2379"/>
    <s v="wisuda"/>
    <s v="AM 23070043"/>
    <s v="KO 2379"/>
    <s v="CV  WISUDA PURWOKERTO"/>
    <n v="10"/>
    <s v="LSN"/>
    <m/>
    <s v="ISIKENKECIL"/>
    <s v="ISI CUTTER 9 MM KENKO A-100 (KECIL)"/>
    <s v="ISI CUTTER 9 MM KENKO A-100 (KECIL)"/>
    <n v="32400"/>
    <n v="0.1"/>
    <m/>
    <n v="291600"/>
    <s v="NOVI / CONDRO"/>
    <m/>
    <n v="170"/>
    <n v="3"/>
    <n v="324000"/>
    <n v="32400"/>
    <n v="0"/>
    <n v="32400"/>
    <n v="291600"/>
    <n v="727200"/>
    <m/>
    <s v="ISI CUTTER 9 MM KENKO A-100 (KECIL)LSN32400"/>
  </r>
  <r>
    <x v="1"/>
    <s v=""/>
    <s v=""/>
    <m/>
    <m/>
    <m/>
    <m/>
    <s v=""/>
    <s v=" "/>
    <s v=""/>
    <n v="100"/>
    <s v="PCS"/>
    <m/>
    <m/>
    <s v="HIGHLIGHTER / STABILLO JOYKO HL-MIX PINK / ORANGE"/>
    <s v="HIGHLIGHTER / STABILLO JOYKO HL-MIX PINK / ORANGE"/>
    <n v="3700"/>
    <n v="0.1"/>
    <m/>
    <n v="333000"/>
    <m/>
    <m/>
    <n v="170"/>
    <n v="3"/>
    <n v="370000"/>
    <n v="37000"/>
    <n v="0"/>
    <n v="37000"/>
    <n v="333000"/>
    <s v=""/>
    <m/>
    <s v="HIGHLIGHTER / STABILLO JOYKO HL-MIX PINK / ORANGEPCS3700"/>
  </r>
  <r>
    <x v="1"/>
    <s v=""/>
    <s v=""/>
    <m/>
    <m/>
    <m/>
    <m/>
    <s v=""/>
    <s v=" "/>
    <s v=""/>
    <n v="2"/>
    <s v="LSN"/>
    <m/>
    <s v="CUTKENA300A"/>
    <s v="CUTTER 9 MM KENKO A-300 (KECIL)"/>
    <s v="CUTTER 9 MM KENKO A-300 (KECIL)"/>
    <n v="57000"/>
    <n v="0.1"/>
    <m/>
    <n v="102600"/>
    <m/>
    <m/>
    <n v="170"/>
    <n v="3"/>
    <n v="114000"/>
    <n v="11400"/>
    <n v="0"/>
    <n v="11400"/>
    <n v="102600"/>
    <s v=""/>
    <m/>
    <s v="CUTTER 9 MM KENKO A-300 (KECIL)LSN57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4"/>
    <n v="23070044"/>
    <d v="2023-07-31T00:00:00"/>
    <n v="31"/>
    <s v="KO"/>
    <s v="1816"/>
    <s v="ANUGERAH"/>
    <s v="AM 23070044"/>
    <s v="KO 1816"/>
    <s v="CV PELITA JAYA (ANUGERAH SEJAHTERA) PURWOKERTO"/>
    <n v="288"/>
    <s v="LSN"/>
    <n v="2"/>
    <s v="PENJKBP338"/>
    <s v="BALLPEN JOYKO BP-338 VOCUS HITAM"/>
    <s v="BALLPEN JOYKO BP-338 VOCUS HITAM"/>
    <n v="12600"/>
    <n v="0.13500000000000001"/>
    <m/>
    <n v="3138912"/>
    <s v="NOVI / CONDRO"/>
    <m/>
    <n v="174"/>
    <n v="1"/>
    <n v="3628800"/>
    <n v="489888.00000000006"/>
    <n v="0"/>
    <n v="489888.00000000006"/>
    <n v="3138912"/>
    <n v="3138912"/>
    <m/>
    <s v="BALLPEN JOYKO BP-338 VOCUS HITAMLSN12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PENSIL ZHONG HUA 6925-2B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SPIDOL PERMANEN KENKO KE-10 (KECIL)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50" firstHeaderRow="1" firstDataRow="1" firstDataCol="1"/>
  <pivotFields count="32">
    <pivotField axis="axisRow" showAll="0" sortType="ascending">
      <items count="5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m="1" x="45"/>
        <item x="26"/>
        <item m="1" x="47"/>
        <item x="27"/>
        <item m="1" x="48"/>
        <item x="28"/>
        <item m="1" x="46"/>
        <item x="29"/>
        <item m="1" x="4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1"/>
        <item t="default"/>
      </items>
    </pivotField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6"/>
    </i>
    <i>
      <x v="28"/>
    </i>
    <i>
      <x v="30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formats count="1">
    <format dxfId="61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64" totalsRowCount="1" headerRowDxfId="98" dataDxfId="97" totalsRowDxfId="96">
  <autoFilter ref="A2:AF263"/>
  <tableColumns count="32">
    <tableColumn id="16" name="//" dataDxfId="95" totalsRowDxfId="32">
      <calculatedColumnFormula>IF(Table1[[#This Row],[No. Invoice :]]="","",ROW())</calculatedColumnFormula>
    </tableColumn>
    <tableColumn id="18" name="h_No. Invoice :" dataDxfId="94" totalsRowDxfId="31">
      <calculatedColumnFormula>IF(Table1[h_Kode Sales :_1]="","",B$1+COUNT(INDIRECT("B$2:B"&amp;ROW()-1)))</calculatedColumnFormula>
    </tableColumn>
    <tableColumn id="2" name="Tgl Invoice :" dataDxfId="93" totalsRowDxfId="30">
      <calculatedColumnFormula>IF(Table1[[#This Row],[H_TGL]]="","",Table1[[#This Row],[H_TGL]]+C$1-1)</calculatedColumnFormula>
    </tableColumn>
    <tableColumn id="32" name="H_TGL" dataDxfId="92" totalsRowDxfId="29"/>
    <tableColumn id="17" name="h_Kode Sales :_1" dataDxfId="91" totalsRowDxfId="28"/>
    <tableColumn id="19" name="h_Kode Sales :_2" dataDxfId="90" totalsRowDxfId="27"/>
    <tableColumn id="20" name="h_toko" dataDxfId="89" totalsRowDxfId="26"/>
    <tableColumn id="1" name="No. Invoice :" dataDxfId="88" totalsRowDxfId="25">
      <calculatedColumnFormula>IF(Table1[[#This Row],[h_No. Invoice :]]="","",CONCATENATE("AM"," ",Table1[[#This Row],[h_No. Invoice :]]))</calculatedColumnFormula>
    </tableColumn>
    <tableColumn id="3" name="Kode Sales :" dataDxfId="87" totalsRowDxfId="24">
      <calculatedColumnFormula>CONCATENATE(UPPER(Table1[[#This Row],[h_Kode Sales :_1]])," ",Table1[[#This Row],[h_Kode Sales :_2]])</calculatedColumnFormula>
    </tableColumn>
    <tableColumn id="4" name="Toko" dataDxfId="86" totalsRowDxfId="23">
      <calculatedColumnFormula>IF(Table1[[#This Row],[h_toko]]="","",INDEX(Table2[e],IF(Table1[[#This Row],[h_toko]]="","",MATCH(Table1[[#This Row],[h_toko]],Table2[a],0)),))</calculatedColumnFormula>
    </tableColumn>
    <tableColumn id="5" name="Qty" dataDxfId="85" totalsRowDxfId="22"/>
    <tableColumn id="6" name="Unit" dataDxfId="84" totalsRowDxfId="21"/>
    <tableColumn id="7" name="C" dataDxfId="83" totalsRowDxfId="20"/>
    <tableColumn id="8" name="h_Item Description" dataDxfId="82" totalsRowDxfId="19"/>
    <tableColumn id="10" name="Column1" dataDxfId="81" totalsRowDxfId="18">
      <calculatedColumnFormula>IF(Table1[[#This Row],[h_Item Description]]="","",INDEX([1]!db[NB PAJAK],MATCH(Table1[[#This Row],[h_Item Description]],[1]!db[kode],0)))</calculatedColumnFormula>
    </tableColumn>
    <tableColumn id="9" name="Item Description" dataDxfId="80" totalsRowDxfId="17"/>
    <tableColumn id="11" name="Unit Price" dataDxfId="79" totalsRowDxfId="16"/>
    <tableColumn id="12" name="Disc 1" dataDxfId="78" totalsRowDxfId="15"/>
    <tableColumn id="13" name="Disc 2" dataDxfId="77" totalsRowDxfId="14"/>
    <tableColumn id="23" name="Amount" dataDxfId="76" totalsRowDxfId="13">
      <calculatedColumnFormula>Table1[[#This Row],[h_hargasetelahdiskon]]</calculatedColumnFormula>
    </tableColumn>
    <tableColumn id="14" name="pembuat nota :" dataDxfId="75" totalsRowDxfId="12"/>
    <tableColumn id="15" name="edited :" dataDxfId="74" totalsRowDxfId="11"/>
    <tableColumn id="21" name="h_id" dataDxfId="73" totalsRowDxfId="10">
      <calculatedColumnFormula>IF(Table1[[#This Row],[Item Description]]="","",IF(Table1[[#This Row],[//]]="",INDIRECT(ADDRESS(ROW()-1,COLUMN())),Table1[[#This Row],[//]]))</calculatedColumnFormula>
    </tableColumn>
    <tableColumn id="22" name="h_jumlahbarang" dataDxfId="72" totalsRowDxfId="9">
      <calculatedColumnFormula>IF(Table1[[#This Row],[h_id]]="","",COUNTIF(Table1[h_id],Table1[[#This Row],[h_id]]))</calculatedColumnFormula>
    </tableColumn>
    <tableColumn id="24" name="h_hargasebelumdiskon" dataDxfId="71" totalsRowDxfId="8">
      <calculatedColumnFormula>IF(Table1[Item Description]="","",Table1[[#This Row],[Qty]]*Table1[[#This Row],[Unit Price]])</calculatedColumnFormula>
    </tableColumn>
    <tableColumn id="31" name="h_disc 1" dataDxfId="70" totalsRowDxfId="7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69" totalsRowDxfId="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68" totalsRowDxfId="5">
      <calculatedColumnFormula>IF(Table1[Item Description]="","",Table1[[#This Row],[h_disc 1]]+Table1[[#This Row],[h_disc 2]])</calculatedColumnFormula>
    </tableColumn>
    <tableColumn id="26" name="h_hargasetelahdiskon" dataDxfId="67" totalsRowDxfId="4">
      <calculatedColumnFormula>IF(Table1[Item Description]="","",Table1[[#This Row],[h_hargasebelumdiskon]]-Table1[[#This Row],[h_diskon]])</calculatedColumnFormula>
    </tableColumn>
    <tableColumn id="27" name="Total Invoice" dataDxfId="66" totalsRowDxfId="3">
      <calculatedColumnFormula>IF(Table1[//]="","",SUMIF(Table1[h_id],Table1[h_id],Table1[h_hargasetelahdiskon]))</calculatedColumnFormula>
    </tableColumn>
    <tableColumn id="28" name="KETERANGAN" dataDxfId="65" totalsRowDxfId="2"/>
    <tableColumn id="29" name="H_A1" dataDxfId="64" totalsRowDxfId="1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4:O58" totalsRowCount="1" headerRowDxfId="60">
  <autoFilter ref="C4:O57"/>
  <tableColumns count="13">
    <tableColumn id="1" name="//" totalsRowLabel="Total" dataDxfId="59">
      <calculatedColumnFormula>IF(ROW()-(COUNTBLANK($C$1:$C$3)+1)&lt;=jNota,A5,"")</calculatedColumnFormula>
    </tableColumn>
    <tableColumn id="2" name="No. Invoice :" dataDxfId="58">
      <calculatedColumnFormula>IF(pajak[[#This Row],[//]]="","",INDEX(Table1[No. Invoice :],pajak[//]-offset))</calculatedColumnFormula>
    </tableColumn>
    <tableColumn id="3" name="Tgl Invoice :" dataDxfId="57">
      <calculatedColumnFormula>IF(pajak[[#This Row],[//]]="","",INDEX(Table1[Tgl Invoice :],pajak[//]-offset))</calculatedColumnFormula>
    </tableColumn>
    <tableColumn id="4" name="Kode Sales :" dataDxfId="56">
      <calculatedColumnFormula>IF(pajak[[#This Row],[//]]="","",INDEX(Table1[Kode Sales :],pajak[//]-offset))</calculatedColumnFormula>
    </tableColumn>
    <tableColumn id="5" name="Toko" dataDxfId="55">
      <calculatedColumnFormula>IF(pajak[[#This Row],[//]]="","",INDEX(Table1[Toko],pajak[//]-offset))</calculatedColumnFormula>
    </tableColumn>
    <tableColumn id="6" name="Total" totalsRowFunction="sum" dataDxfId="54" totalsRowDxfId="53">
      <calculatedColumnFormula>IF(pajak[[#This Row],[//]]="","",SUMIF(Table1[h_id],pajak[[#This Row],[//]],Table1[h_hargasebelumdiskon]))</calculatedColumnFormula>
    </tableColumn>
    <tableColumn id="7" name="Diskon" totalsRowFunction="sum" dataDxfId="52" totalsRowDxfId="51">
      <calculatedColumnFormula>IF(pajak[[#This Row],[//]]="","",SUMIF(Table1[h_id],pajak[[#This Row],[//]],Table1[h_diskon]))</calculatedColumnFormula>
    </tableColumn>
    <tableColumn id="8" name="Sub Total" totalsRowFunction="sum" dataDxfId="50" totalsRowDxfId="49">
      <calculatedColumnFormula>IF(pajak[[#This Row],[//]]="","",SUMIF(Table1[h_id],pajak[[#This Row],[//]],Table1[h_hargasetelahdiskon]))</calculatedColumnFormula>
    </tableColumn>
    <tableColumn id="9" name="PPN 11%" totalsRowFunction="sum" dataDxfId="48" totalsRowDxfId="47">
      <calculatedColumnFormula>IF(pajak[//]="","",pajak[[#This Row],[Sub Total]]/1.11*11%)</calculatedColumnFormula>
    </tableColumn>
    <tableColumn id="10" name="Total Invoice" totalsRowFunction="sum" dataDxfId="46" totalsRowDxfId="45">
      <calculatedColumnFormula>pajak[[#This Row],[Sub Total]]</calculatedColumnFormula>
    </tableColumn>
    <tableColumn id="14" name="pembuat nota" dataDxfId="44">
      <calculatedColumnFormula>IF(pajak[[#This Row],[//]]="","",INDEX(Table1[pembuat nota :],pajak[//]-offset))</calculatedColumnFormula>
    </tableColumn>
    <tableColumn id="15" name="edited" dataDxfId="43">
      <calculatedColumnFormula>IF(pajak[[#This Row],[//]]="","",IF(INDEX(Table1[edited :],pajak[//]-offset)="","",INDEX(Table1[edited :],pajak[//]-offset)))</calculatedColumnFormula>
    </tableColumn>
    <tableColumn id="12" name="4" dataDxfId="4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Q4:W57" totalsRowShown="0" headerRowDxfId="41">
  <autoFilter ref="Q4:W57"/>
  <tableColumns count="7">
    <tableColumn id="8" name="AM" dataDxfId="40">
      <calculatedColumnFormula>Table4[[#Headers],[AM]]</calculatedColumnFormula>
    </tableColumn>
    <tableColumn id="2" name="---" dataDxfId="39">
      <calculatedColumnFormula>R$3+ROW()-5</calculatedColumnFormula>
    </tableColumn>
    <tableColumn id="7" name="No. Invoice :" dataDxfId="38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37">
      <calculatedColumnFormula>IF((INDEX(INDIRECT($3:$3),Table4[[#This Row],[No. Invoice :]]+$2:$2))=INDIRECT("pajak[@["&amp;Table4[#Headers]&amp;"]]"),1)</calculatedColumnFormula>
    </tableColumn>
    <tableColumn id="6" name="Tgl Invoice :" dataDxfId="36">
      <calculatedColumnFormula>IF((INDEX(INDIRECT($3:$3),Table4[[#This Row],[No. Invoice :]]+$2:$2))=INDIRECT("pajak[@["&amp;Table4[#Headers]&amp;"]]"),1)</calculatedColumnFormula>
    </tableColumn>
    <tableColumn id="4" name="Total Invoice" dataDxfId="35">
      <calculatedColumnFormula>IF((INDEX(INDIRECT($3:$3),Table4[[#This Row],[No. Invoice :]]+$2:$2))=INDIRECT("pajak[@["&amp;Table4[#Headers]&amp;"]]"),1)</calculatedColumnFormula>
    </tableColumn>
    <tableColumn id="3" name="pembuat nota" dataDxfId="34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1" totalsRowShown="0">
  <autoFilter ref="A2:E21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3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64"/>
  <sheetViews>
    <sheetView topLeftCell="C160" zoomScale="85" zoomScaleNormal="85" workbookViewId="0">
      <selection activeCell="T174" sqref="T174"/>
    </sheetView>
  </sheetViews>
  <sheetFormatPr defaultRowHeight="15" x14ac:dyDescent="0.25"/>
  <cols>
    <col min="1" max="1" width="4.7109375" style="281" customWidth="1"/>
    <col min="2" max="2" width="9.28515625" style="281" customWidth="1"/>
    <col min="3" max="3" width="10.85546875" style="282" customWidth="1"/>
    <col min="4" max="4" width="10.85546875" style="293" customWidth="1"/>
    <col min="5" max="5" width="6.7109375" style="281" customWidth="1"/>
    <col min="6" max="6" width="5.140625" style="283" customWidth="1"/>
    <col min="7" max="7" width="11.85546875" style="281" customWidth="1"/>
    <col min="8" max="8" width="12.5703125" style="281" customWidth="1"/>
    <col min="9" max="9" width="8" style="290" customWidth="1"/>
    <col min="10" max="10" width="50.85546875" style="281" customWidth="1"/>
    <col min="11" max="11" width="5.140625" style="281" customWidth="1"/>
    <col min="12" max="12" width="4.85546875" style="281" customWidth="1"/>
    <col min="13" max="13" width="3.140625" style="281" customWidth="1"/>
    <col min="14" max="14" width="24.42578125" style="281" customWidth="1"/>
    <col min="15" max="15" width="46.5703125" style="281" customWidth="1"/>
    <col min="16" max="16" width="52.42578125" style="281" customWidth="1"/>
    <col min="17" max="17" width="11.5703125" style="281" customWidth="1"/>
    <col min="18" max="18" width="7.140625" style="284" customWidth="1"/>
    <col min="19" max="19" width="7.140625" style="285" customWidth="1"/>
    <col min="20" max="20" width="14.28515625" style="285" customWidth="1"/>
    <col min="21" max="21" width="16.85546875" style="284" customWidth="1"/>
    <col min="22" max="22" width="15" style="281" customWidth="1"/>
    <col min="23" max="23" width="4.140625" style="281" customWidth="1"/>
    <col min="24" max="24" width="3.140625" style="281" customWidth="1"/>
    <col min="25" max="27" width="14.28515625" style="281" customWidth="1"/>
    <col min="28" max="28" width="13.28515625" style="284" customWidth="1"/>
    <col min="29" max="29" width="14.28515625" style="284" customWidth="1"/>
    <col min="30" max="30" width="25.5703125" style="284" customWidth="1"/>
    <col min="31" max="31" width="59.28515625" style="281" bestFit="1" customWidth="1"/>
    <col min="32" max="16384" width="9.140625" style="281"/>
  </cols>
  <sheetData>
    <row r="1" spans="1:32" x14ac:dyDescent="0.25">
      <c r="A1" s="281" t="e">
        <f>cou</f>
        <v>#NAME?</v>
      </c>
      <c r="B1" s="281">
        <v>23070001</v>
      </c>
      <c r="C1" s="282">
        <v>45108</v>
      </c>
      <c r="I1" s="281"/>
      <c r="Q1" s="284"/>
      <c r="R1" s="285"/>
      <c r="T1" s="284"/>
      <c r="U1" s="281"/>
      <c r="Y1" s="284"/>
      <c r="Z1" s="284"/>
      <c r="AA1" s="284"/>
      <c r="AD1" s="281"/>
    </row>
    <row r="2" spans="1:32" x14ac:dyDescent="0.25">
      <c r="A2" s="281" t="s">
        <v>14</v>
      </c>
      <c r="B2" s="281" t="s">
        <v>30</v>
      </c>
      <c r="C2" s="286" t="s">
        <v>2</v>
      </c>
      <c r="D2" s="294" t="s">
        <v>121</v>
      </c>
      <c r="E2" s="281" t="s">
        <v>31</v>
      </c>
      <c r="F2" s="283" t="s">
        <v>32</v>
      </c>
      <c r="G2" s="281" t="s">
        <v>38</v>
      </c>
      <c r="H2" s="287" t="s">
        <v>1</v>
      </c>
      <c r="I2" s="287" t="s">
        <v>3</v>
      </c>
      <c r="J2" s="281" t="s">
        <v>4</v>
      </c>
      <c r="K2" s="281" t="s">
        <v>5</v>
      </c>
      <c r="L2" s="281" t="s">
        <v>6</v>
      </c>
      <c r="M2" s="281" t="s">
        <v>7</v>
      </c>
      <c r="N2" s="281" t="s">
        <v>83</v>
      </c>
      <c r="O2" s="281" t="s">
        <v>0</v>
      </c>
      <c r="P2" s="281" t="s">
        <v>8</v>
      </c>
      <c r="Q2" s="284" t="s">
        <v>9</v>
      </c>
      <c r="R2" s="285" t="s">
        <v>10</v>
      </c>
      <c r="S2" s="285" t="s">
        <v>11</v>
      </c>
      <c r="T2" s="284" t="s">
        <v>20</v>
      </c>
      <c r="U2" s="281" t="s">
        <v>12</v>
      </c>
      <c r="V2" s="281" t="s">
        <v>13</v>
      </c>
      <c r="W2" s="281" t="s">
        <v>40</v>
      </c>
      <c r="X2" s="281" t="s">
        <v>45</v>
      </c>
      <c r="Y2" s="284" t="s">
        <v>47</v>
      </c>
      <c r="Z2" s="284" t="s">
        <v>105</v>
      </c>
      <c r="AA2" s="284" t="s">
        <v>106</v>
      </c>
      <c r="AB2" s="284" t="s">
        <v>48</v>
      </c>
      <c r="AC2" s="284" t="s">
        <v>49</v>
      </c>
      <c r="AD2" s="281" t="s">
        <v>53</v>
      </c>
      <c r="AE2" s="281" t="s">
        <v>85</v>
      </c>
      <c r="AF2" s="281" t="s">
        <v>99</v>
      </c>
    </row>
    <row r="3" spans="1:32" x14ac:dyDescent="0.25">
      <c r="A3" s="288">
        <f ca="1">IF(Table1[[#This Row],[No. Invoice :]]="","",ROW())</f>
        <v>3</v>
      </c>
      <c r="B3" s="288">
        <f ca="1">IF(Table1[h_Kode Sales :_1]="","",B$1+COUNT(INDIRECT("B$2:B"&amp;ROW()-1)))</f>
        <v>23070001</v>
      </c>
      <c r="C3" s="282">
        <f>IF(Table1[[#This Row],[H_TGL]]="","",Table1[[#This Row],[H_TGL]]+C$1-1)</f>
        <v>45111</v>
      </c>
      <c r="D3" s="293">
        <v>4</v>
      </c>
      <c r="E3" s="281" t="s">
        <v>122</v>
      </c>
      <c r="F3" s="283" t="s">
        <v>123</v>
      </c>
      <c r="G3" s="281" t="s">
        <v>75</v>
      </c>
      <c r="H3" s="288" t="str">
        <f ca="1">IF(Table1[[#This Row],[h_No. Invoice :]]="","",CONCATENATE("AM"," ",Table1[[#This Row],[h_No. Invoice :]]))</f>
        <v>AM 23070001</v>
      </c>
      <c r="I3" s="289" t="str">
        <f>CONCATENATE(UPPER(Table1[[#This Row],[h_Kode Sales :_1]])," ",Table1[[#This Row],[h_Kode Sales :_2]])</f>
        <v>KO 4721</v>
      </c>
      <c r="J3" s="288" t="str">
        <f>IF(Table1[[#This Row],[h_toko]]="","",INDEX(Table2[e],IF(Table1[[#This Row],[h_toko]]="","",MATCH(Table1[[#This Row],[h_toko]],Table2[a],0)),))</f>
        <v>CV SINAR CAHAYA NIRMALA BREBES</v>
      </c>
      <c r="K3" s="281">
        <v>2</v>
      </c>
      <c r="L3" s="281" t="s">
        <v>124</v>
      </c>
      <c r="O3" s="288" t="str">
        <f>IF(Table1[[#This Row],[h_Item Description]]="","",INDEX([1]!db[NB PAJAK],MATCH(Table1[[#This Row],[h_Item Description]],[1]!db[kode],0)))</f>
        <v/>
      </c>
      <c r="P3" s="281" t="s">
        <v>126</v>
      </c>
      <c r="Q3" s="284">
        <v>21600</v>
      </c>
      <c r="R3" s="285">
        <v>0.1</v>
      </c>
      <c r="T3" s="284">
        <f>Table1[[#This Row],[h_hargasetelahdiskon]]</f>
        <v>38880</v>
      </c>
      <c r="U3" s="284" t="s">
        <v>128</v>
      </c>
      <c r="W3" s="288">
        <f ca="1">IF(Table1[[#This Row],[Item Description]]="","",IF(Table1[[#This Row],[//]]="",INDIRECT(ADDRESS(ROW()-1,COLUMN())),Table1[[#This Row],[//]]))</f>
        <v>3</v>
      </c>
      <c r="X3" s="288">
        <f ca="1">IF(Table1[[#This Row],[h_id]]="","",COUNTIF(Table1[h_id],Table1[[#This Row],[h_id]]))</f>
        <v>2</v>
      </c>
      <c r="Y3" s="284">
        <f>IF(Table1[Item Description]="","",Table1[[#This Row],[Qty]]*Table1[[#This Row],[Unit Price]])</f>
        <v>43200</v>
      </c>
      <c r="Z3" s="284">
        <f>IF(Table1[[#This Row],[h_hargasebelumdiskon]]="","",IF(Table1[[#This Row],[Disc 1]]="",0,Table1[[#This Row],[h_hargasebelumdiskon]]*Table1[[#This Row],[Disc 1]]))</f>
        <v>4320</v>
      </c>
      <c r="AA3" s="284">
        <f>IF(Table1[[#This Row],[h_hargasebelumdiskon]]="","",IF(Table1[[#This Row],[Disc 2]]="",0,(Table1[[#This Row],[h_hargasebelumdiskon]]-Table1[[#This Row],[h_disc 1]])*Table1[[#This Row],[Disc 2]]))</f>
        <v>0</v>
      </c>
      <c r="AB3" s="284">
        <f>IF(Table1[Item Description]="","",Table1[[#This Row],[h_disc 1]]+Table1[[#This Row],[h_disc 2]])</f>
        <v>4320</v>
      </c>
      <c r="AC3" s="284">
        <f>IF(Table1[Item Description]="","",Table1[[#This Row],[h_hargasebelumdiskon]]-Table1[[#This Row],[h_diskon]])</f>
        <v>38880</v>
      </c>
      <c r="AD3" s="284">
        <f ca="1">IF(Table1[//]="","",SUMIF(Table1[h_id],Table1[h_id],Table1[h_hargasetelahdiskon]))</f>
        <v>578880</v>
      </c>
      <c r="AE3" s="284"/>
      <c r="AF3" s="284" t="str">
        <f>Table1[[#This Row],[Item Description]]&amp;Table1[[#This Row],[Unit]]&amp;Table1[[#This Row],[Unit Price]]</f>
        <v>LEM SUPER 3 GR KENKO SG-03A (isi 12 pc)LS21600</v>
      </c>
    </row>
    <row r="4" spans="1:32" x14ac:dyDescent="0.25">
      <c r="A4" s="288" t="str">
        <f ca="1">IF(Table1[[#This Row],[No. Invoice :]]="","",ROW())</f>
        <v/>
      </c>
      <c r="B4" s="288" t="str">
        <f ca="1">IF(Table1[h_Kode Sales :_1]="","",B$1+COUNT(INDIRECT("B$2:B"&amp;ROW()-1)))</f>
        <v/>
      </c>
      <c r="C4" s="282" t="str">
        <f>IF(Table1[[#This Row],[H_TGL]]="","",Table1[[#This Row],[H_TGL]]+C$1-1)</f>
        <v/>
      </c>
      <c r="H4" s="288" t="str">
        <f ca="1">IF(Table1[[#This Row],[h_No. Invoice :]]="","",CONCATENATE("AM"," ",Table1[[#This Row],[h_No. Invoice :]]))</f>
        <v/>
      </c>
      <c r="I4" s="289" t="str">
        <f>CONCATENATE(UPPER(Table1[[#This Row],[h_Kode Sales :_1]])," ",Table1[[#This Row],[h_Kode Sales :_2]])</f>
        <v xml:space="preserve"> </v>
      </c>
      <c r="J4" s="288" t="str">
        <f>IF(Table1[[#This Row],[h_toko]]="","",INDEX(Table2[e],IF(Table1[[#This Row],[h_toko]]="","",MATCH(Table1[[#This Row],[h_toko]],Table2[a],0)),))</f>
        <v/>
      </c>
      <c r="K4" s="281">
        <v>20</v>
      </c>
      <c r="L4" s="281" t="s">
        <v>125</v>
      </c>
      <c r="O4" s="288" t="str">
        <f>IF(Table1[[#This Row],[h_Item Description]]="","",INDEX([1]!db[NB PAJAK],MATCH(Table1[[#This Row],[h_Item Description]],[1]!db[kode],0)))</f>
        <v/>
      </c>
      <c r="P4" s="288" t="s">
        <v>127</v>
      </c>
      <c r="Q4" s="284">
        <v>30000</v>
      </c>
      <c r="R4" s="285">
        <v>0.1</v>
      </c>
      <c r="T4" s="284">
        <f>Table1[[#This Row],[h_hargasetelahdiskon]]</f>
        <v>540000</v>
      </c>
      <c r="W4" s="288">
        <f ca="1">IF(Table1[[#This Row],[Item Description]]="","",IF(Table1[[#This Row],[//]]="",INDIRECT(ADDRESS(ROW()-1,COLUMN())),Table1[[#This Row],[//]]))</f>
        <v>3</v>
      </c>
      <c r="X4" s="288">
        <f ca="1">IF(Table1[[#This Row],[h_id]]="","",COUNTIF(Table1[h_id],Table1[[#This Row],[h_id]]))</f>
        <v>2</v>
      </c>
      <c r="Y4" s="284">
        <f>IF(Table1[Item Description]="","",Table1[[#This Row],[Qty]]*Table1[[#This Row],[Unit Price]])</f>
        <v>600000</v>
      </c>
      <c r="Z4" s="284">
        <f>IF(Table1[[#This Row],[h_hargasebelumdiskon]]="","",IF(Table1[[#This Row],[Disc 1]]="",0,Table1[[#This Row],[h_hargasebelumdiskon]]*Table1[[#This Row],[Disc 1]]))</f>
        <v>60000</v>
      </c>
      <c r="AA4" s="284">
        <f>IF(Table1[[#This Row],[h_hargasebelumdiskon]]="","",IF(Table1[[#This Row],[Disc 2]]="",0,(Table1[[#This Row],[h_hargasebelumdiskon]]-Table1[[#This Row],[h_disc 1]])*Table1[[#This Row],[Disc 2]]))</f>
        <v>0</v>
      </c>
      <c r="AB4" s="284">
        <f>IF(Table1[Item Description]="","",Table1[[#This Row],[h_disc 1]]+Table1[[#This Row],[h_disc 2]])</f>
        <v>60000</v>
      </c>
      <c r="AC4" s="284">
        <f>IF(Table1[Item Description]="","",Table1[[#This Row],[h_hargasebelumdiskon]]-Table1[[#This Row],[h_diskon]])</f>
        <v>540000</v>
      </c>
      <c r="AD4" s="284" t="str">
        <f ca="1">IF(Table1[//]="","",SUMIF(Table1[h_id],Table1[h_id],Table1[h_hargasetelahdiskon]))</f>
        <v/>
      </c>
      <c r="AE4" s="284"/>
      <c r="AF4" s="284" t="str">
        <f>Table1[[#This Row],[Item Description]]&amp;Table1[[#This Row],[Unit]]&amp;Table1[[#This Row],[Unit Price]]</f>
        <v>STIP / PENGHAPUS KENKO ERB-20SQ HITAMBOX30000</v>
      </c>
    </row>
    <row r="5" spans="1:32" x14ac:dyDescent="0.25">
      <c r="A5" s="288" t="str">
        <f ca="1">IF(Table1[[#This Row],[No. Invoice :]]="","",ROW())</f>
        <v/>
      </c>
      <c r="B5" s="288" t="str">
        <f ca="1">IF(Table1[h_Kode Sales :_1]="","",B$1+COUNT(INDIRECT("B$2:B"&amp;ROW()-1)))</f>
        <v/>
      </c>
      <c r="C5" s="282" t="str">
        <f>IF(Table1[[#This Row],[H_TGL]]="","",Table1[[#This Row],[H_TGL]]+C$1-1)</f>
        <v/>
      </c>
      <c r="H5" s="288" t="str">
        <f ca="1">IF(Table1[[#This Row],[h_No. Invoice :]]="","",CONCATENATE("AM"," ",Table1[[#This Row],[h_No. Invoice :]]))</f>
        <v/>
      </c>
      <c r="I5" s="289" t="str">
        <f>CONCATENATE(UPPER(Table1[[#This Row],[h_Kode Sales :_1]])," ",Table1[[#This Row],[h_Kode Sales :_2]])</f>
        <v xml:space="preserve"> </v>
      </c>
      <c r="J5" s="288" t="str">
        <f>IF(Table1[[#This Row],[h_toko]]="","",INDEX(Table2[e],IF(Table1[[#This Row],[h_toko]]="","",MATCH(Table1[[#This Row],[h_toko]],Table2[a],0)),))</f>
        <v/>
      </c>
      <c r="O5" s="288" t="str">
        <f>IF(Table1[[#This Row],[h_Item Description]]="","",INDEX([1]!db[NB PAJAK],MATCH(Table1[[#This Row],[h_Item Description]],[1]!db[kode],0)))</f>
        <v/>
      </c>
      <c r="Q5" s="284"/>
      <c r="R5" s="285"/>
      <c r="T5" s="284" t="str">
        <f>Table1[[#This Row],[h_hargasetelahdiskon]]</f>
        <v/>
      </c>
      <c r="W5" s="288" t="str">
        <f ca="1">IF(Table1[[#This Row],[Item Description]]="","",IF(Table1[[#This Row],[//]]="",INDIRECT(ADDRESS(ROW()-1,COLUMN())),Table1[[#This Row],[//]]))</f>
        <v/>
      </c>
      <c r="X5" s="288" t="str">
        <f ca="1">IF(Table1[[#This Row],[h_id]]="","",COUNTIF(Table1[h_id],Table1[[#This Row],[h_id]]))</f>
        <v/>
      </c>
      <c r="Y5" s="284" t="str">
        <f>IF(Table1[Item Description]="","",Table1[[#This Row],[Qty]]*Table1[[#This Row],[Unit Price]])</f>
        <v/>
      </c>
      <c r="Z5" s="284" t="str">
        <f>IF(Table1[[#This Row],[h_hargasebelumdiskon]]="","",IF(Table1[[#This Row],[Disc 1]]="",0,Table1[[#This Row],[h_hargasebelumdiskon]]*Table1[[#This Row],[Disc 1]]))</f>
        <v/>
      </c>
      <c r="AA5" s="284" t="str">
        <f>IF(Table1[[#This Row],[h_hargasebelumdiskon]]="","",IF(Table1[[#This Row],[Disc 2]]="",0,(Table1[[#This Row],[h_hargasebelumdiskon]]-Table1[[#This Row],[h_disc 1]])*Table1[[#This Row],[Disc 2]]))</f>
        <v/>
      </c>
      <c r="AB5" s="284" t="str">
        <f>IF(Table1[Item Description]="","",Table1[[#This Row],[h_disc 1]]+Table1[[#This Row],[h_disc 2]])</f>
        <v/>
      </c>
      <c r="AC5" s="284" t="str">
        <f>IF(Table1[Item Description]="","",Table1[[#This Row],[h_hargasebelumdiskon]]-Table1[[#This Row],[h_diskon]])</f>
        <v/>
      </c>
      <c r="AD5" s="284" t="str">
        <f ca="1">IF(Table1[//]="","",SUMIF(Table1[h_id],Table1[h_id],Table1[h_hargasetelahdiskon]))</f>
        <v/>
      </c>
      <c r="AE5" s="284"/>
      <c r="AF5" s="284" t="str">
        <f>Table1[[#This Row],[Item Description]]&amp;Table1[[#This Row],[Unit]]&amp;Table1[[#This Row],[Unit Price]]</f>
        <v/>
      </c>
    </row>
    <row r="6" spans="1:32" x14ac:dyDescent="0.25">
      <c r="A6" s="288">
        <f ca="1">IF(Table1[[#This Row],[No. Invoice :]]="","",ROW())</f>
        <v>6</v>
      </c>
      <c r="B6" s="288">
        <f ca="1">IF(Table1[h_Kode Sales :_1]="","",B$1+COUNT(INDIRECT("B$2:B"&amp;ROW()-1)))</f>
        <v>23070002</v>
      </c>
      <c r="C6" s="282">
        <f>IF(Table1[[#This Row],[H_TGL]]="","",Table1[[#This Row],[H_TGL]]+C$1-1)</f>
        <v>45112</v>
      </c>
      <c r="D6" s="293">
        <v>5</v>
      </c>
      <c r="E6" s="281" t="s">
        <v>129</v>
      </c>
      <c r="F6" s="283" t="s">
        <v>130</v>
      </c>
      <c r="G6" s="281" t="s">
        <v>114</v>
      </c>
      <c r="H6" s="288" t="str">
        <f ca="1">IF(Table1[[#This Row],[h_No. Invoice :]]="","",CONCATENATE("AM"," ",Table1[[#This Row],[h_No. Invoice :]]))</f>
        <v>AM 23070002</v>
      </c>
      <c r="I6" s="289" t="str">
        <f>CONCATENATE(UPPER(Table1[[#This Row],[h_Kode Sales :_1]])," ",Table1[[#This Row],[h_Kode Sales :_2]])</f>
        <v>G 4920</v>
      </c>
      <c r="J6" s="288" t="str">
        <f>IF(Table1[[#This Row],[h_toko]]="","",INDEX(Table2[e],IF(Table1[[#This Row],[h_toko]]="","",MATCH(Table1[[#This Row],[h_toko]],Table2[a],0)),))</f>
        <v>GUNAWAN HARTONO KUSUMA ( NIKI SAE ) TULUNG AGUNG</v>
      </c>
      <c r="K6" s="281">
        <v>80</v>
      </c>
      <c r="L6" s="281" t="s">
        <v>124</v>
      </c>
      <c r="M6" s="281">
        <v>2</v>
      </c>
      <c r="O6" s="288" t="str">
        <f>IF(Table1[[#This Row],[h_Item Description]]="","",INDEX([1]!db[NB PAJAK],MATCH(Table1[[#This Row],[h_Item Description]],[1]!db[kode],0)))</f>
        <v/>
      </c>
      <c r="P6" s="281" t="s">
        <v>132</v>
      </c>
      <c r="Q6" s="284">
        <v>49200</v>
      </c>
      <c r="R6" s="285">
        <v>0.125</v>
      </c>
      <c r="T6" s="284">
        <f>Table1[[#This Row],[h_hargasetelahdiskon]]</f>
        <v>3444000</v>
      </c>
      <c r="U6" s="284" t="s">
        <v>134</v>
      </c>
      <c r="W6" s="288">
        <f ca="1">IF(Table1[[#This Row],[Item Description]]="","",IF(Table1[[#This Row],[//]]="",INDIRECT(ADDRESS(ROW()-1,COLUMN())),Table1[[#This Row],[//]]))</f>
        <v>6</v>
      </c>
      <c r="X6" s="288">
        <f ca="1">IF(Table1[[#This Row],[h_id]]="","",COUNTIF(Table1[h_id],Table1[[#This Row],[h_id]]))</f>
        <v>2</v>
      </c>
      <c r="Y6" s="284">
        <f>IF(Table1[Item Description]="","",Table1[[#This Row],[Qty]]*Table1[[#This Row],[Unit Price]])</f>
        <v>3936000</v>
      </c>
      <c r="Z6" s="284">
        <f>IF(Table1[[#This Row],[h_hargasebelumdiskon]]="","",IF(Table1[[#This Row],[Disc 1]]="",0,Table1[[#This Row],[h_hargasebelumdiskon]]*Table1[[#This Row],[Disc 1]]))</f>
        <v>492000</v>
      </c>
      <c r="AA6" s="284">
        <f>IF(Table1[[#This Row],[h_hargasebelumdiskon]]="","",IF(Table1[[#This Row],[Disc 2]]="",0,(Table1[[#This Row],[h_hargasebelumdiskon]]-Table1[[#This Row],[h_disc 1]])*Table1[[#This Row],[Disc 2]]))</f>
        <v>0</v>
      </c>
      <c r="AB6" s="284">
        <f>IF(Table1[Item Description]="","",Table1[[#This Row],[h_disc 1]]+Table1[[#This Row],[h_disc 2]])</f>
        <v>492000</v>
      </c>
      <c r="AC6" s="284">
        <f>IF(Table1[Item Description]="","",Table1[[#This Row],[h_hargasebelumdiskon]]-Table1[[#This Row],[h_diskon]])</f>
        <v>3444000</v>
      </c>
      <c r="AD6" s="284">
        <f ca="1">IF(Table1[//]="","",SUMIF(Table1[h_id],Table1[h_id],Table1[h_hargasetelahdiskon]))</f>
        <v>9980250</v>
      </c>
      <c r="AE6" s="284"/>
      <c r="AF6" s="284" t="str">
        <f>Table1[[#This Row],[Item Description]]&amp;Table1[[#This Row],[Unit]]&amp;Table1[[#This Row],[Unit Price]]</f>
        <v>ISI CUTTER 18 MM JOYKO L-150 MH (BESAR)LS49200</v>
      </c>
    </row>
    <row r="7" spans="1:32" x14ac:dyDescent="0.25">
      <c r="A7" s="288" t="str">
        <f ca="1">IF(Table1[[#This Row],[No. Invoice :]]="","",ROW())</f>
        <v/>
      </c>
      <c r="B7" s="288" t="str">
        <f ca="1">IF(Table1[h_Kode Sales :_1]="","",B$1+COUNT(INDIRECT("B$2:B"&amp;ROW()-1)))</f>
        <v/>
      </c>
      <c r="C7" s="282" t="str">
        <f>IF(Table1[[#This Row],[H_TGL]]="","",Table1[[#This Row],[H_TGL]]+C$1-1)</f>
        <v/>
      </c>
      <c r="H7" s="288" t="str">
        <f ca="1">IF(Table1[[#This Row],[h_No. Invoice :]]="","",CONCATENATE("AM"," ",Table1[[#This Row],[h_No. Invoice :]]))</f>
        <v/>
      </c>
      <c r="I7" s="289" t="str">
        <f>CONCATENATE(UPPER(Table1[[#This Row],[h_Kode Sales :_1]])," ",Table1[[#This Row],[h_Kode Sales :_2]])</f>
        <v xml:space="preserve"> </v>
      </c>
      <c r="J7" s="288" t="str">
        <f>IF(Table1[[#This Row],[h_toko]]="","",INDEX(Table2[e],IF(Table1[[#This Row],[h_toko]]="","",MATCH(Table1[[#This Row],[h_toko]],Table2[a],0)),))</f>
        <v/>
      </c>
      <c r="K7" s="281">
        <v>180</v>
      </c>
      <c r="L7" s="281" t="s">
        <v>131</v>
      </c>
      <c r="M7" s="281">
        <v>5</v>
      </c>
      <c r="O7" s="288" t="str">
        <f>IF(Table1[[#This Row],[h_Item Description]]="","",INDEX([1]!db[NB PAJAK],MATCH(Table1[[#This Row],[h_Item Description]],[1]!db[kode],0)))</f>
        <v/>
      </c>
      <c r="P7" s="281" t="s">
        <v>133</v>
      </c>
      <c r="Q7" s="284">
        <v>41500</v>
      </c>
      <c r="R7" s="285">
        <v>0.125</v>
      </c>
      <c r="T7" s="284">
        <f>Table1[[#This Row],[h_hargasetelahdiskon]]</f>
        <v>6536250</v>
      </c>
      <c r="W7" s="288">
        <f ca="1">IF(Table1[[#This Row],[Item Description]]="","",IF(Table1[[#This Row],[//]]="",INDIRECT(ADDRESS(ROW()-1,COLUMN())),Table1[[#This Row],[//]]))</f>
        <v>6</v>
      </c>
      <c r="X7" s="288">
        <f ca="1">IF(Table1[[#This Row],[h_id]]="","",COUNTIF(Table1[h_id],Table1[[#This Row],[h_id]]))</f>
        <v>2</v>
      </c>
      <c r="Y7" s="284">
        <f>IF(Table1[Item Description]="","",Table1[[#This Row],[Qty]]*Table1[[#This Row],[Unit Price]])</f>
        <v>7470000</v>
      </c>
      <c r="Z7" s="284">
        <f>IF(Table1[[#This Row],[h_hargasebelumdiskon]]="","",IF(Table1[[#This Row],[Disc 1]]="",0,Table1[[#This Row],[h_hargasebelumdiskon]]*Table1[[#This Row],[Disc 1]]))</f>
        <v>933750</v>
      </c>
      <c r="AA7" s="284">
        <f>IF(Table1[[#This Row],[h_hargasebelumdiskon]]="","",IF(Table1[[#This Row],[Disc 2]]="",0,(Table1[[#This Row],[h_hargasebelumdiskon]]-Table1[[#This Row],[h_disc 1]])*Table1[[#This Row],[Disc 2]]))</f>
        <v>0</v>
      </c>
      <c r="AB7" s="284">
        <f>IF(Table1[Item Description]="","",Table1[[#This Row],[h_disc 1]]+Table1[[#This Row],[h_disc 2]])</f>
        <v>933750</v>
      </c>
      <c r="AC7" s="284">
        <f>IF(Table1[Item Description]="","",Table1[[#This Row],[h_hargasebelumdiskon]]-Table1[[#This Row],[h_diskon]])</f>
        <v>6536250</v>
      </c>
      <c r="AD7" s="284" t="str">
        <f ca="1">IF(Table1[//]="","",SUMIF(Table1[h_id],Table1[h_id],Table1[h_hargasetelahdiskon]))</f>
        <v/>
      </c>
      <c r="AE7" s="284"/>
      <c r="AF7" s="284" t="str">
        <f>Table1[[#This Row],[Item Description]]&amp;Table1[[#This Row],[Unit]]&amp;Table1[[#This Row],[Unit Price]]</f>
        <v>CRAYON / OIL PASTEL JOYKO OP-36S PP CASE SEA WORLDPC41500</v>
      </c>
    </row>
    <row r="8" spans="1:32" x14ac:dyDescent="0.25">
      <c r="A8" s="288" t="str">
        <f ca="1">IF(Table1[[#This Row],[No. Invoice :]]="","",ROW())</f>
        <v/>
      </c>
      <c r="B8" s="288" t="str">
        <f ca="1">IF(Table1[h_Kode Sales :_1]="","",B$1+COUNT(INDIRECT("B$2:B"&amp;ROW()-1)))</f>
        <v/>
      </c>
      <c r="C8" s="282" t="str">
        <f>IF(Table1[[#This Row],[H_TGL]]="","",Table1[[#This Row],[H_TGL]]+C$1-1)</f>
        <v/>
      </c>
      <c r="H8" s="288" t="str">
        <f ca="1">IF(Table1[[#This Row],[h_No. Invoice :]]="","",CONCATENATE("AM"," ",Table1[[#This Row],[h_No. Invoice :]]))</f>
        <v/>
      </c>
      <c r="I8" s="289" t="str">
        <f>CONCATENATE(UPPER(Table1[[#This Row],[h_Kode Sales :_1]])," ",Table1[[#This Row],[h_Kode Sales :_2]])</f>
        <v xml:space="preserve"> </v>
      </c>
      <c r="J8" s="288" t="str">
        <f>IF(Table1[[#This Row],[h_toko]]="","",INDEX(Table2[e],IF(Table1[[#This Row],[h_toko]]="","",MATCH(Table1[[#This Row],[h_toko]],Table2[a],0)),))</f>
        <v/>
      </c>
      <c r="O8" s="288" t="str">
        <f>IF(Table1[[#This Row],[h_Item Description]]="","",INDEX([1]!db[NB PAJAK],MATCH(Table1[[#This Row],[h_Item Description]],[1]!db[kode],0)))</f>
        <v/>
      </c>
      <c r="Q8" s="284"/>
      <c r="R8" s="285"/>
      <c r="T8" s="284" t="str">
        <f>Table1[[#This Row],[h_hargasetelahdiskon]]</f>
        <v/>
      </c>
      <c r="W8" s="288" t="str">
        <f ca="1">IF(Table1[[#This Row],[Item Description]]="","",IF(Table1[[#This Row],[//]]="",INDIRECT(ADDRESS(ROW()-1,COLUMN())),Table1[[#This Row],[//]]))</f>
        <v/>
      </c>
      <c r="X8" s="288" t="str">
        <f ca="1">IF(Table1[[#This Row],[h_id]]="","",COUNTIF(Table1[h_id],Table1[[#This Row],[h_id]]))</f>
        <v/>
      </c>
      <c r="Y8" s="284" t="str">
        <f>IF(Table1[Item Description]="","",Table1[[#This Row],[Qty]]*Table1[[#This Row],[Unit Price]])</f>
        <v/>
      </c>
      <c r="Z8" s="284" t="str">
        <f>IF(Table1[[#This Row],[h_hargasebelumdiskon]]="","",IF(Table1[[#This Row],[Disc 1]]="",0,Table1[[#This Row],[h_hargasebelumdiskon]]*Table1[[#This Row],[Disc 1]]))</f>
        <v/>
      </c>
      <c r="AA8" s="284" t="str">
        <f>IF(Table1[[#This Row],[h_hargasebelumdiskon]]="","",IF(Table1[[#This Row],[Disc 2]]="",0,(Table1[[#This Row],[h_hargasebelumdiskon]]-Table1[[#This Row],[h_disc 1]])*Table1[[#This Row],[Disc 2]]))</f>
        <v/>
      </c>
      <c r="AB8" s="284" t="str">
        <f>IF(Table1[Item Description]="","",Table1[[#This Row],[h_disc 1]]+Table1[[#This Row],[h_disc 2]])</f>
        <v/>
      </c>
      <c r="AC8" s="284" t="str">
        <f>IF(Table1[Item Description]="","",Table1[[#This Row],[h_hargasebelumdiskon]]-Table1[[#This Row],[h_diskon]])</f>
        <v/>
      </c>
      <c r="AD8" s="284" t="str">
        <f ca="1">IF(Table1[//]="","",SUMIF(Table1[h_id],Table1[h_id],Table1[h_hargasetelahdiskon]))</f>
        <v/>
      </c>
      <c r="AE8" s="284"/>
      <c r="AF8" s="284" t="str">
        <f>Table1[[#This Row],[Item Description]]&amp;Table1[[#This Row],[Unit]]&amp;Table1[[#This Row],[Unit Price]]</f>
        <v/>
      </c>
    </row>
    <row r="9" spans="1:32" x14ac:dyDescent="0.25">
      <c r="A9" s="288">
        <f ca="1">IF(Table1[[#This Row],[No. Invoice :]]="","",ROW())</f>
        <v>9</v>
      </c>
      <c r="B9" s="288">
        <f ca="1">IF(Table1[h_Kode Sales :_1]="","",B$1+COUNT(INDIRECT("B$2:B"&amp;ROW()-1)))</f>
        <v>23070003</v>
      </c>
      <c r="C9" s="282">
        <f>IF(Table1[[#This Row],[H_TGL]]="","",Table1[[#This Row],[H_TGL]]+C$1-1)</f>
        <v>45113</v>
      </c>
      <c r="D9" s="293">
        <v>6</v>
      </c>
      <c r="E9" s="281" t="s">
        <v>122</v>
      </c>
      <c r="F9" s="283" t="s">
        <v>141</v>
      </c>
      <c r="G9" s="281" t="s">
        <v>84</v>
      </c>
      <c r="H9" s="288" t="str">
        <f ca="1">IF(Table1[[#This Row],[h_No. Invoice :]]="","",CONCATENATE("AM"," ",Table1[[#This Row],[h_No. Invoice :]]))</f>
        <v>AM 23070003</v>
      </c>
      <c r="I9" s="289" t="str">
        <f>CONCATENATE(UPPER(Table1[[#This Row],[h_Kode Sales :_1]])," ",Table1[[#This Row],[h_Kode Sales :_2]])</f>
        <v>KO 4928</v>
      </c>
      <c r="J9" s="288" t="str">
        <f>IF(Table1[[#This Row],[h_toko]]="","",INDEX(Table2[e],IF(Table1[[#This Row],[h_toko]]="","",MATCH(Table1[[#This Row],[h_toko]],Table2[a],0)),))</f>
        <v>CV PELITA JAYA (ANUGERAH SEJAHTERA) PURWOKERTO</v>
      </c>
      <c r="K9" s="281">
        <v>720</v>
      </c>
      <c r="L9" s="281" t="s">
        <v>142</v>
      </c>
      <c r="M9" s="281">
        <v>5</v>
      </c>
      <c r="N9" s="281" t="s">
        <v>144</v>
      </c>
      <c r="O9" s="288" t="str">
        <f>IF(Table1[[#This Row],[h_Item Description]]="","",INDEX([1]!db[NB PAJAK],MATCH(Table1[[#This Row],[h_Item Description]],[1]!db[kode],0)))</f>
        <v>GEL PEN KENKO HI-TECH-H 0.28 MM HITAM</v>
      </c>
      <c r="P9" s="281" t="s">
        <v>146</v>
      </c>
      <c r="Q9" s="284">
        <v>39000</v>
      </c>
      <c r="R9" s="285">
        <v>0.13500000000000001</v>
      </c>
      <c r="T9" s="284">
        <f>Table1[[#This Row],[h_hargasetelahdiskon]]</f>
        <v>24289200</v>
      </c>
      <c r="U9" s="284" t="s">
        <v>149</v>
      </c>
      <c r="W9" s="288">
        <f ca="1">IF(Table1[[#This Row],[Item Description]]="","",IF(Table1[[#This Row],[//]]="",INDIRECT(ADDRESS(ROW()-1,COLUMN())),Table1[[#This Row],[//]]))</f>
        <v>9</v>
      </c>
      <c r="X9" s="288">
        <f ca="1">IF(Table1[[#This Row],[h_id]]="","",COUNTIF(Table1[h_id],Table1[[#This Row],[h_id]]))</f>
        <v>3</v>
      </c>
      <c r="Y9" s="284">
        <f>IF(Table1[Item Description]="","",Table1[[#This Row],[Qty]]*Table1[[#This Row],[Unit Price]])</f>
        <v>28080000</v>
      </c>
      <c r="Z9" s="284">
        <f>IF(Table1[[#This Row],[h_hargasebelumdiskon]]="","",IF(Table1[[#This Row],[Disc 1]]="",0,Table1[[#This Row],[h_hargasebelumdiskon]]*Table1[[#This Row],[Disc 1]]))</f>
        <v>3790800.0000000005</v>
      </c>
      <c r="AA9" s="284">
        <f>IF(Table1[[#This Row],[h_hargasebelumdiskon]]="","",IF(Table1[[#This Row],[Disc 2]]="",0,(Table1[[#This Row],[h_hargasebelumdiskon]]-Table1[[#This Row],[h_disc 1]])*Table1[[#This Row],[Disc 2]]))</f>
        <v>0</v>
      </c>
      <c r="AB9" s="284">
        <f>IF(Table1[Item Description]="","",Table1[[#This Row],[h_disc 1]]+Table1[[#This Row],[h_disc 2]])</f>
        <v>3790800.0000000005</v>
      </c>
      <c r="AC9" s="284">
        <f>IF(Table1[Item Description]="","",Table1[[#This Row],[h_hargasebelumdiskon]]-Table1[[#This Row],[h_diskon]])</f>
        <v>24289200</v>
      </c>
      <c r="AD9" s="284">
        <f ca="1">IF(Table1[//]="","",SUMIF(Table1[h_id],Table1[h_id],Table1[h_hargasetelahdiskon]))</f>
        <v>43944768</v>
      </c>
      <c r="AE9" s="284"/>
      <c r="AF9" s="284" t="str">
        <f>Table1[[#This Row],[Item Description]]&amp;Table1[[#This Row],[Unit]]&amp;Table1[[#This Row],[Unit Price]]</f>
        <v>GEL PEN KENKO HI-TECH-H 0.28 MM HITAMLSN39000</v>
      </c>
    </row>
    <row r="10" spans="1:32" x14ac:dyDescent="0.25">
      <c r="A10" s="288" t="str">
        <f ca="1">IF(Table1[[#This Row],[No. Invoice :]]="","",ROW())</f>
        <v/>
      </c>
      <c r="B10" s="288" t="str">
        <f ca="1">IF(Table1[h_Kode Sales :_1]="","",B$1+COUNT(INDIRECT("B$2:B"&amp;ROW()-1)))</f>
        <v/>
      </c>
      <c r="C10" s="282" t="str">
        <f>IF(Table1[[#This Row],[H_TGL]]="","",Table1[[#This Row],[H_TGL]]+C$1-1)</f>
        <v/>
      </c>
      <c r="H10" s="288" t="str">
        <f ca="1">IF(Table1[[#This Row],[h_No. Invoice :]]="","",CONCATENATE("AM"," ",Table1[[#This Row],[h_No. Invoice :]]))</f>
        <v/>
      </c>
      <c r="I10" s="289" t="str">
        <f>CONCATENATE(UPPER(Table1[[#This Row],[h_Kode Sales :_1]])," ",Table1[[#This Row],[h_Kode Sales :_2]])</f>
        <v xml:space="preserve"> </v>
      </c>
      <c r="J10" s="288" t="str">
        <f>IF(Table1[[#This Row],[h_toko]]="","",INDEX(Table2[e],IF(Table1[[#This Row],[h_toko]]="","",MATCH(Table1[[#This Row],[h_toko]],Table2[a],0)),))</f>
        <v/>
      </c>
      <c r="K10" s="281">
        <v>864</v>
      </c>
      <c r="L10" s="281" t="s">
        <v>142</v>
      </c>
      <c r="M10" s="281">
        <v>6</v>
      </c>
      <c r="N10" s="281" t="s">
        <v>143</v>
      </c>
      <c r="O10" s="288" t="str">
        <f>IF(Table1[[#This Row],[h_Item Description]]="","",INDEX([1]!db[NB PAJAK],MATCH(Table1[[#This Row],[h_Item Description]],[1]!db[kode],0)))</f>
        <v>GEL PEN KENKO KE-303 T-GEL TRIANGULAR</v>
      </c>
      <c r="P10" s="281" t="s">
        <v>147</v>
      </c>
      <c r="Q10" s="284">
        <v>21600</v>
      </c>
      <c r="R10" s="285">
        <v>0.13500000000000001</v>
      </c>
      <c r="T10" s="284">
        <f>Table1[[#This Row],[h_hargasetelahdiskon]]</f>
        <v>16142976</v>
      </c>
      <c r="W10" s="288">
        <f ca="1">IF(Table1[[#This Row],[Item Description]]="","",IF(Table1[[#This Row],[//]]="",INDIRECT(ADDRESS(ROW()-1,COLUMN())),Table1[[#This Row],[//]]))</f>
        <v>9</v>
      </c>
      <c r="X10" s="288">
        <f ca="1">IF(Table1[[#This Row],[h_id]]="","",COUNTIF(Table1[h_id],Table1[[#This Row],[h_id]]))</f>
        <v>3</v>
      </c>
      <c r="Y10" s="284">
        <f>IF(Table1[Item Description]="","",Table1[[#This Row],[Qty]]*Table1[[#This Row],[Unit Price]])</f>
        <v>18662400</v>
      </c>
      <c r="Z10" s="284">
        <f>IF(Table1[[#This Row],[h_hargasebelumdiskon]]="","",IF(Table1[[#This Row],[Disc 1]]="",0,Table1[[#This Row],[h_hargasebelumdiskon]]*Table1[[#This Row],[Disc 1]]))</f>
        <v>2519424</v>
      </c>
      <c r="AA10" s="284">
        <f>IF(Table1[[#This Row],[h_hargasebelumdiskon]]="","",IF(Table1[[#This Row],[Disc 2]]="",0,(Table1[[#This Row],[h_hargasebelumdiskon]]-Table1[[#This Row],[h_disc 1]])*Table1[[#This Row],[Disc 2]]))</f>
        <v>0</v>
      </c>
      <c r="AB10" s="284">
        <f>IF(Table1[Item Description]="","",Table1[[#This Row],[h_disc 1]]+Table1[[#This Row],[h_disc 2]])</f>
        <v>2519424</v>
      </c>
      <c r="AC10" s="284">
        <f>IF(Table1[Item Description]="","",Table1[[#This Row],[h_hargasebelumdiskon]]-Table1[[#This Row],[h_diskon]])</f>
        <v>16142976</v>
      </c>
      <c r="AD10" s="284" t="str">
        <f ca="1">IF(Table1[//]="","",SUMIF(Table1[h_id],Table1[h_id],Table1[h_hargasetelahdiskon]))</f>
        <v/>
      </c>
      <c r="AE10" s="284"/>
      <c r="AF10" s="284" t="str">
        <f>Table1[[#This Row],[Item Description]]&amp;Table1[[#This Row],[Unit]]&amp;Table1[[#This Row],[Unit Price]]</f>
        <v>GEL PEN KENKO KE-303 T-GEL TRIANGULARLSN21600</v>
      </c>
    </row>
    <row r="11" spans="1:32" x14ac:dyDescent="0.25">
      <c r="A11" s="288" t="str">
        <f ca="1">IF(Table1[[#This Row],[No. Invoice :]]="","",ROW())</f>
        <v/>
      </c>
      <c r="B11" s="288" t="str">
        <f ca="1">IF(Table1[h_Kode Sales :_1]="","",B$1+COUNT(INDIRECT("B$2:B"&amp;ROW()-1)))</f>
        <v/>
      </c>
      <c r="C11" s="282" t="str">
        <f>IF(Table1[[#This Row],[H_TGL]]="","",Table1[[#This Row],[H_TGL]]+C$1-1)</f>
        <v/>
      </c>
      <c r="H11" s="288" t="str">
        <f ca="1">IF(Table1[[#This Row],[h_No. Invoice :]]="","",CONCATENATE("AM"," ",Table1[[#This Row],[h_No. Invoice :]]))</f>
        <v/>
      </c>
      <c r="I11" s="289" t="str">
        <f>CONCATENATE(UPPER(Table1[[#This Row],[h_Kode Sales :_1]])," ",Table1[[#This Row],[h_Kode Sales :_2]])</f>
        <v xml:space="preserve"> </v>
      </c>
      <c r="J11" s="288" t="str">
        <f>IF(Table1[[#This Row],[h_toko]]="","",INDEX(Table2[e],IF(Table1[[#This Row],[h_toko]]="","",MATCH(Table1[[#This Row],[h_toko]],Table2[a],0)),))</f>
        <v/>
      </c>
      <c r="K11" s="281">
        <v>144</v>
      </c>
      <c r="L11" s="281" t="s">
        <v>142</v>
      </c>
      <c r="M11" s="281">
        <v>1</v>
      </c>
      <c r="N11" s="281" t="s">
        <v>145</v>
      </c>
      <c r="O11" s="288" t="str">
        <f>IF(Table1[[#This Row],[h_Item Description]]="","",INDEX([1]!db[NB PAJAK],MATCH(Table1[[#This Row],[h_Item Description]],[1]!db[kode],0)))</f>
        <v>GEL PEN JOYKO GP-265 Q-GEL</v>
      </c>
      <c r="P11" s="281" t="s">
        <v>148</v>
      </c>
      <c r="Q11" s="284">
        <v>28200</v>
      </c>
      <c r="R11" s="285">
        <v>0.13500000000000001</v>
      </c>
      <c r="T11" s="284">
        <f>Table1[[#This Row],[h_hargasetelahdiskon]]</f>
        <v>3512592</v>
      </c>
      <c r="W11" s="288">
        <f ca="1">IF(Table1[[#This Row],[Item Description]]="","",IF(Table1[[#This Row],[//]]="",INDIRECT(ADDRESS(ROW()-1,COLUMN())),Table1[[#This Row],[//]]))</f>
        <v>9</v>
      </c>
      <c r="X11" s="288">
        <f ca="1">IF(Table1[[#This Row],[h_id]]="","",COUNTIF(Table1[h_id],Table1[[#This Row],[h_id]]))</f>
        <v>3</v>
      </c>
      <c r="Y11" s="284">
        <f>IF(Table1[Item Description]="","",Table1[[#This Row],[Qty]]*Table1[[#This Row],[Unit Price]])</f>
        <v>4060800</v>
      </c>
      <c r="Z11" s="284">
        <f>IF(Table1[[#This Row],[h_hargasebelumdiskon]]="","",IF(Table1[[#This Row],[Disc 1]]="",0,Table1[[#This Row],[h_hargasebelumdiskon]]*Table1[[#This Row],[Disc 1]]))</f>
        <v>548208</v>
      </c>
      <c r="AA11" s="284">
        <f>IF(Table1[[#This Row],[h_hargasebelumdiskon]]="","",IF(Table1[[#This Row],[Disc 2]]="",0,(Table1[[#This Row],[h_hargasebelumdiskon]]-Table1[[#This Row],[h_disc 1]])*Table1[[#This Row],[Disc 2]]))</f>
        <v>0</v>
      </c>
      <c r="AB11" s="284">
        <f>IF(Table1[Item Description]="","",Table1[[#This Row],[h_disc 1]]+Table1[[#This Row],[h_disc 2]])</f>
        <v>548208</v>
      </c>
      <c r="AC11" s="284">
        <f>IF(Table1[Item Description]="","",Table1[[#This Row],[h_hargasebelumdiskon]]-Table1[[#This Row],[h_diskon]])</f>
        <v>3512592</v>
      </c>
      <c r="AD11" s="284" t="str">
        <f ca="1">IF(Table1[//]="","",SUMIF(Table1[h_id],Table1[h_id],Table1[h_hargasetelahdiskon]))</f>
        <v/>
      </c>
      <c r="AE11" s="284"/>
      <c r="AF11" s="284" t="str">
        <f>Table1[[#This Row],[Item Description]]&amp;Table1[[#This Row],[Unit]]&amp;Table1[[#This Row],[Unit Price]]</f>
        <v>GEL PEN JOYKO GP-265 Q-GELLSN28200</v>
      </c>
    </row>
    <row r="12" spans="1:32" x14ac:dyDescent="0.25">
      <c r="A12" s="288" t="str">
        <f ca="1">IF(Table1[[#This Row],[No. Invoice :]]="","",ROW())</f>
        <v/>
      </c>
      <c r="B12" s="288" t="str">
        <f ca="1">IF(Table1[h_Kode Sales :_1]="","",B$1+COUNT(INDIRECT("B$2:B"&amp;ROW()-1)))</f>
        <v/>
      </c>
      <c r="C12" s="282" t="str">
        <f>IF(Table1[[#This Row],[H_TGL]]="","",Table1[[#This Row],[H_TGL]]+C$1-1)</f>
        <v/>
      </c>
      <c r="H12" s="288" t="str">
        <f ca="1">IF(Table1[[#This Row],[h_No. Invoice :]]="","",CONCATENATE("AM"," ",Table1[[#This Row],[h_No. Invoice :]]))</f>
        <v/>
      </c>
      <c r="I12" s="289" t="str">
        <f>CONCATENATE(UPPER(Table1[[#This Row],[h_Kode Sales :_1]])," ",Table1[[#This Row],[h_Kode Sales :_2]])</f>
        <v xml:space="preserve"> </v>
      </c>
      <c r="J12" s="288" t="str">
        <f>IF(Table1[[#This Row],[h_toko]]="","",INDEX(Table2[e],IF(Table1[[#This Row],[h_toko]]="","",MATCH(Table1[[#This Row],[h_toko]],Table2[a],0)),))</f>
        <v/>
      </c>
      <c r="O12" s="288" t="str">
        <f>IF(Table1[[#This Row],[h_Item Description]]="","",INDEX([1]!db[NB PAJAK],MATCH(Table1[[#This Row],[h_Item Description]],[1]!db[kode],0)))</f>
        <v/>
      </c>
      <c r="Q12" s="284"/>
      <c r="R12" s="285"/>
      <c r="T12" s="284" t="str">
        <f>Table1[[#This Row],[h_hargasetelahdiskon]]</f>
        <v/>
      </c>
      <c r="W12" s="288" t="str">
        <f ca="1">IF(Table1[[#This Row],[Item Description]]="","",IF(Table1[[#This Row],[//]]="",INDIRECT(ADDRESS(ROW()-1,COLUMN())),Table1[[#This Row],[//]]))</f>
        <v/>
      </c>
      <c r="X12" s="288" t="str">
        <f ca="1">IF(Table1[[#This Row],[h_id]]="","",COUNTIF(Table1[h_id],Table1[[#This Row],[h_id]]))</f>
        <v/>
      </c>
      <c r="Y12" s="284" t="str">
        <f>IF(Table1[Item Description]="","",Table1[[#This Row],[Qty]]*Table1[[#This Row],[Unit Price]])</f>
        <v/>
      </c>
      <c r="Z12" s="284" t="str">
        <f>IF(Table1[[#This Row],[h_hargasebelumdiskon]]="","",IF(Table1[[#This Row],[Disc 1]]="",0,Table1[[#This Row],[h_hargasebelumdiskon]]*Table1[[#This Row],[Disc 1]]))</f>
        <v/>
      </c>
      <c r="AA12" s="284" t="str">
        <f>IF(Table1[[#This Row],[h_hargasebelumdiskon]]="","",IF(Table1[[#This Row],[Disc 2]]="",0,(Table1[[#This Row],[h_hargasebelumdiskon]]-Table1[[#This Row],[h_disc 1]])*Table1[[#This Row],[Disc 2]]))</f>
        <v/>
      </c>
      <c r="AB12" s="284" t="str">
        <f>IF(Table1[Item Description]="","",Table1[[#This Row],[h_disc 1]]+Table1[[#This Row],[h_disc 2]])</f>
        <v/>
      </c>
      <c r="AC12" s="284" t="str">
        <f>IF(Table1[Item Description]="","",Table1[[#This Row],[h_hargasebelumdiskon]]-Table1[[#This Row],[h_diskon]])</f>
        <v/>
      </c>
      <c r="AD12" s="284" t="str">
        <f ca="1">IF(Table1[//]="","",SUMIF(Table1[h_id],Table1[h_id],Table1[h_hargasetelahdiskon]))</f>
        <v/>
      </c>
      <c r="AE12" s="284"/>
      <c r="AF12" s="284" t="str">
        <f>Table1[[#This Row],[Item Description]]&amp;Table1[[#This Row],[Unit]]&amp;Table1[[#This Row],[Unit Price]]</f>
        <v/>
      </c>
    </row>
    <row r="13" spans="1:32" x14ac:dyDescent="0.25">
      <c r="A13" s="288">
        <f ca="1">IF(Table1[[#This Row],[No. Invoice :]]="","",ROW())</f>
        <v>13</v>
      </c>
      <c r="B13" s="288">
        <f ca="1">IF(Table1[h_Kode Sales :_1]="","",B$1+COUNT(INDIRECT("B$2:B"&amp;ROW()-1)))</f>
        <v>23070004</v>
      </c>
      <c r="C13" s="282">
        <f>IF(Table1[[#This Row],[H_TGL]]="","",Table1[[#This Row],[H_TGL]]+C$1-1)</f>
        <v>45113</v>
      </c>
      <c r="D13" s="293">
        <v>6</v>
      </c>
      <c r="E13" s="281" t="s">
        <v>150</v>
      </c>
      <c r="F13" s="283" t="s">
        <v>151</v>
      </c>
      <c r="G13" s="281" t="s">
        <v>152</v>
      </c>
      <c r="H13" s="288" t="str">
        <f ca="1">IF(Table1[[#This Row],[h_No. Invoice :]]="","",CONCATENATE("AM"," ",Table1[[#This Row],[h_No. Invoice :]]))</f>
        <v>AM 23070004</v>
      </c>
      <c r="I13" s="289" t="str">
        <f>CONCATENATE(UPPER(Table1[[#This Row],[h_Kode Sales :_1]])," ",Table1[[#This Row],[h_Kode Sales :_2]])</f>
        <v>KO 4861</v>
      </c>
      <c r="J13" s="288" t="str">
        <f>IF(Table1[[#This Row],[h_toko]]="","",INDEX(Table2[e],IF(Table1[[#This Row],[h_toko]]="","",MATCH(Table1[[#This Row],[h_toko]],Table2[a],0)),))</f>
        <v>CV  WISUDA PURWOKERTO</v>
      </c>
      <c r="K13" s="281">
        <v>1000</v>
      </c>
      <c r="L13" s="281" t="s">
        <v>155</v>
      </c>
      <c r="M13" s="281">
        <v>1</v>
      </c>
      <c r="N13" s="281" t="s">
        <v>153</v>
      </c>
      <c r="O13" s="288" t="str">
        <f>IF(Table1[[#This Row],[h_Item Description]]="","",INDEX([1]!db[NB PAJAK],MATCH(Table1[[#This Row],[h_Item Description]],[1]!db[kode],0)))</f>
        <v>LABEL HARGA JOYKO LB-2RL (1 LINE PUTIH)</v>
      </c>
      <c r="P13" s="281" t="s">
        <v>162</v>
      </c>
      <c r="Q13" s="284">
        <v>2050</v>
      </c>
      <c r="R13" s="285">
        <v>0.1</v>
      </c>
      <c r="T13" s="284">
        <f>Table1[[#This Row],[h_hargasetelahdiskon]]</f>
        <v>1845000</v>
      </c>
      <c r="U13" s="284" t="s">
        <v>149</v>
      </c>
      <c r="V13" s="281" t="s">
        <v>154</v>
      </c>
      <c r="W13" s="288">
        <f ca="1">IF(Table1[[#This Row],[Item Description]]="","",IF(Table1[[#This Row],[//]]="",INDIRECT(ADDRESS(ROW()-1,COLUMN())),Table1[[#This Row],[//]]))</f>
        <v>13</v>
      </c>
      <c r="X13" s="288">
        <f ca="1">IF(Table1[[#This Row],[h_id]]="","",COUNTIF(Table1[h_id],Table1[[#This Row],[h_id]]))</f>
        <v>6</v>
      </c>
      <c r="Y13" s="284">
        <f>IF(Table1[Item Description]="","",Table1[[#This Row],[Qty]]*Table1[[#This Row],[Unit Price]])</f>
        <v>2050000</v>
      </c>
      <c r="Z13" s="284">
        <f>IF(Table1[[#This Row],[h_hargasebelumdiskon]]="","",IF(Table1[[#This Row],[Disc 1]]="",0,Table1[[#This Row],[h_hargasebelumdiskon]]*Table1[[#This Row],[Disc 1]]))</f>
        <v>205000</v>
      </c>
      <c r="AA13" s="284">
        <f>IF(Table1[[#This Row],[h_hargasebelumdiskon]]="","",IF(Table1[[#This Row],[Disc 2]]="",0,(Table1[[#This Row],[h_hargasebelumdiskon]]-Table1[[#This Row],[h_disc 1]])*Table1[[#This Row],[Disc 2]]))</f>
        <v>0</v>
      </c>
      <c r="AB13" s="284">
        <f>IF(Table1[Item Description]="","",Table1[[#This Row],[h_disc 1]]+Table1[[#This Row],[h_disc 2]])</f>
        <v>205000</v>
      </c>
      <c r="AC13" s="284">
        <f>IF(Table1[Item Description]="","",Table1[[#This Row],[h_hargasebelumdiskon]]-Table1[[#This Row],[h_diskon]])</f>
        <v>1845000</v>
      </c>
      <c r="AD13" s="284">
        <f ca="1">IF(Table1[//]="","",SUMIF(Table1[h_id],Table1[h_id],Table1[h_hargasetelahdiskon]))</f>
        <v>3771900</v>
      </c>
      <c r="AE13" s="284"/>
      <c r="AF13" s="284" t="str">
        <f>Table1[[#This Row],[Item Description]]&amp;Table1[[#This Row],[Unit]]&amp;Table1[[#This Row],[Unit Price]]</f>
        <v>LABEL HARGA JOYKO LB-2RL (1 LINE PUTIH)PCS2050</v>
      </c>
    </row>
    <row r="14" spans="1:32" x14ac:dyDescent="0.25">
      <c r="A14" s="288" t="str">
        <f ca="1">IF(Table1[[#This Row],[No. Invoice :]]="","",ROW())</f>
        <v/>
      </c>
      <c r="B14" s="288" t="str">
        <f ca="1">IF(Table1[h_Kode Sales :_1]="","",B$1+COUNT(INDIRECT("B$2:B"&amp;ROW()-1)))</f>
        <v/>
      </c>
      <c r="C14" s="282" t="str">
        <f>IF(Table1[[#This Row],[H_TGL]]="","",Table1[[#This Row],[H_TGL]]+C$1-1)</f>
        <v/>
      </c>
      <c r="H14" s="288" t="str">
        <f ca="1">IF(Table1[[#This Row],[h_No. Invoice :]]="","",CONCATENATE("AM"," ",Table1[[#This Row],[h_No. Invoice :]]))</f>
        <v/>
      </c>
      <c r="I14" s="289" t="str">
        <f>CONCATENATE(UPPER(Table1[[#This Row],[h_Kode Sales :_1]])," ",Table1[[#This Row],[h_Kode Sales :_2]])</f>
        <v xml:space="preserve"> </v>
      </c>
      <c r="J14" s="288" t="str">
        <f>IF(Table1[[#This Row],[h_toko]]="","",INDEX(Table2[e],IF(Table1[[#This Row],[h_toko]]="","",MATCH(Table1[[#This Row],[h_toko]],Table2[a],0)),))</f>
        <v/>
      </c>
      <c r="K14" s="281">
        <v>5</v>
      </c>
      <c r="L14" s="281" t="s">
        <v>142</v>
      </c>
      <c r="N14" s="281" t="s">
        <v>156</v>
      </c>
      <c r="O14" s="288" t="str">
        <f>IF(Table1[[#This Row],[h_Item Description]]="","",INDEX([1]!db[NB PAJAK],MATCH(Table1[[#This Row],[h_Item Description]],[1]!db[kode],0)))</f>
        <v>CORRECTION TAPE KENKO CT-905 (12M x 5MM)</v>
      </c>
      <c r="P14" s="281" t="s">
        <v>163</v>
      </c>
      <c r="Q14" s="284">
        <v>62400</v>
      </c>
      <c r="R14" s="285">
        <v>0.1</v>
      </c>
      <c r="T14" s="284">
        <f>Table1[[#This Row],[h_hargasetelahdiskon]]</f>
        <v>280800</v>
      </c>
      <c r="W14" s="288">
        <f ca="1">IF(Table1[[#This Row],[Item Description]]="","",IF(Table1[[#This Row],[//]]="",INDIRECT(ADDRESS(ROW()-1,COLUMN())),Table1[[#This Row],[//]]))</f>
        <v>13</v>
      </c>
      <c r="X14" s="288">
        <f ca="1">IF(Table1[[#This Row],[h_id]]="","",COUNTIF(Table1[h_id],Table1[[#This Row],[h_id]]))</f>
        <v>6</v>
      </c>
      <c r="Y14" s="284">
        <f>IF(Table1[Item Description]="","",Table1[[#This Row],[Qty]]*Table1[[#This Row],[Unit Price]])</f>
        <v>312000</v>
      </c>
      <c r="Z14" s="284">
        <f>IF(Table1[[#This Row],[h_hargasebelumdiskon]]="","",IF(Table1[[#This Row],[Disc 1]]="",0,Table1[[#This Row],[h_hargasebelumdiskon]]*Table1[[#This Row],[Disc 1]]))</f>
        <v>31200</v>
      </c>
      <c r="AA14" s="284">
        <f>IF(Table1[[#This Row],[h_hargasebelumdiskon]]="","",IF(Table1[[#This Row],[Disc 2]]="",0,(Table1[[#This Row],[h_hargasebelumdiskon]]-Table1[[#This Row],[h_disc 1]])*Table1[[#This Row],[Disc 2]]))</f>
        <v>0</v>
      </c>
      <c r="AB14" s="284">
        <f>IF(Table1[Item Description]="","",Table1[[#This Row],[h_disc 1]]+Table1[[#This Row],[h_disc 2]])</f>
        <v>31200</v>
      </c>
      <c r="AC14" s="284">
        <f>IF(Table1[Item Description]="","",Table1[[#This Row],[h_hargasebelumdiskon]]-Table1[[#This Row],[h_diskon]])</f>
        <v>280800</v>
      </c>
      <c r="AD14" s="284" t="str">
        <f ca="1">IF(Table1[//]="","",SUMIF(Table1[h_id],Table1[h_id],Table1[h_hargasetelahdiskon]))</f>
        <v/>
      </c>
      <c r="AE14" s="284"/>
      <c r="AF14" s="284" t="str">
        <f>Table1[[#This Row],[Item Description]]&amp;Table1[[#This Row],[Unit]]&amp;Table1[[#This Row],[Unit Price]]</f>
        <v>CORRECTION TAPE KENKO CT-905 (12M x 5MM)LSN62400</v>
      </c>
    </row>
    <row r="15" spans="1:32" x14ac:dyDescent="0.25">
      <c r="A15" s="288" t="str">
        <f ca="1">IF(Table1[[#This Row],[No. Invoice :]]="","",ROW())</f>
        <v/>
      </c>
      <c r="B15" s="288" t="str">
        <f ca="1">IF(Table1[h_Kode Sales :_1]="","",B$1+COUNT(INDIRECT("B$2:B"&amp;ROW()-1)))</f>
        <v/>
      </c>
      <c r="C15" s="282" t="str">
        <f>IF(Table1[[#This Row],[H_TGL]]="","",Table1[[#This Row],[H_TGL]]+C$1-1)</f>
        <v/>
      </c>
      <c r="H15" s="288" t="str">
        <f ca="1">IF(Table1[[#This Row],[h_No. Invoice :]]="","",CONCATENATE("AM"," ",Table1[[#This Row],[h_No. Invoice :]]))</f>
        <v/>
      </c>
      <c r="I15" s="289" t="str">
        <f>CONCATENATE(UPPER(Table1[[#This Row],[h_Kode Sales :_1]])," ",Table1[[#This Row],[h_Kode Sales :_2]])</f>
        <v xml:space="preserve"> </v>
      </c>
      <c r="J15" s="288" t="str">
        <f>IF(Table1[[#This Row],[h_toko]]="","",INDEX(Table2[e],IF(Table1[[#This Row],[h_toko]]="","",MATCH(Table1[[#This Row],[h_toko]],Table2[a],0)),))</f>
        <v/>
      </c>
      <c r="K15" s="281">
        <v>30</v>
      </c>
      <c r="L15" s="281" t="s">
        <v>155</v>
      </c>
      <c r="N15" s="281" t="s">
        <v>160</v>
      </c>
      <c r="O15" s="288" t="str">
        <f>IF(Table1[[#This Row],[h_Item Description]]="","",INDEX([1]!db[NB PAJAK],MATCH(Table1[[#This Row],[h_Item Description]],[1]!db[kode],0)))</f>
        <v>HIGHLIGHTER / STABILLO JOYKO HL-3 BIRU</v>
      </c>
      <c r="P15" s="281" t="s">
        <v>164</v>
      </c>
      <c r="Q15" s="284">
        <v>3700</v>
      </c>
      <c r="R15" s="285">
        <v>0.1</v>
      </c>
      <c r="T15" s="284">
        <f>Table1[[#This Row],[h_hargasetelahdiskon]]</f>
        <v>99900</v>
      </c>
      <c r="W15" s="288">
        <f ca="1">IF(Table1[[#This Row],[Item Description]]="","",IF(Table1[[#This Row],[//]]="",INDIRECT(ADDRESS(ROW()-1,COLUMN())),Table1[[#This Row],[//]]))</f>
        <v>13</v>
      </c>
      <c r="X15" s="288">
        <f ca="1">IF(Table1[[#This Row],[h_id]]="","",COUNTIF(Table1[h_id],Table1[[#This Row],[h_id]]))</f>
        <v>6</v>
      </c>
      <c r="Y15" s="284">
        <f>IF(Table1[Item Description]="","",Table1[[#This Row],[Qty]]*Table1[[#This Row],[Unit Price]])</f>
        <v>111000</v>
      </c>
      <c r="Z15" s="284">
        <f>IF(Table1[[#This Row],[h_hargasebelumdiskon]]="","",IF(Table1[[#This Row],[Disc 1]]="",0,Table1[[#This Row],[h_hargasebelumdiskon]]*Table1[[#This Row],[Disc 1]]))</f>
        <v>11100</v>
      </c>
      <c r="AA15" s="284">
        <f>IF(Table1[[#This Row],[h_hargasebelumdiskon]]="","",IF(Table1[[#This Row],[Disc 2]]="",0,(Table1[[#This Row],[h_hargasebelumdiskon]]-Table1[[#This Row],[h_disc 1]])*Table1[[#This Row],[Disc 2]]))</f>
        <v>0</v>
      </c>
      <c r="AB15" s="284">
        <f>IF(Table1[Item Description]="","",Table1[[#This Row],[h_disc 1]]+Table1[[#This Row],[h_disc 2]])</f>
        <v>11100</v>
      </c>
      <c r="AC15" s="284">
        <f>IF(Table1[Item Description]="","",Table1[[#This Row],[h_hargasebelumdiskon]]-Table1[[#This Row],[h_diskon]])</f>
        <v>99900</v>
      </c>
      <c r="AD15" s="284" t="str">
        <f ca="1">IF(Table1[//]="","",SUMIF(Table1[h_id],Table1[h_id],Table1[h_hargasetelahdiskon]))</f>
        <v/>
      </c>
      <c r="AE15" s="284"/>
      <c r="AF15" s="284" t="str">
        <f>Table1[[#This Row],[Item Description]]&amp;Table1[[#This Row],[Unit]]&amp;Table1[[#This Row],[Unit Price]]</f>
        <v>HIGHLIGHTER / STABILLO JOYKO HL-3 BIRUPCS3700</v>
      </c>
    </row>
    <row r="16" spans="1:32" x14ac:dyDescent="0.25">
      <c r="A16" s="288" t="str">
        <f ca="1">IF(Table1[[#This Row],[No. Invoice :]]="","",ROW())</f>
        <v/>
      </c>
      <c r="B16" s="288" t="str">
        <f ca="1">IF(Table1[h_Kode Sales :_1]="","",B$1+COUNT(INDIRECT("B$2:B"&amp;ROW()-1)))</f>
        <v/>
      </c>
      <c r="C16" s="282" t="str">
        <f>IF(Table1[[#This Row],[H_TGL]]="","",Table1[[#This Row],[H_TGL]]+C$1-1)</f>
        <v/>
      </c>
      <c r="H16" s="288" t="str">
        <f ca="1">IF(Table1[[#This Row],[h_No. Invoice :]]="","",CONCATENATE("AM"," ",Table1[[#This Row],[h_No. Invoice :]]))</f>
        <v/>
      </c>
      <c r="I16" s="289" t="str">
        <f>CONCATENATE(UPPER(Table1[[#This Row],[h_Kode Sales :_1]])," ",Table1[[#This Row],[h_Kode Sales :_2]])</f>
        <v xml:space="preserve"> </v>
      </c>
      <c r="J16" s="288" t="str">
        <f>IF(Table1[[#This Row],[h_toko]]="","",INDEX(Table2[e],IF(Table1[[#This Row],[h_toko]]="","",MATCH(Table1[[#This Row],[h_toko]],Table2[a],0)),))</f>
        <v/>
      </c>
      <c r="K16" s="281">
        <v>50</v>
      </c>
      <c r="L16" s="281" t="s">
        <v>155</v>
      </c>
      <c r="N16" s="281" t="s">
        <v>161</v>
      </c>
      <c r="O16" s="288" t="str">
        <f>IF(Table1[[#This Row],[h_Item Description]]="","",INDEX([1]!db[NB PAJAK],MATCH(Table1[[#This Row],[h_Item Description]],[1]!db[kode],0)))</f>
        <v>HIGHLIGHTER / STABILLO JOYKO HL-1 KUNING</v>
      </c>
      <c r="P16" s="281" t="s">
        <v>165</v>
      </c>
      <c r="Q16" s="284">
        <v>3700</v>
      </c>
      <c r="R16" s="285">
        <v>0.1</v>
      </c>
      <c r="T16" s="284">
        <f>Table1[[#This Row],[h_hargasetelahdiskon]]</f>
        <v>166500</v>
      </c>
      <c r="W16" s="288">
        <f ca="1">IF(Table1[[#This Row],[Item Description]]="","",IF(Table1[[#This Row],[//]]="",INDIRECT(ADDRESS(ROW()-1,COLUMN())),Table1[[#This Row],[//]]))</f>
        <v>13</v>
      </c>
      <c r="X16" s="288">
        <f ca="1">IF(Table1[[#This Row],[h_id]]="","",COUNTIF(Table1[h_id],Table1[[#This Row],[h_id]]))</f>
        <v>6</v>
      </c>
      <c r="Y16" s="284">
        <f>IF(Table1[Item Description]="","",Table1[[#This Row],[Qty]]*Table1[[#This Row],[Unit Price]])</f>
        <v>185000</v>
      </c>
      <c r="Z16" s="284">
        <f>IF(Table1[[#This Row],[h_hargasebelumdiskon]]="","",IF(Table1[[#This Row],[Disc 1]]="",0,Table1[[#This Row],[h_hargasebelumdiskon]]*Table1[[#This Row],[Disc 1]]))</f>
        <v>18500</v>
      </c>
      <c r="AA16" s="284">
        <f>IF(Table1[[#This Row],[h_hargasebelumdiskon]]="","",IF(Table1[[#This Row],[Disc 2]]="",0,(Table1[[#This Row],[h_hargasebelumdiskon]]-Table1[[#This Row],[h_disc 1]])*Table1[[#This Row],[Disc 2]]))</f>
        <v>0</v>
      </c>
      <c r="AB16" s="284">
        <f>IF(Table1[Item Description]="","",Table1[[#This Row],[h_disc 1]]+Table1[[#This Row],[h_disc 2]])</f>
        <v>18500</v>
      </c>
      <c r="AC16" s="284">
        <f>IF(Table1[Item Description]="","",Table1[[#This Row],[h_hargasebelumdiskon]]-Table1[[#This Row],[h_diskon]])</f>
        <v>166500</v>
      </c>
      <c r="AD16" s="284" t="str">
        <f ca="1">IF(Table1[//]="","",SUMIF(Table1[h_id],Table1[h_id],Table1[h_hargasetelahdiskon]))</f>
        <v/>
      </c>
      <c r="AE16" s="284"/>
      <c r="AF16" s="284" t="str">
        <f>Table1[[#This Row],[Item Description]]&amp;Table1[[#This Row],[Unit]]&amp;Table1[[#This Row],[Unit Price]]</f>
        <v>HIGHLIGHTER / STABILLO JOYKO HL-1 KUNINGPCS3700</v>
      </c>
    </row>
    <row r="17" spans="1:32" x14ac:dyDescent="0.25">
      <c r="A17" s="288" t="str">
        <f ca="1">IF(Table1[[#This Row],[No. Invoice :]]="","",ROW())</f>
        <v/>
      </c>
      <c r="B17" s="288" t="str">
        <f ca="1">IF(Table1[h_Kode Sales :_1]="","",B$1+COUNT(INDIRECT("B$2:B"&amp;ROW()-1)))</f>
        <v/>
      </c>
      <c r="C17" s="282" t="str">
        <f>IF(Table1[[#This Row],[H_TGL]]="","",Table1[[#This Row],[H_TGL]]+C$1-1)</f>
        <v/>
      </c>
      <c r="H17" s="288" t="str">
        <f ca="1">IF(Table1[[#This Row],[h_No. Invoice :]]="","",CONCATENATE("AM"," ",Table1[[#This Row],[h_No. Invoice :]]))</f>
        <v/>
      </c>
      <c r="I17" s="289" t="str">
        <f>CONCATENATE(UPPER(Table1[[#This Row],[h_Kode Sales :_1]])," ",Table1[[#This Row],[h_Kode Sales :_2]])</f>
        <v xml:space="preserve"> </v>
      </c>
      <c r="J17" s="288" t="str">
        <f>IF(Table1[[#This Row],[h_toko]]="","",INDEX(Table2[e],IF(Table1[[#This Row],[h_toko]]="","",MATCH(Table1[[#This Row],[h_toko]],Table2[a],0)),))</f>
        <v/>
      </c>
      <c r="K17" s="281">
        <v>10</v>
      </c>
      <c r="L17" s="281" t="s">
        <v>142</v>
      </c>
      <c r="N17" s="281" t="s">
        <v>157</v>
      </c>
      <c r="O17" s="288" t="str">
        <f>IF(Table1[[#This Row],[h_Item Description]]="","",INDEX([1]!db[NB PAJAK],MATCH(Table1[[#This Row],[h_Item Description]],[1]!db[kode],0)))</f>
        <v>ISI CUTTER 18 MM KENKO L-150 (BESAR)</v>
      </c>
      <c r="P17" s="281" t="s">
        <v>166</v>
      </c>
      <c r="Q17" s="284">
        <v>64800</v>
      </c>
      <c r="R17" s="285">
        <v>0.1</v>
      </c>
      <c r="T17" s="284">
        <f>Table1[[#This Row],[h_hargasetelahdiskon]]</f>
        <v>583200</v>
      </c>
      <c r="W17" s="288">
        <f ca="1">IF(Table1[[#This Row],[Item Description]]="","",IF(Table1[[#This Row],[//]]="",INDIRECT(ADDRESS(ROW()-1,COLUMN())),Table1[[#This Row],[//]]))</f>
        <v>13</v>
      </c>
      <c r="X17" s="288">
        <f ca="1">IF(Table1[[#This Row],[h_id]]="","",COUNTIF(Table1[h_id],Table1[[#This Row],[h_id]]))</f>
        <v>6</v>
      </c>
      <c r="Y17" s="284">
        <f>IF(Table1[Item Description]="","",Table1[[#This Row],[Qty]]*Table1[[#This Row],[Unit Price]])</f>
        <v>648000</v>
      </c>
      <c r="Z17" s="284">
        <f>IF(Table1[[#This Row],[h_hargasebelumdiskon]]="","",IF(Table1[[#This Row],[Disc 1]]="",0,Table1[[#This Row],[h_hargasebelumdiskon]]*Table1[[#This Row],[Disc 1]]))</f>
        <v>64800</v>
      </c>
      <c r="AA17" s="284">
        <f>IF(Table1[[#This Row],[h_hargasebelumdiskon]]="","",IF(Table1[[#This Row],[Disc 2]]="",0,(Table1[[#This Row],[h_hargasebelumdiskon]]-Table1[[#This Row],[h_disc 1]])*Table1[[#This Row],[Disc 2]]))</f>
        <v>0</v>
      </c>
      <c r="AB17" s="284">
        <f>IF(Table1[Item Description]="","",Table1[[#This Row],[h_disc 1]]+Table1[[#This Row],[h_disc 2]])</f>
        <v>64800</v>
      </c>
      <c r="AC17" s="284">
        <f>IF(Table1[Item Description]="","",Table1[[#This Row],[h_hargasebelumdiskon]]-Table1[[#This Row],[h_diskon]])</f>
        <v>583200</v>
      </c>
      <c r="AD17" s="284" t="str">
        <f ca="1">IF(Table1[//]="","",SUMIF(Table1[h_id],Table1[h_id],Table1[h_hargasetelahdiskon]))</f>
        <v/>
      </c>
      <c r="AE17" s="284"/>
      <c r="AF17" s="284" t="str">
        <f>Table1[[#This Row],[Item Description]]&amp;Table1[[#This Row],[Unit]]&amp;Table1[[#This Row],[Unit Price]]</f>
        <v>ISI CUTTER 18 MM KENKO L-150 (BESAR)LSN64800</v>
      </c>
    </row>
    <row r="18" spans="1:32" x14ac:dyDescent="0.25">
      <c r="A18" s="288" t="str">
        <f ca="1">IF(Table1[[#This Row],[No. Invoice :]]="","",ROW())</f>
        <v/>
      </c>
      <c r="B18" s="288" t="str">
        <f ca="1">IF(Table1[h_Kode Sales :_1]="","",B$1+COUNT(INDIRECT("B$2:B"&amp;ROW()-1)))</f>
        <v/>
      </c>
      <c r="C18" s="282" t="str">
        <f>IF(Table1[[#This Row],[H_TGL]]="","",Table1[[#This Row],[H_TGL]]+C$1-1)</f>
        <v/>
      </c>
      <c r="H18" s="288" t="str">
        <f ca="1">IF(Table1[[#This Row],[h_No. Invoice :]]="","",CONCATENATE("AM"," ",Table1[[#This Row],[h_No. Invoice :]]))</f>
        <v/>
      </c>
      <c r="I18" s="289" t="str">
        <f>CONCATENATE(UPPER(Table1[[#This Row],[h_Kode Sales :_1]])," ",Table1[[#This Row],[h_Kode Sales :_2]])</f>
        <v xml:space="preserve"> </v>
      </c>
      <c r="J18" s="288" t="str">
        <f>IF(Table1[[#This Row],[h_toko]]="","",INDEX(Table2[e],IF(Table1[[#This Row],[h_toko]]="","",MATCH(Table1[[#This Row],[h_toko]],Table2[a],0)),))</f>
        <v/>
      </c>
      <c r="K18" s="281">
        <v>5</v>
      </c>
      <c r="L18" s="281" t="s">
        <v>158</v>
      </c>
      <c r="M18" s="281">
        <v>1</v>
      </c>
      <c r="N18" s="281" t="s">
        <v>159</v>
      </c>
      <c r="O18" s="288" t="str">
        <f>IF(Table1[[#This Row],[h_Item Description]]="","",INDEX([1]!db[NB PAJAK],MATCH(Table1[[#This Row],[h_Item Description]],[1]!db[kode],0)))</f>
        <v>BINDER CLIP JOYKO 260</v>
      </c>
      <c r="P18" s="281" t="s">
        <v>167</v>
      </c>
      <c r="Q18" s="284">
        <v>177000</v>
      </c>
      <c r="R18" s="285">
        <v>0.1</v>
      </c>
      <c r="T18" s="284">
        <f>Table1[[#This Row],[h_hargasetelahdiskon]]</f>
        <v>796500</v>
      </c>
      <c r="W18" s="288">
        <f ca="1">IF(Table1[[#This Row],[Item Description]]="","",IF(Table1[[#This Row],[//]]="",INDIRECT(ADDRESS(ROW()-1,COLUMN())),Table1[[#This Row],[//]]))</f>
        <v>13</v>
      </c>
      <c r="X18" s="288">
        <f ca="1">IF(Table1[[#This Row],[h_id]]="","",COUNTIF(Table1[h_id],Table1[[#This Row],[h_id]]))</f>
        <v>6</v>
      </c>
      <c r="Y18" s="284">
        <f>IF(Table1[Item Description]="","",Table1[[#This Row],[Qty]]*Table1[[#This Row],[Unit Price]])</f>
        <v>885000</v>
      </c>
      <c r="Z18" s="284">
        <f>IF(Table1[[#This Row],[h_hargasebelumdiskon]]="","",IF(Table1[[#This Row],[Disc 1]]="",0,Table1[[#This Row],[h_hargasebelumdiskon]]*Table1[[#This Row],[Disc 1]]))</f>
        <v>88500</v>
      </c>
      <c r="AA18" s="284">
        <f>IF(Table1[[#This Row],[h_hargasebelumdiskon]]="","",IF(Table1[[#This Row],[Disc 2]]="",0,(Table1[[#This Row],[h_hargasebelumdiskon]]-Table1[[#This Row],[h_disc 1]])*Table1[[#This Row],[Disc 2]]))</f>
        <v>0</v>
      </c>
      <c r="AB18" s="284">
        <f>IF(Table1[Item Description]="","",Table1[[#This Row],[h_disc 1]]+Table1[[#This Row],[h_disc 2]])</f>
        <v>88500</v>
      </c>
      <c r="AC18" s="284">
        <f>IF(Table1[Item Description]="","",Table1[[#This Row],[h_hargasebelumdiskon]]-Table1[[#This Row],[h_diskon]])</f>
        <v>796500</v>
      </c>
      <c r="AD18" s="284" t="str">
        <f ca="1">IF(Table1[//]="","",SUMIF(Table1[h_id],Table1[h_id],Table1[h_hargasetelahdiskon]))</f>
        <v/>
      </c>
      <c r="AE18" s="284"/>
      <c r="AF18" s="284" t="str">
        <f>Table1[[#This Row],[Item Description]]&amp;Table1[[#This Row],[Unit]]&amp;Table1[[#This Row],[Unit Price]]</f>
        <v>BINDER CLIP JOYKO 260GRS177000</v>
      </c>
    </row>
    <row r="19" spans="1:32" x14ac:dyDescent="0.25">
      <c r="A19" s="288" t="str">
        <f ca="1">IF(Table1[[#This Row],[No. Invoice :]]="","",ROW())</f>
        <v/>
      </c>
      <c r="B19" s="288" t="str">
        <f ca="1">IF(Table1[h_Kode Sales :_1]="","",B$1+COUNT(INDIRECT("B$2:B"&amp;ROW()-1)))</f>
        <v/>
      </c>
      <c r="C19" s="282" t="str">
        <f>IF(Table1[[#This Row],[H_TGL]]="","",Table1[[#This Row],[H_TGL]]+C$1-1)</f>
        <v/>
      </c>
      <c r="H19" s="288" t="str">
        <f ca="1">IF(Table1[[#This Row],[h_No. Invoice :]]="","",CONCATENATE("AM"," ",Table1[[#This Row],[h_No. Invoice :]]))</f>
        <v/>
      </c>
      <c r="I19" s="289" t="str">
        <f>CONCATENATE(UPPER(Table1[[#This Row],[h_Kode Sales :_1]])," ",Table1[[#This Row],[h_Kode Sales :_2]])</f>
        <v xml:space="preserve"> </v>
      </c>
      <c r="J19" s="288" t="str">
        <f>IF(Table1[[#This Row],[h_toko]]="","",INDEX(Table2[e],IF(Table1[[#This Row],[h_toko]]="","",MATCH(Table1[[#This Row],[h_toko]],Table2[a],0)),))</f>
        <v/>
      </c>
      <c r="O19" s="288" t="str">
        <f>IF(Table1[[#This Row],[h_Item Description]]="","",INDEX([1]!db[NB PAJAK],MATCH(Table1[[#This Row],[h_Item Description]],[1]!db[kode],0)))</f>
        <v/>
      </c>
      <c r="Q19" s="284"/>
      <c r="R19" s="285"/>
      <c r="T19" s="284" t="str">
        <f>Table1[[#This Row],[h_hargasetelahdiskon]]</f>
        <v/>
      </c>
      <c r="W19" s="288" t="str">
        <f ca="1">IF(Table1[[#This Row],[Item Description]]="","",IF(Table1[[#This Row],[//]]="",INDIRECT(ADDRESS(ROW()-1,COLUMN())),Table1[[#This Row],[//]]))</f>
        <v/>
      </c>
      <c r="X19" s="288" t="str">
        <f ca="1">IF(Table1[[#This Row],[h_id]]="","",COUNTIF(Table1[h_id],Table1[[#This Row],[h_id]]))</f>
        <v/>
      </c>
      <c r="Y19" s="284" t="str">
        <f>IF(Table1[Item Description]="","",Table1[[#This Row],[Qty]]*Table1[[#This Row],[Unit Price]])</f>
        <v/>
      </c>
      <c r="Z19" s="284" t="str">
        <f>IF(Table1[[#This Row],[h_hargasebelumdiskon]]="","",IF(Table1[[#This Row],[Disc 1]]="",0,Table1[[#This Row],[h_hargasebelumdiskon]]*Table1[[#This Row],[Disc 1]]))</f>
        <v/>
      </c>
      <c r="AA19" s="284" t="str">
        <f>IF(Table1[[#This Row],[h_hargasebelumdiskon]]="","",IF(Table1[[#This Row],[Disc 2]]="",0,(Table1[[#This Row],[h_hargasebelumdiskon]]-Table1[[#This Row],[h_disc 1]])*Table1[[#This Row],[Disc 2]]))</f>
        <v/>
      </c>
      <c r="AB19" s="284" t="str">
        <f>IF(Table1[Item Description]="","",Table1[[#This Row],[h_disc 1]]+Table1[[#This Row],[h_disc 2]])</f>
        <v/>
      </c>
      <c r="AC19" s="284" t="str">
        <f>IF(Table1[Item Description]="","",Table1[[#This Row],[h_hargasebelumdiskon]]-Table1[[#This Row],[h_diskon]])</f>
        <v/>
      </c>
      <c r="AD19" s="284" t="str">
        <f ca="1">IF(Table1[//]="","",SUMIF(Table1[h_id],Table1[h_id],Table1[h_hargasetelahdiskon]))</f>
        <v/>
      </c>
      <c r="AE19" s="284"/>
      <c r="AF19" s="284" t="str">
        <f>Table1[[#This Row],[Item Description]]&amp;Table1[[#This Row],[Unit]]&amp;Table1[[#This Row],[Unit Price]]</f>
        <v/>
      </c>
    </row>
    <row r="20" spans="1:32" x14ac:dyDescent="0.25">
      <c r="A20" s="288">
        <f ca="1">IF(Table1[[#This Row],[No. Invoice :]]="","",ROW())</f>
        <v>20</v>
      </c>
      <c r="B20" s="288">
        <f ca="1">IF(Table1[h_Kode Sales :_1]="","",B$1+COUNT(INDIRECT("B$2:B"&amp;ROW()-1)))</f>
        <v>23070005</v>
      </c>
      <c r="C20" s="282">
        <f>IF(Table1[[#This Row],[H_TGL]]="","",Table1[[#This Row],[H_TGL]]+C$1-1)</f>
        <v>45113</v>
      </c>
      <c r="D20" s="293">
        <v>6</v>
      </c>
      <c r="E20" s="281" t="s">
        <v>122</v>
      </c>
      <c r="F20" s="283" t="s">
        <v>168</v>
      </c>
      <c r="G20" s="281" t="s">
        <v>87</v>
      </c>
      <c r="H20" s="288" t="str">
        <f ca="1">IF(Table1[[#This Row],[h_No. Invoice :]]="","",CONCATENATE("AM"," ",Table1[[#This Row],[h_No. Invoice :]]))</f>
        <v>AM 23070005</v>
      </c>
      <c r="I20" s="289" t="str">
        <f>CONCATENATE(UPPER(Table1[[#This Row],[h_Kode Sales :_1]])," ",Table1[[#This Row],[h_Kode Sales :_2]])</f>
        <v>KO 4731</v>
      </c>
      <c r="J20" s="288" t="str">
        <f>IF(Table1[[#This Row],[h_toko]]="","",INDEX(Table2[e],IF(Table1[[#This Row],[h_toko]]="","",MATCH(Table1[[#This Row],[h_toko]],Table2[a],0)),))</f>
        <v>SANTOSO BUDIONO (  ARMADA  ) PURWOKERTO</v>
      </c>
      <c r="K20" s="281">
        <v>33</v>
      </c>
      <c r="L20" s="281" t="s">
        <v>155</v>
      </c>
      <c r="N20" s="281" t="s">
        <v>169</v>
      </c>
      <c r="O20" s="288" t="str">
        <f>IF(Table1[[#This Row],[h_Item Description]]="","",INDEX([1]!db[NB PAJAK],MATCH(Table1[[#This Row],[h_Item Description]],[1]!db[kode],0)))</f>
        <v>PUNCH KENKO NO. 40</v>
      </c>
      <c r="P20" s="281" t="s">
        <v>174</v>
      </c>
      <c r="Q20" s="284">
        <v>23500</v>
      </c>
      <c r="R20" s="285">
        <v>0.125</v>
      </c>
      <c r="T20" s="284">
        <f>Table1[[#This Row],[h_hargasetelahdiskon]]</f>
        <v>678562.5</v>
      </c>
      <c r="U20" s="284" t="s">
        <v>170</v>
      </c>
      <c r="W20" s="288">
        <f ca="1">IF(Table1[[#This Row],[Item Description]]="","",IF(Table1[[#This Row],[//]]="",INDIRECT(ADDRESS(ROW()-1,COLUMN())),Table1[[#This Row],[//]]))</f>
        <v>20</v>
      </c>
      <c r="X20" s="288">
        <f ca="1">IF(Table1[[#This Row],[h_id]]="","",COUNTIF(Table1[h_id],Table1[[#This Row],[h_id]]))</f>
        <v>4</v>
      </c>
      <c r="Y20" s="284">
        <f>IF(Table1[Item Description]="","",Table1[[#This Row],[Qty]]*Table1[[#This Row],[Unit Price]])</f>
        <v>775500</v>
      </c>
      <c r="Z20" s="284">
        <f>IF(Table1[[#This Row],[h_hargasebelumdiskon]]="","",IF(Table1[[#This Row],[Disc 1]]="",0,Table1[[#This Row],[h_hargasebelumdiskon]]*Table1[[#This Row],[Disc 1]]))</f>
        <v>96937.5</v>
      </c>
      <c r="AA20" s="284">
        <f>IF(Table1[[#This Row],[h_hargasebelumdiskon]]="","",IF(Table1[[#This Row],[Disc 2]]="",0,(Table1[[#This Row],[h_hargasebelumdiskon]]-Table1[[#This Row],[h_disc 1]])*Table1[[#This Row],[Disc 2]]))</f>
        <v>0</v>
      </c>
      <c r="AB20" s="284">
        <f>IF(Table1[Item Description]="","",Table1[[#This Row],[h_disc 1]]+Table1[[#This Row],[h_disc 2]])</f>
        <v>96937.5</v>
      </c>
      <c r="AC20" s="284">
        <f>IF(Table1[Item Description]="","",Table1[[#This Row],[h_hargasebelumdiskon]]-Table1[[#This Row],[h_diskon]])</f>
        <v>678562.5</v>
      </c>
      <c r="AD20" s="284">
        <f ca="1">IF(Table1[//]="","",SUMIF(Table1[h_id],Table1[h_id],Table1[h_hargasetelahdiskon]))</f>
        <v>4390122.5</v>
      </c>
      <c r="AE20" s="284"/>
      <c r="AF20" s="284" t="str">
        <f>Table1[[#This Row],[Item Description]]&amp;Table1[[#This Row],[Unit]]&amp;Table1[[#This Row],[Unit Price]]</f>
        <v>PUNCH KENKO NO. 40PCS23500</v>
      </c>
    </row>
    <row r="21" spans="1:32" x14ac:dyDescent="0.25">
      <c r="A21" s="288" t="str">
        <f ca="1">IF(Table1[[#This Row],[No. Invoice :]]="","",ROW())</f>
        <v/>
      </c>
      <c r="B21" s="288" t="str">
        <f ca="1">IF(Table1[h_Kode Sales :_1]="","",B$1+COUNT(INDIRECT("B$2:B"&amp;ROW()-1)))</f>
        <v/>
      </c>
      <c r="C21" s="282" t="str">
        <f>IF(Table1[[#This Row],[H_TGL]]="","",Table1[[#This Row],[H_TGL]]+C$1-1)</f>
        <v/>
      </c>
      <c r="H21" s="288" t="str">
        <f ca="1">IF(Table1[[#This Row],[h_No. Invoice :]]="","",CONCATENATE("AM"," ",Table1[[#This Row],[h_No. Invoice :]]))</f>
        <v/>
      </c>
      <c r="I21" s="289" t="str">
        <f>CONCATENATE(UPPER(Table1[[#This Row],[h_Kode Sales :_1]])," ",Table1[[#This Row],[h_Kode Sales :_2]])</f>
        <v xml:space="preserve"> </v>
      </c>
      <c r="J21" s="288" t="str">
        <f>IF(Table1[[#This Row],[h_toko]]="","",INDEX(Table2[e],IF(Table1[[#This Row],[h_toko]]="","",MATCH(Table1[[#This Row],[h_toko]],Table2[a],0)),))</f>
        <v/>
      </c>
      <c r="K21" s="281">
        <v>12</v>
      </c>
      <c r="L21" s="281" t="s">
        <v>155</v>
      </c>
      <c r="N21" s="281" t="s">
        <v>171</v>
      </c>
      <c r="O21" s="288" t="str">
        <f>IF(Table1[[#This Row],[h_Item Description]]="","",INDEX([1]!db[NB PAJAK],MATCH(Table1[[#This Row],[h_Item Description]],[1]!db[kode],0)))</f>
        <v>STAPLER KENKO HD-50</v>
      </c>
      <c r="P21" s="281" t="s">
        <v>175</v>
      </c>
      <c r="Q21" s="284">
        <v>19000</v>
      </c>
      <c r="R21" s="285">
        <v>0.125</v>
      </c>
      <c r="T21" s="284">
        <f>Table1[[#This Row],[h_hargasetelahdiskon]]</f>
        <v>199500</v>
      </c>
      <c r="W21" s="288">
        <f ca="1">IF(Table1[[#This Row],[Item Description]]="","",IF(Table1[[#This Row],[//]]="",INDIRECT(ADDRESS(ROW()-1,COLUMN())),Table1[[#This Row],[//]]))</f>
        <v>20</v>
      </c>
      <c r="X21" s="288">
        <f ca="1">IF(Table1[[#This Row],[h_id]]="","",COUNTIF(Table1[h_id],Table1[[#This Row],[h_id]]))</f>
        <v>4</v>
      </c>
      <c r="Y21" s="284">
        <f>IF(Table1[Item Description]="","",Table1[[#This Row],[Qty]]*Table1[[#This Row],[Unit Price]])</f>
        <v>228000</v>
      </c>
      <c r="Z21" s="284">
        <f>IF(Table1[[#This Row],[h_hargasebelumdiskon]]="","",IF(Table1[[#This Row],[Disc 1]]="",0,Table1[[#This Row],[h_hargasebelumdiskon]]*Table1[[#This Row],[Disc 1]]))</f>
        <v>28500</v>
      </c>
      <c r="AA21" s="284">
        <f>IF(Table1[[#This Row],[h_hargasebelumdiskon]]="","",IF(Table1[[#This Row],[Disc 2]]="",0,(Table1[[#This Row],[h_hargasebelumdiskon]]-Table1[[#This Row],[h_disc 1]])*Table1[[#This Row],[Disc 2]]))</f>
        <v>0</v>
      </c>
      <c r="AB21" s="284">
        <f>IF(Table1[Item Description]="","",Table1[[#This Row],[h_disc 1]]+Table1[[#This Row],[h_disc 2]])</f>
        <v>28500</v>
      </c>
      <c r="AC21" s="284">
        <f>IF(Table1[Item Description]="","",Table1[[#This Row],[h_hargasebelumdiskon]]-Table1[[#This Row],[h_diskon]])</f>
        <v>199500</v>
      </c>
      <c r="AD21" s="284" t="str">
        <f ca="1">IF(Table1[//]="","",SUMIF(Table1[h_id],Table1[h_id],Table1[h_hargasetelahdiskon]))</f>
        <v/>
      </c>
      <c r="AE21" s="284"/>
      <c r="AF21" s="284" t="str">
        <f>Table1[[#This Row],[Item Description]]&amp;Table1[[#This Row],[Unit]]&amp;Table1[[#This Row],[Unit Price]]</f>
        <v>STAPLER KENKO HD-50PCS19000</v>
      </c>
    </row>
    <row r="22" spans="1:32" x14ac:dyDescent="0.25">
      <c r="A22" s="288" t="str">
        <f ca="1">IF(Table1[[#This Row],[No. Invoice :]]="","",ROW())</f>
        <v/>
      </c>
      <c r="B22" s="288" t="str">
        <f ca="1">IF(Table1[h_Kode Sales :_1]="","",B$1+COUNT(INDIRECT("B$2:B"&amp;ROW()-1)))</f>
        <v/>
      </c>
      <c r="C22" s="282" t="str">
        <f>IF(Table1[[#This Row],[H_TGL]]="","",Table1[[#This Row],[H_TGL]]+C$1-1)</f>
        <v/>
      </c>
      <c r="H22" s="288" t="str">
        <f ca="1">IF(Table1[[#This Row],[h_No. Invoice :]]="","",CONCATENATE("AM"," ",Table1[[#This Row],[h_No. Invoice :]]))</f>
        <v/>
      </c>
      <c r="I22" s="289" t="str">
        <f>CONCATENATE(UPPER(Table1[[#This Row],[h_Kode Sales :_1]])," ",Table1[[#This Row],[h_Kode Sales :_2]])</f>
        <v xml:space="preserve"> </v>
      </c>
      <c r="J22" s="288" t="str">
        <f>IF(Table1[[#This Row],[h_toko]]="","",INDEX(Table2[e],IF(Table1[[#This Row],[h_toko]]="","",MATCH(Table1[[#This Row],[h_toko]],Table2[a],0)),))</f>
        <v/>
      </c>
      <c r="K22" s="281">
        <v>7</v>
      </c>
      <c r="L22" s="281" t="s">
        <v>172</v>
      </c>
      <c r="N22" s="281" t="s">
        <v>173</v>
      </c>
      <c r="O22" s="288" t="str">
        <f>IF(Table1[[#This Row],[h_Item Description]]="","",INDEX([1]!db[NB PAJAK],MATCH(Table1[[#This Row],[h_Item Description]],[1]!db[kode],0)))</f>
        <v>KARTU STOCK KWARTO PUTIH</v>
      </c>
      <c r="P22" s="281" t="s">
        <v>176</v>
      </c>
      <c r="Q22" s="284">
        <v>18500</v>
      </c>
      <c r="R22" s="285"/>
      <c r="T22" s="284">
        <f>Table1[[#This Row],[h_hargasetelahdiskon]]</f>
        <v>129500</v>
      </c>
      <c r="W22" s="288">
        <f ca="1">IF(Table1[[#This Row],[Item Description]]="","",IF(Table1[[#This Row],[//]]="",INDIRECT(ADDRESS(ROW()-1,COLUMN())),Table1[[#This Row],[//]]))</f>
        <v>20</v>
      </c>
      <c r="X22" s="288">
        <f ca="1">IF(Table1[[#This Row],[h_id]]="","",COUNTIF(Table1[h_id],Table1[[#This Row],[h_id]]))</f>
        <v>4</v>
      </c>
      <c r="Y22" s="284">
        <f>IF(Table1[Item Description]="","",Table1[[#This Row],[Qty]]*Table1[[#This Row],[Unit Price]])</f>
        <v>129500</v>
      </c>
      <c r="Z22" s="284">
        <f>IF(Table1[[#This Row],[h_hargasebelumdiskon]]="","",IF(Table1[[#This Row],[Disc 1]]="",0,Table1[[#This Row],[h_hargasebelumdiskon]]*Table1[[#This Row],[Disc 1]]))</f>
        <v>0</v>
      </c>
      <c r="AA22" s="284">
        <f>IF(Table1[[#This Row],[h_hargasebelumdiskon]]="","",IF(Table1[[#This Row],[Disc 2]]="",0,(Table1[[#This Row],[h_hargasebelumdiskon]]-Table1[[#This Row],[h_disc 1]])*Table1[[#This Row],[Disc 2]]))</f>
        <v>0</v>
      </c>
      <c r="AB22" s="284">
        <f>IF(Table1[Item Description]="","",Table1[[#This Row],[h_disc 1]]+Table1[[#This Row],[h_disc 2]])</f>
        <v>0</v>
      </c>
      <c r="AC22" s="284">
        <f>IF(Table1[Item Description]="","",Table1[[#This Row],[h_hargasebelumdiskon]]-Table1[[#This Row],[h_diskon]])</f>
        <v>129500</v>
      </c>
      <c r="AD22" s="284" t="str">
        <f ca="1">IF(Table1[//]="","",SUMIF(Table1[h_id],Table1[h_id],Table1[h_hargasetelahdiskon]))</f>
        <v/>
      </c>
      <c r="AE22" s="284"/>
      <c r="AF22" s="284" t="str">
        <f>Table1[[#This Row],[Item Description]]&amp;Table1[[#This Row],[Unit]]&amp;Table1[[#This Row],[Unit Price]]</f>
        <v>KARTU STOCK KWARTO PUTIHPAK18500</v>
      </c>
    </row>
    <row r="23" spans="1:32" x14ac:dyDescent="0.25">
      <c r="A23" s="288" t="str">
        <f ca="1">IF(Table1[[#This Row],[No. Invoice :]]="","",ROW())</f>
        <v/>
      </c>
      <c r="B23" s="288" t="str">
        <f ca="1">IF(Table1[h_Kode Sales :_1]="","",B$1+COUNT(INDIRECT("B$2:B"&amp;ROW()-1)))</f>
        <v/>
      </c>
      <c r="C23" s="282" t="str">
        <f>IF(Table1[[#This Row],[H_TGL]]="","",Table1[[#This Row],[H_TGL]]+C$1-1)</f>
        <v/>
      </c>
      <c r="H23" s="288" t="str">
        <f ca="1">IF(Table1[[#This Row],[h_No. Invoice :]]="","",CONCATENATE("AM"," ",Table1[[#This Row],[h_No. Invoice :]]))</f>
        <v/>
      </c>
      <c r="I23" s="289" t="str">
        <f>CONCATENATE(UPPER(Table1[[#This Row],[h_Kode Sales :_1]])," ",Table1[[#This Row],[h_Kode Sales :_2]])</f>
        <v xml:space="preserve"> </v>
      </c>
      <c r="J23" s="288" t="str">
        <f>IF(Table1[[#This Row],[h_toko]]="","",INDEX(Table2[e],IF(Table1[[#This Row],[h_toko]]="","",MATCH(Table1[[#This Row],[h_toko]],Table2[a],0)),))</f>
        <v/>
      </c>
      <c r="K23" s="281">
        <v>60</v>
      </c>
      <c r="L23" s="281" t="s">
        <v>142</v>
      </c>
      <c r="M23" s="281">
        <v>1</v>
      </c>
      <c r="N23" s="281" t="s">
        <v>157</v>
      </c>
      <c r="O23" s="288" t="str">
        <f>IF(Table1[[#This Row],[h_Item Description]]="","",INDEX([1]!db[NB PAJAK],MATCH(Table1[[#This Row],[h_Item Description]],[1]!db[kode],0)))</f>
        <v>ISI CUTTER 18 MM KENKO L-150 (BESAR)</v>
      </c>
      <c r="P23" s="281" t="s">
        <v>166</v>
      </c>
      <c r="Q23" s="284">
        <v>64800</v>
      </c>
      <c r="R23" s="285">
        <v>0.13</v>
      </c>
      <c r="T23" s="284">
        <f>Table1[[#This Row],[h_hargasetelahdiskon]]</f>
        <v>3382560</v>
      </c>
      <c r="W23" s="288">
        <f ca="1">IF(Table1[[#This Row],[Item Description]]="","",IF(Table1[[#This Row],[//]]="",INDIRECT(ADDRESS(ROW()-1,COLUMN())),Table1[[#This Row],[//]]))</f>
        <v>20</v>
      </c>
      <c r="X23" s="288">
        <f ca="1">IF(Table1[[#This Row],[h_id]]="","",COUNTIF(Table1[h_id],Table1[[#This Row],[h_id]]))</f>
        <v>4</v>
      </c>
      <c r="Y23" s="284">
        <f>IF(Table1[Item Description]="","",Table1[[#This Row],[Qty]]*Table1[[#This Row],[Unit Price]])</f>
        <v>3888000</v>
      </c>
      <c r="Z23" s="284">
        <f>IF(Table1[[#This Row],[h_hargasebelumdiskon]]="","",IF(Table1[[#This Row],[Disc 1]]="",0,Table1[[#This Row],[h_hargasebelumdiskon]]*Table1[[#This Row],[Disc 1]]))</f>
        <v>505440</v>
      </c>
      <c r="AA23" s="284">
        <f>IF(Table1[[#This Row],[h_hargasebelumdiskon]]="","",IF(Table1[[#This Row],[Disc 2]]="",0,(Table1[[#This Row],[h_hargasebelumdiskon]]-Table1[[#This Row],[h_disc 1]])*Table1[[#This Row],[Disc 2]]))</f>
        <v>0</v>
      </c>
      <c r="AB23" s="284">
        <f>IF(Table1[Item Description]="","",Table1[[#This Row],[h_disc 1]]+Table1[[#This Row],[h_disc 2]])</f>
        <v>505440</v>
      </c>
      <c r="AC23" s="284">
        <f>IF(Table1[Item Description]="","",Table1[[#This Row],[h_hargasebelumdiskon]]-Table1[[#This Row],[h_diskon]])</f>
        <v>3382560</v>
      </c>
      <c r="AD23" s="284" t="str">
        <f ca="1">IF(Table1[//]="","",SUMIF(Table1[h_id],Table1[h_id],Table1[h_hargasetelahdiskon]))</f>
        <v/>
      </c>
      <c r="AE23" s="284"/>
      <c r="AF23" s="284" t="str">
        <f>Table1[[#This Row],[Item Description]]&amp;Table1[[#This Row],[Unit]]&amp;Table1[[#This Row],[Unit Price]]</f>
        <v>ISI CUTTER 18 MM KENKO L-150 (BESAR)LSN64800</v>
      </c>
    </row>
    <row r="24" spans="1:32" x14ac:dyDescent="0.25">
      <c r="A24" s="288" t="str">
        <f ca="1">IF(Table1[[#This Row],[No. Invoice :]]="","",ROW())</f>
        <v/>
      </c>
      <c r="B24" s="288" t="str">
        <f ca="1">IF(Table1[h_Kode Sales :_1]="","",B$1+COUNT(INDIRECT("B$2:B"&amp;ROW()-1)))</f>
        <v/>
      </c>
      <c r="C24" s="282" t="str">
        <f>IF(Table1[[#This Row],[H_TGL]]="","",Table1[[#This Row],[H_TGL]]+C$1-1)</f>
        <v/>
      </c>
      <c r="H24" s="288" t="str">
        <f ca="1">IF(Table1[[#This Row],[h_No. Invoice :]]="","",CONCATENATE("AM"," ",Table1[[#This Row],[h_No. Invoice :]]))</f>
        <v/>
      </c>
      <c r="I24" s="289" t="str">
        <f>CONCATENATE(UPPER(Table1[[#This Row],[h_Kode Sales :_1]])," ",Table1[[#This Row],[h_Kode Sales :_2]])</f>
        <v xml:space="preserve"> </v>
      </c>
      <c r="J24" s="288" t="str">
        <f>IF(Table1[[#This Row],[h_toko]]="","",INDEX(Table2[e],IF(Table1[[#This Row],[h_toko]]="","",MATCH(Table1[[#This Row],[h_toko]],Table2[a],0)),))</f>
        <v/>
      </c>
      <c r="O24" s="288" t="str">
        <f>IF(Table1[[#This Row],[h_Item Description]]="","",INDEX([1]!db[NB PAJAK],MATCH(Table1[[#This Row],[h_Item Description]],[1]!db[kode],0)))</f>
        <v/>
      </c>
      <c r="Q24" s="284"/>
      <c r="R24" s="285"/>
      <c r="T24" s="284" t="str">
        <f>Table1[[#This Row],[h_hargasetelahdiskon]]</f>
        <v/>
      </c>
      <c r="W24" s="288" t="str">
        <f ca="1">IF(Table1[[#This Row],[Item Description]]="","",IF(Table1[[#This Row],[//]]="",INDIRECT(ADDRESS(ROW()-1,COLUMN())),Table1[[#This Row],[//]]))</f>
        <v/>
      </c>
      <c r="X24" s="288" t="str">
        <f ca="1">IF(Table1[[#This Row],[h_id]]="","",COUNTIF(Table1[h_id],Table1[[#This Row],[h_id]]))</f>
        <v/>
      </c>
      <c r="Y24" s="284" t="str">
        <f>IF(Table1[Item Description]="","",Table1[[#This Row],[Qty]]*Table1[[#This Row],[Unit Price]])</f>
        <v/>
      </c>
      <c r="Z24" s="284" t="str">
        <f>IF(Table1[[#This Row],[h_hargasebelumdiskon]]="","",IF(Table1[[#This Row],[Disc 1]]="",0,Table1[[#This Row],[h_hargasebelumdiskon]]*Table1[[#This Row],[Disc 1]]))</f>
        <v/>
      </c>
      <c r="AA24" s="284" t="str">
        <f>IF(Table1[[#This Row],[h_hargasebelumdiskon]]="","",IF(Table1[[#This Row],[Disc 2]]="",0,(Table1[[#This Row],[h_hargasebelumdiskon]]-Table1[[#This Row],[h_disc 1]])*Table1[[#This Row],[Disc 2]]))</f>
        <v/>
      </c>
      <c r="AB24" s="284" t="str">
        <f>IF(Table1[Item Description]="","",Table1[[#This Row],[h_disc 1]]+Table1[[#This Row],[h_disc 2]])</f>
        <v/>
      </c>
      <c r="AC24" s="284" t="str">
        <f>IF(Table1[Item Description]="","",Table1[[#This Row],[h_hargasebelumdiskon]]-Table1[[#This Row],[h_diskon]])</f>
        <v/>
      </c>
      <c r="AD24" s="284" t="str">
        <f ca="1">IF(Table1[//]="","",SUMIF(Table1[h_id],Table1[h_id],Table1[h_hargasetelahdiskon]))</f>
        <v/>
      </c>
      <c r="AE24" s="284"/>
      <c r="AF24" s="284" t="str">
        <f>Table1[[#This Row],[Item Description]]&amp;Table1[[#This Row],[Unit]]&amp;Table1[[#This Row],[Unit Price]]</f>
        <v/>
      </c>
    </row>
    <row r="25" spans="1:32" x14ac:dyDescent="0.25">
      <c r="A25" s="288">
        <f ca="1">IF(Table1[[#This Row],[No. Invoice :]]="","",ROW())</f>
        <v>25</v>
      </c>
      <c r="B25" s="288">
        <f ca="1">IF(Table1[h_Kode Sales :_1]="","",B$1+COUNT(INDIRECT("B$2:B"&amp;ROW()-1)))</f>
        <v>23070006</v>
      </c>
      <c r="C25" s="282">
        <f>IF(Table1[[#This Row],[H_TGL]]="","",Table1[[#This Row],[H_TGL]]+C$1-1)</f>
        <v>45113</v>
      </c>
      <c r="D25" s="293">
        <v>6</v>
      </c>
      <c r="E25" s="281" t="s">
        <v>122</v>
      </c>
      <c r="F25" s="283" t="s">
        <v>177</v>
      </c>
      <c r="G25" s="281" t="s">
        <v>41</v>
      </c>
      <c r="H25" s="288" t="str">
        <f ca="1">IF(Table1[[#This Row],[h_No. Invoice :]]="","",CONCATENATE("AM"," ",Table1[[#This Row],[h_No. Invoice :]]))</f>
        <v>AM 23070006</v>
      </c>
      <c r="I25" s="289" t="str">
        <f>CONCATENATE(UPPER(Table1[[#This Row],[h_Kode Sales :_1]])," ",Table1[[#This Row],[h_Kode Sales :_2]])</f>
        <v>KO 4923</v>
      </c>
      <c r="J25" s="288" t="str">
        <f>IF(Table1[[#This Row],[h_toko]]="","",INDEX(Table2[e],IF(Table1[[#This Row],[h_toko]]="","",MATCH(Table1[[#This Row],[h_toko]],Table2[a],0)),))</f>
        <v>CV DWI JAYA YOGYAKARTA</v>
      </c>
      <c r="K25" s="281">
        <v>20</v>
      </c>
      <c r="L25" s="281" t="s">
        <v>142</v>
      </c>
      <c r="M25" s="281">
        <v>1</v>
      </c>
      <c r="N25" s="281" t="s">
        <v>178</v>
      </c>
      <c r="O25" s="288" t="str">
        <f>IF(Table1[[#This Row],[h_Item Description]]="","",INDEX([1]!db[NB PAJAK],MATCH(Table1[[#This Row],[h_Item Description]],[1]!db[kode],0)))</f>
        <v>LEM CAIR 50 ML KENKO LG-50</v>
      </c>
      <c r="P25" s="281" t="s">
        <v>180</v>
      </c>
      <c r="Q25" s="284">
        <v>25200</v>
      </c>
      <c r="R25" s="285">
        <v>0.1</v>
      </c>
      <c r="T25" s="284">
        <f>Table1[[#This Row],[h_hargasetelahdiskon]]</f>
        <v>453600</v>
      </c>
      <c r="U25" s="284" t="s">
        <v>149</v>
      </c>
      <c r="W25" s="288">
        <f ca="1">IF(Table1[[#This Row],[Item Description]]="","",IF(Table1[[#This Row],[//]]="",INDIRECT(ADDRESS(ROW()-1,COLUMN())),Table1[[#This Row],[//]]))</f>
        <v>25</v>
      </c>
      <c r="X25" s="288">
        <f ca="1">IF(Table1[[#This Row],[h_id]]="","",COUNTIF(Table1[h_id],Table1[[#This Row],[h_id]]))</f>
        <v>2</v>
      </c>
      <c r="Y25" s="284">
        <f>IF(Table1[Item Description]="","",Table1[[#This Row],[Qty]]*Table1[[#This Row],[Unit Price]])</f>
        <v>504000</v>
      </c>
      <c r="Z25" s="284">
        <f>IF(Table1[[#This Row],[h_hargasebelumdiskon]]="","",IF(Table1[[#This Row],[Disc 1]]="",0,Table1[[#This Row],[h_hargasebelumdiskon]]*Table1[[#This Row],[Disc 1]]))</f>
        <v>50400</v>
      </c>
      <c r="AA25" s="284">
        <f>IF(Table1[[#This Row],[h_hargasebelumdiskon]]="","",IF(Table1[[#This Row],[Disc 2]]="",0,(Table1[[#This Row],[h_hargasebelumdiskon]]-Table1[[#This Row],[h_disc 1]])*Table1[[#This Row],[Disc 2]]))</f>
        <v>0</v>
      </c>
      <c r="AB25" s="284">
        <f>IF(Table1[Item Description]="","",Table1[[#This Row],[h_disc 1]]+Table1[[#This Row],[h_disc 2]])</f>
        <v>50400</v>
      </c>
      <c r="AC25" s="284">
        <f>IF(Table1[Item Description]="","",Table1[[#This Row],[h_hargasebelumdiskon]]-Table1[[#This Row],[h_diskon]])</f>
        <v>453600</v>
      </c>
      <c r="AD25" s="284">
        <f ca="1">IF(Table1[//]="","",SUMIF(Table1[h_id],Table1[h_id],Table1[h_hargasetelahdiskon]))</f>
        <v>4289760</v>
      </c>
      <c r="AE25" s="284"/>
      <c r="AF25" s="284" t="str">
        <f>Table1[[#This Row],[Item Description]]&amp;Table1[[#This Row],[Unit]]&amp;Table1[[#This Row],[Unit Price]]</f>
        <v>LEM CAIR 50 ML KENKO LG-50LSN25200</v>
      </c>
    </row>
    <row r="26" spans="1:32" x14ac:dyDescent="0.25">
      <c r="A26" s="288" t="str">
        <f ca="1">IF(Table1[[#This Row],[No. Invoice :]]="","",ROW())</f>
        <v/>
      </c>
      <c r="B26" s="288" t="str">
        <f ca="1">IF(Table1[h_Kode Sales :_1]="","",B$1+COUNT(INDIRECT("B$2:B"&amp;ROW()-1)))</f>
        <v/>
      </c>
      <c r="C26" s="282" t="str">
        <f>IF(Table1[[#This Row],[H_TGL]]="","",Table1[[#This Row],[H_TGL]]+C$1-1)</f>
        <v/>
      </c>
      <c r="H26" s="288" t="str">
        <f ca="1">IF(Table1[[#This Row],[h_No. Invoice :]]="","",CONCATENATE("AM"," ",Table1[[#This Row],[h_No. Invoice :]]))</f>
        <v/>
      </c>
      <c r="I26" s="289" t="str">
        <f>CONCATENATE(UPPER(Table1[[#This Row],[h_Kode Sales :_1]])," ",Table1[[#This Row],[h_Kode Sales :_2]])</f>
        <v xml:space="preserve"> </v>
      </c>
      <c r="J26" s="288" t="str">
        <f>IF(Table1[[#This Row],[h_toko]]="","",INDEX(Table2[e],IF(Table1[[#This Row],[h_toko]]="","",MATCH(Table1[[#This Row],[h_toko]],Table2[a],0)),))</f>
        <v/>
      </c>
      <c r="K26" s="281">
        <v>144</v>
      </c>
      <c r="L26" s="281" t="s">
        <v>155</v>
      </c>
      <c r="M26" s="281">
        <v>3</v>
      </c>
      <c r="N26" s="281" t="s">
        <v>179</v>
      </c>
      <c r="O26" s="288" t="str">
        <f>IF(Table1[[#This Row],[h_Item Description]]="","",INDEX([1]!db[NB PAJAK],MATCH(Table1[[#This Row],[h_Item Description]],[1]!db[kode],0)))</f>
        <v>CRAYON / OIL PASTEL JOYKO OP-24S PP CASE SEA WORLD</v>
      </c>
      <c r="P26" s="281" t="s">
        <v>181</v>
      </c>
      <c r="Q26" s="284">
        <v>29600</v>
      </c>
      <c r="R26" s="285">
        <v>0.1</v>
      </c>
      <c r="T26" s="284">
        <f>Table1[[#This Row],[h_hargasetelahdiskon]]</f>
        <v>3836160</v>
      </c>
      <c r="W26" s="288">
        <f ca="1">IF(Table1[[#This Row],[Item Description]]="","",IF(Table1[[#This Row],[//]]="",INDIRECT(ADDRESS(ROW()-1,COLUMN())),Table1[[#This Row],[//]]))</f>
        <v>25</v>
      </c>
      <c r="X26" s="288">
        <f ca="1">IF(Table1[[#This Row],[h_id]]="","",COUNTIF(Table1[h_id],Table1[[#This Row],[h_id]]))</f>
        <v>2</v>
      </c>
      <c r="Y26" s="284">
        <f>IF(Table1[Item Description]="","",Table1[[#This Row],[Qty]]*Table1[[#This Row],[Unit Price]])</f>
        <v>4262400</v>
      </c>
      <c r="Z26" s="284">
        <f>IF(Table1[[#This Row],[h_hargasebelumdiskon]]="","",IF(Table1[[#This Row],[Disc 1]]="",0,Table1[[#This Row],[h_hargasebelumdiskon]]*Table1[[#This Row],[Disc 1]]))</f>
        <v>426240</v>
      </c>
      <c r="AA26" s="284">
        <f>IF(Table1[[#This Row],[h_hargasebelumdiskon]]="","",IF(Table1[[#This Row],[Disc 2]]="",0,(Table1[[#This Row],[h_hargasebelumdiskon]]-Table1[[#This Row],[h_disc 1]])*Table1[[#This Row],[Disc 2]]))</f>
        <v>0</v>
      </c>
      <c r="AB26" s="284">
        <f>IF(Table1[Item Description]="","",Table1[[#This Row],[h_disc 1]]+Table1[[#This Row],[h_disc 2]])</f>
        <v>426240</v>
      </c>
      <c r="AC26" s="284">
        <f>IF(Table1[Item Description]="","",Table1[[#This Row],[h_hargasebelumdiskon]]-Table1[[#This Row],[h_diskon]])</f>
        <v>3836160</v>
      </c>
      <c r="AD26" s="284" t="str">
        <f ca="1">IF(Table1[//]="","",SUMIF(Table1[h_id],Table1[h_id],Table1[h_hargasetelahdiskon]))</f>
        <v/>
      </c>
      <c r="AE26" s="284"/>
      <c r="AF26" s="284" t="str">
        <f>Table1[[#This Row],[Item Description]]&amp;Table1[[#This Row],[Unit]]&amp;Table1[[#This Row],[Unit Price]]</f>
        <v>CRAYON / OIL PASTEL JOYKO OP-24S PP CASE SEA WORLDPCS29600</v>
      </c>
    </row>
    <row r="27" spans="1:32" x14ac:dyDescent="0.25">
      <c r="A27" s="288" t="str">
        <f ca="1">IF(Table1[[#This Row],[No. Invoice :]]="","",ROW())</f>
        <v/>
      </c>
      <c r="B27" s="288" t="str">
        <f ca="1">IF(Table1[h_Kode Sales :_1]="","",B$1+COUNT(INDIRECT("B$2:B"&amp;ROW()-1)))</f>
        <v/>
      </c>
      <c r="C27" s="282" t="str">
        <f>IF(Table1[[#This Row],[H_TGL]]="","",Table1[[#This Row],[H_TGL]]+C$1-1)</f>
        <v/>
      </c>
      <c r="H27" s="288" t="str">
        <f ca="1">IF(Table1[[#This Row],[h_No. Invoice :]]="","",CONCATENATE("AM"," ",Table1[[#This Row],[h_No. Invoice :]]))</f>
        <v/>
      </c>
      <c r="I27" s="289" t="str">
        <f>CONCATENATE(UPPER(Table1[[#This Row],[h_Kode Sales :_1]])," ",Table1[[#This Row],[h_Kode Sales :_2]])</f>
        <v xml:space="preserve"> </v>
      </c>
      <c r="J27" s="288" t="str">
        <f>IF(Table1[[#This Row],[h_toko]]="","",INDEX(Table2[e],IF(Table1[[#This Row],[h_toko]]="","",MATCH(Table1[[#This Row],[h_toko]],Table2[a],0)),))</f>
        <v/>
      </c>
      <c r="O27" s="288" t="str">
        <f>IF(Table1[[#This Row],[h_Item Description]]="","",INDEX([1]!db[NB PAJAK],MATCH(Table1[[#This Row],[h_Item Description]],[1]!db[kode],0)))</f>
        <v/>
      </c>
      <c r="Q27" s="284"/>
      <c r="R27" s="285"/>
      <c r="T27" s="284" t="str">
        <f>Table1[[#This Row],[h_hargasetelahdiskon]]</f>
        <v/>
      </c>
      <c r="W27" s="288" t="str">
        <f ca="1">IF(Table1[[#This Row],[Item Description]]="","",IF(Table1[[#This Row],[//]]="",INDIRECT(ADDRESS(ROW()-1,COLUMN())),Table1[[#This Row],[//]]))</f>
        <v/>
      </c>
      <c r="X27" s="288" t="str">
        <f ca="1">IF(Table1[[#This Row],[h_id]]="","",COUNTIF(Table1[h_id],Table1[[#This Row],[h_id]]))</f>
        <v/>
      </c>
      <c r="Y27" s="284" t="str">
        <f>IF(Table1[Item Description]="","",Table1[[#This Row],[Qty]]*Table1[[#This Row],[Unit Price]])</f>
        <v/>
      </c>
      <c r="Z27" s="284" t="str">
        <f>IF(Table1[[#This Row],[h_hargasebelumdiskon]]="","",IF(Table1[[#This Row],[Disc 1]]="",0,Table1[[#This Row],[h_hargasebelumdiskon]]*Table1[[#This Row],[Disc 1]]))</f>
        <v/>
      </c>
      <c r="AA27" s="284" t="str">
        <f>IF(Table1[[#This Row],[h_hargasebelumdiskon]]="","",IF(Table1[[#This Row],[Disc 2]]="",0,(Table1[[#This Row],[h_hargasebelumdiskon]]-Table1[[#This Row],[h_disc 1]])*Table1[[#This Row],[Disc 2]]))</f>
        <v/>
      </c>
      <c r="AB27" s="284" t="str">
        <f>IF(Table1[Item Description]="","",Table1[[#This Row],[h_disc 1]]+Table1[[#This Row],[h_disc 2]])</f>
        <v/>
      </c>
      <c r="AC27" s="284" t="str">
        <f>IF(Table1[Item Description]="","",Table1[[#This Row],[h_hargasebelumdiskon]]-Table1[[#This Row],[h_diskon]])</f>
        <v/>
      </c>
      <c r="AD27" s="284" t="str">
        <f ca="1">IF(Table1[//]="","",SUMIF(Table1[h_id],Table1[h_id],Table1[h_hargasetelahdiskon]))</f>
        <v/>
      </c>
      <c r="AE27" s="284"/>
      <c r="AF27" s="284" t="str">
        <f>Table1[[#This Row],[Item Description]]&amp;Table1[[#This Row],[Unit]]&amp;Table1[[#This Row],[Unit Price]]</f>
        <v/>
      </c>
    </row>
    <row r="28" spans="1:32" x14ac:dyDescent="0.25">
      <c r="A28" s="288">
        <f ca="1">IF(Table1[[#This Row],[No. Invoice :]]="","",ROW())</f>
        <v>28</v>
      </c>
      <c r="B28" s="288">
        <f ca="1">IF(Table1[h_Kode Sales :_1]="","",B$1+COUNT(INDIRECT("B$2:B"&amp;ROW()-1)))</f>
        <v>23070007</v>
      </c>
      <c r="C28" s="282">
        <f>IF(Table1[[#This Row],[H_TGL]]="","",Table1[[#This Row],[H_TGL]]+C$1-1)</f>
        <v>45114</v>
      </c>
      <c r="D28" s="293">
        <v>7</v>
      </c>
      <c r="E28" s="281" t="s">
        <v>129</v>
      </c>
      <c r="F28" s="283" t="s">
        <v>182</v>
      </c>
      <c r="G28" s="281" t="s">
        <v>183</v>
      </c>
      <c r="H28" s="288" t="str">
        <f ca="1">IF(Table1[[#This Row],[h_No. Invoice :]]="","",CONCATENATE("AM"," ",Table1[[#This Row],[h_No. Invoice :]]))</f>
        <v>AM 23070007</v>
      </c>
      <c r="I28" s="289" t="str">
        <f>CONCATENATE(UPPER(Table1[[#This Row],[h_Kode Sales :_1]])," ",Table1[[#This Row],[h_Kode Sales :_2]])</f>
        <v>G 4866</v>
      </c>
      <c r="J28" s="288" t="str">
        <f>IF(Table1[[#This Row],[h_toko]]="","",INDEX(Table2[e],IF(Table1[[#This Row],[h_toko]]="","",MATCH(Table1[[#This Row],[h_toko]],Table2[a],0)),))</f>
        <v>GUNAWAN HARTONO KUSUMA ( NIKI SAE ) TULUNG AGUNG</v>
      </c>
      <c r="K28" s="281">
        <v>720</v>
      </c>
      <c r="L28" s="281" t="s">
        <v>155</v>
      </c>
      <c r="M28" s="281">
        <v>10</v>
      </c>
      <c r="N28" s="281" t="s">
        <v>184</v>
      </c>
      <c r="O28" s="288" t="e">
        <f>IF(Table1[[#This Row],[h_Item Description]]="","",INDEX([1]!db[NB PAJAK],MATCH(Table1[[#This Row],[h_Item Description]],[1]!db[kode],0)))</f>
        <v>#N/A</v>
      </c>
      <c r="P28" s="281" t="s">
        <v>185</v>
      </c>
      <c r="Q28" s="284">
        <v>50000</v>
      </c>
      <c r="R28" s="285">
        <v>0.125</v>
      </c>
      <c r="T28" s="284">
        <f>Table1[[#This Row],[h_hargasetelahdiskon]]</f>
        <v>31500000</v>
      </c>
      <c r="U28" s="284" t="s">
        <v>149</v>
      </c>
      <c r="W28" s="288">
        <f ca="1">IF(Table1[[#This Row],[Item Description]]="","",IF(Table1[[#This Row],[//]]="",INDIRECT(ADDRESS(ROW()-1,COLUMN())),Table1[[#This Row],[//]]))</f>
        <v>28</v>
      </c>
      <c r="X28" s="288">
        <f ca="1">IF(Table1[[#This Row],[h_id]]="","",COUNTIF(Table1[h_id],Table1[[#This Row],[h_id]]))</f>
        <v>1</v>
      </c>
      <c r="Y28" s="284">
        <f>IF(Table1[Item Description]="","",Table1[[#This Row],[Qty]]*Table1[[#This Row],[Unit Price]])</f>
        <v>36000000</v>
      </c>
      <c r="Z28" s="284">
        <f>IF(Table1[[#This Row],[h_hargasebelumdiskon]]="","",IF(Table1[[#This Row],[Disc 1]]="",0,Table1[[#This Row],[h_hargasebelumdiskon]]*Table1[[#This Row],[Disc 1]]))</f>
        <v>4500000</v>
      </c>
      <c r="AA28" s="284">
        <f>IF(Table1[[#This Row],[h_hargasebelumdiskon]]="","",IF(Table1[[#This Row],[Disc 2]]="",0,(Table1[[#This Row],[h_hargasebelumdiskon]]-Table1[[#This Row],[h_disc 1]])*Table1[[#This Row],[Disc 2]]))</f>
        <v>0</v>
      </c>
      <c r="AB28" s="284">
        <f>IF(Table1[Item Description]="","",Table1[[#This Row],[h_disc 1]]+Table1[[#This Row],[h_disc 2]])</f>
        <v>4500000</v>
      </c>
      <c r="AC28" s="284">
        <f>IF(Table1[Item Description]="","",Table1[[#This Row],[h_hargasebelumdiskon]]-Table1[[#This Row],[h_diskon]])</f>
        <v>31500000</v>
      </c>
      <c r="AD28" s="284">
        <f ca="1">IF(Table1[//]="","",SUMIF(Table1[h_id],Table1[h_id],Table1[h_hargasetelahdiskon]))</f>
        <v>31500000</v>
      </c>
      <c r="AE28" s="284"/>
      <c r="AF28" s="284" t="str">
        <f>Table1[[#This Row],[Item Description]]&amp;Table1[[#This Row],[Unit]]&amp;Table1[[#This Row],[Unit Price]]</f>
        <v>CRAYON / OIL PASTEL PUTAR TITI TI-CP-24T TWISTPCS50000</v>
      </c>
    </row>
    <row r="29" spans="1:32" x14ac:dyDescent="0.25">
      <c r="A29" s="288" t="str">
        <f ca="1">IF(Table1[[#This Row],[No. Invoice :]]="","",ROW())</f>
        <v/>
      </c>
      <c r="B29" s="288" t="str">
        <f ca="1">IF(Table1[h_Kode Sales :_1]="","",B$1+COUNT(INDIRECT("B$2:B"&amp;ROW()-1)))</f>
        <v/>
      </c>
      <c r="C29" s="282" t="str">
        <f>IF(Table1[[#This Row],[H_TGL]]="","",Table1[[#This Row],[H_TGL]]+C$1-1)</f>
        <v/>
      </c>
      <c r="H29" s="288" t="str">
        <f ca="1">IF(Table1[[#This Row],[h_No. Invoice :]]="","",CONCATENATE("AM"," ",Table1[[#This Row],[h_No. Invoice :]]))</f>
        <v/>
      </c>
      <c r="I29" s="289" t="str">
        <f>CONCATENATE(UPPER(Table1[[#This Row],[h_Kode Sales :_1]])," ",Table1[[#This Row],[h_Kode Sales :_2]])</f>
        <v xml:space="preserve"> </v>
      </c>
      <c r="J29" s="288" t="str">
        <f>IF(Table1[[#This Row],[h_toko]]="","",INDEX(Table2[e],IF(Table1[[#This Row],[h_toko]]="","",MATCH(Table1[[#This Row],[h_toko]],Table2[a],0)),))</f>
        <v/>
      </c>
      <c r="O29" s="288" t="str">
        <f>IF(Table1[[#This Row],[h_Item Description]]="","",INDEX([1]!db[NB PAJAK],MATCH(Table1[[#This Row],[h_Item Description]],[1]!db[kode],0)))</f>
        <v/>
      </c>
      <c r="Q29" s="284"/>
      <c r="R29" s="285"/>
      <c r="T29" s="284" t="str">
        <f>Table1[[#This Row],[h_hargasetelahdiskon]]</f>
        <v/>
      </c>
      <c r="W29" s="288" t="str">
        <f ca="1">IF(Table1[[#This Row],[Item Description]]="","",IF(Table1[[#This Row],[//]]="",INDIRECT(ADDRESS(ROW()-1,COLUMN())),Table1[[#This Row],[//]]))</f>
        <v/>
      </c>
      <c r="X29" s="288" t="str">
        <f ca="1">IF(Table1[[#This Row],[h_id]]="","",COUNTIF(Table1[h_id],Table1[[#This Row],[h_id]]))</f>
        <v/>
      </c>
      <c r="Y29" s="284" t="str">
        <f>IF(Table1[Item Description]="","",Table1[[#This Row],[Qty]]*Table1[[#This Row],[Unit Price]])</f>
        <v/>
      </c>
      <c r="Z29" s="284" t="str">
        <f>IF(Table1[[#This Row],[h_hargasebelumdiskon]]="","",IF(Table1[[#This Row],[Disc 1]]="",0,Table1[[#This Row],[h_hargasebelumdiskon]]*Table1[[#This Row],[Disc 1]]))</f>
        <v/>
      </c>
      <c r="AA29" s="284" t="str">
        <f>IF(Table1[[#This Row],[h_hargasebelumdiskon]]="","",IF(Table1[[#This Row],[Disc 2]]="",0,(Table1[[#This Row],[h_hargasebelumdiskon]]-Table1[[#This Row],[h_disc 1]])*Table1[[#This Row],[Disc 2]]))</f>
        <v/>
      </c>
      <c r="AB29" s="284" t="str">
        <f>IF(Table1[Item Description]="","",Table1[[#This Row],[h_disc 1]]+Table1[[#This Row],[h_disc 2]])</f>
        <v/>
      </c>
      <c r="AC29" s="284" t="str">
        <f>IF(Table1[Item Description]="","",Table1[[#This Row],[h_hargasebelumdiskon]]-Table1[[#This Row],[h_diskon]])</f>
        <v/>
      </c>
      <c r="AD29" s="284" t="str">
        <f ca="1">IF(Table1[//]="","",SUMIF(Table1[h_id],Table1[h_id],Table1[h_hargasetelahdiskon]))</f>
        <v/>
      </c>
      <c r="AE29" s="284"/>
      <c r="AF29" s="284" t="str">
        <f>Table1[[#This Row],[Item Description]]&amp;Table1[[#This Row],[Unit]]&amp;Table1[[#This Row],[Unit Price]]</f>
        <v/>
      </c>
    </row>
    <row r="30" spans="1:32" x14ac:dyDescent="0.25">
      <c r="A30" s="288">
        <f ca="1">IF(Table1[[#This Row],[No. Invoice :]]="","",ROW())</f>
        <v>30</v>
      </c>
      <c r="B30" s="288">
        <f ca="1">IF(Table1[h_Kode Sales :_1]="","",B$1+COUNT(INDIRECT("B$2:B"&amp;ROW()-1)))</f>
        <v>23070008</v>
      </c>
      <c r="C30" s="282">
        <f>IF(Table1[[#This Row],[H_TGL]]="","",Table1[[#This Row],[H_TGL]]+C$1-1)</f>
        <v>45115</v>
      </c>
      <c r="D30" s="293">
        <v>8</v>
      </c>
      <c r="E30" s="281" t="s">
        <v>122</v>
      </c>
      <c r="F30" s="283" t="s">
        <v>186</v>
      </c>
      <c r="G30" s="281" t="s">
        <v>84</v>
      </c>
      <c r="H30" s="288" t="str">
        <f ca="1">IF(Table1[[#This Row],[h_No. Invoice :]]="","",CONCATENATE("AM"," ",Table1[[#This Row],[h_No. Invoice :]]))</f>
        <v>AM 23070008</v>
      </c>
      <c r="I30" s="289" t="str">
        <f>CONCATENATE(UPPER(Table1[[#This Row],[h_Kode Sales :_1]])," ",Table1[[#This Row],[h_Kode Sales :_2]])</f>
        <v>KO 4871</v>
      </c>
      <c r="J30" s="288" t="str">
        <f>IF(Table1[[#This Row],[h_toko]]="","",INDEX(Table2[e],IF(Table1[[#This Row],[h_toko]]="","",MATCH(Table1[[#This Row],[h_toko]],Table2[a],0)),))</f>
        <v>CV PELITA JAYA (ANUGERAH SEJAHTERA) PURWOKERTO</v>
      </c>
      <c r="K30" s="281">
        <v>30</v>
      </c>
      <c r="L30" s="281" t="s">
        <v>142</v>
      </c>
      <c r="M30" s="281">
        <v>1</v>
      </c>
      <c r="N30" s="281" t="s">
        <v>187</v>
      </c>
      <c r="O30" s="288" t="str">
        <f>IF(Table1[[#This Row],[h_Item Description]]="","",INDEX([1]!db[NB PAJAK],MATCH(Table1[[#This Row],[h_Item Description]],[1]!db[kode],0)))</f>
        <v>STAPLER SDI 1102 NO.10 (HD-10)</v>
      </c>
      <c r="P30" s="281" t="s">
        <v>188</v>
      </c>
      <c r="Q30" s="284">
        <v>138000</v>
      </c>
      <c r="R30" s="285">
        <v>0.125</v>
      </c>
      <c r="T30" s="284">
        <f>Table1[[#This Row],[h_hargasetelahdiskon]]</f>
        <v>3622500</v>
      </c>
      <c r="U30" s="284" t="s">
        <v>149</v>
      </c>
      <c r="W30" s="288">
        <f ca="1">IF(Table1[[#This Row],[Item Description]]="","",IF(Table1[[#This Row],[//]]="",INDIRECT(ADDRESS(ROW()-1,COLUMN())),Table1[[#This Row],[//]]))</f>
        <v>30</v>
      </c>
      <c r="X30" s="288">
        <f ca="1">IF(Table1[[#This Row],[h_id]]="","",COUNTIF(Table1[h_id],Table1[[#This Row],[h_id]]))</f>
        <v>1</v>
      </c>
      <c r="Y30" s="284">
        <f>IF(Table1[Item Description]="","",Table1[[#This Row],[Qty]]*Table1[[#This Row],[Unit Price]])</f>
        <v>4140000</v>
      </c>
      <c r="Z30" s="284">
        <f>IF(Table1[[#This Row],[h_hargasebelumdiskon]]="","",IF(Table1[[#This Row],[Disc 1]]="",0,Table1[[#This Row],[h_hargasebelumdiskon]]*Table1[[#This Row],[Disc 1]]))</f>
        <v>517500</v>
      </c>
      <c r="AA30" s="284">
        <f>IF(Table1[[#This Row],[h_hargasebelumdiskon]]="","",IF(Table1[[#This Row],[Disc 2]]="",0,(Table1[[#This Row],[h_hargasebelumdiskon]]-Table1[[#This Row],[h_disc 1]])*Table1[[#This Row],[Disc 2]]))</f>
        <v>0</v>
      </c>
      <c r="AB30" s="284">
        <f>IF(Table1[Item Description]="","",Table1[[#This Row],[h_disc 1]]+Table1[[#This Row],[h_disc 2]])</f>
        <v>517500</v>
      </c>
      <c r="AC30" s="284">
        <f>IF(Table1[Item Description]="","",Table1[[#This Row],[h_hargasebelumdiskon]]-Table1[[#This Row],[h_diskon]])</f>
        <v>3622500</v>
      </c>
      <c r="AD30" s="284">
        <f ca="1">IF(Table1[//]="","",SUMIF(Table1[h_id],Table1[h_id],Table1[h_hargasetelahdiskon]))</f>
        <v>3622500</v>
      </c>
      <c r="AE30" s="284"/>
      <c r="AF30" s="284" t="str">
        <f>Table1[[#This Row],[Item Description]]&amp;Table1[[#This Row],[Unit]]&amp;Table1[[#This Row],[Unit Price]]</f>
        <v>STAPLER SDI 1102 NO.10 (HD-10)LSN138000</v>
      </c>
    </row>
    <row r="31" spans="1:32" x14ac:dyDescent="0.25">
      <c r="A31" s="288" t="str">
        <f ca="1">IF(Table1[[#This Row],[No. Invoice :]]="","",ROW())</f>
        <v/>
      </c>
      <c r="B31" s="288" t="str">
        <f ca="1">IF(Table1[h_Kode Sales :_1]="","",B$1+COUNT(INDIRECT("B$2:B"&amp;ROW()-1)))</f>
        <v/>
      </c>
      <c r="C31" s="282" t="str">
        <f>IF(Table1[[#This Row],[H_TGL]]="","",Table1[[#This Row],[H_TGL]]+C$1-1)</f>
        <v/>
      </c>
      <c r="H31" s="288" t="str">
        <f ca="1">IF(Table1[[#This Row],[h_No. Invoice :]]="","",CONCATENATE("AM"," ",Table1[[#This Row],[h_No. Invoice :]]))</f>
        <v/>
      </c>
      <c r="I31" s="289" t="str">
        <f>CONCATENATE(UPPER(Table1[[#This Row],[h_Kode Sales :_1]])," ",Table1[[#This Row],[h_Kode Sales :_2]])</f>
        <v xml:space="preserve"> </v>
      </c>
      <c r="J31" s="288" t="str">
        <f>IF(Table1[[#This Row],[h_toko]]="","",INDEX(Table2[e],IF(Table1[[#This Row],[h_toko]]="","",MATCH(Table1[[#This Row],[h_toko]],Table2[a],0)),))</f>
        <v/>
      </c>
      <c r="O31" s="288" t="str">
        <f>IF(Table1[[#This Row],[h_Item Description]]="","",INDEX([1]!db[NB PAJAK],MATCH(Table1[[#This Row],[h_Item Description]],[1]!db[kode],0)))</f>
        <v/>
      </c>
      <c r="Q31" s="284"/>
      <c r="R31" s="285"/>
      <c r="T31" s="284" t="str">
        <f>Table1[[#This Row],[h_hargasetelahdiskon]]</f>
        <v/>
      </c>
      <c r="W31" s="288" t="str">
        <f ca="1">IF(Table1[[#This Row],[Item Description]]="","",IF(Table1[[#This Row],[//]]="",INDIRECT(ADDRESS(ROW()-1,COLUMN())),Table1[[#This Row],[//]]))</f>
        <v/>
      </c>
      <c r="X31" s="288" t="str">
        <f ca="1">IF(Table1[[#This Row],[h_id]]="","",COUNTIF(Table1[h_id],Table1[[#This Row],[h_id]]))</f>
        <v/>
      </c>
      <c r="Y31" s="284" t="str">
        <f>IF(Table1[Item Description]="","",Table1[[#This Row],[Qty]]*Table1[[#This Row],[Unit Price]])</f>
        <v/>
      </c>
      <c r="Z31" s="284" t="str">
        <f>IF(Table1[[#This Row],[h_hargasebelumdiskon]]="","",IF(Table1[[#This Row],[Disc 1]]="",0,Table1[[#This Row],[h_hargasebelumdiskon]]*Table1[[#This Row],[Disc 1]]))</f>
        <v/>
      </c>
      <c r="AA31" s="284" t="str">
        <f>IF(Table1[[#This Row],[h_hargasebelumdiskon]]="","",IF(Table1[[#This Row],[Disc 2]]="",0,(Table1[[#This Row],[h_hargasebelumdiskon]]-Table1[[#This Row],[h_disc 1]])*Table1[[#This Row],[Disc 2]]))</f>
        <v/>
      </c>
      <c r="AB31" s="284" t="str">
        <f>IF(Table1[Item Description]="","",Table1[[#This Row],[h_disc 1]]+Table1[[#This Row],[h_disc 2]])</f>
        <v/>
      </c>
      <c r="AC31" s="284" t="str">
        <f>IF(Table1[Item Description]="","",Table1[[#This Row],[h_hargasebelumdiskon]]-Table1[[#This Row],[h_diskon]])</f>
        <v/>
      </c>
      <c r="AD31" s="284" t="str">
        <f ca="1">IF(Table1[//]="","",SUMIF(Table1[h_id],Table1[h_id],Table1[h_hargasetelahdiskon]))</f>
        <v/>
      </c>
      <c r="AE31" s="284"/>
      <c r="AF31" s="284" t="str">
        <f>Table1[[#This Row],[Item Description]]&amp;Table1[[#This Row],[Unit]]&amp;Table1[[#This Row],[Unit Price]]</f>
        <v/>
      </c>
    </row>
    <row r="32" spans="1:32" x14ac:dyDescent="0.25">
      <c r="A32" s="288">
        <f ca="1">IF(Table1[[#This Row],[No. Invoice :]]="","",ROW())</f>
        <v>32</v>
      </c>
      <c r="B32" s="288">
        <f ca="1">IF(Table1[h_Kode Sales :_1]="","",B$1+COUNT(INDIRECT("B$2:B"&amp;ROW()-1)))</f>
        <v>23070009</v>
      </c>
      <c r="C32" s="282">
        <f>IF(Table1[[#This Row],[H_TGL]]="","",Table1[[#This Row],[H_TGL]]+C$1-1)</f>
        <v>45115</v>
      </c>
      <c r="D32" s="293">
        <v>8</v>
      </c>
      <c r="E32" s="281" t="s">
        <v>189</v>
      </c>
      <c r="F32" s="283" t="s">
        <v>190</v>
      </c>
      <c r="G32" s="281" t="s">
        <v>114</v>
      </c>
      <c r="H32" s="288" t="str">
        <f ca="1">IF(Table1[[#This Row],[h_No. Invoice :]]="","",CONCATENATE("AM"," ",Table1[[#This Row],[h_No. Invoice :]]))</f>
        <v>AM 23070009</v>
      </c>
      <c r="I32" s="289" t="str">
        <f>CONCATENATE(UPPER(Table1[[#This Row],[h_Kode Sales :_1]])," ",Table1[[#This Row],[h_Kode Sales :_2]])</f>
        <v>G 4944</v>
      </c>
      <c r="J32" s="288" t="str">
        <f>IF(Table1[[#This Row],[h_toko]]="","",INDEX(Table2[e],IF(Table1[[#This Row],[h_toko]]="","",MATCH(Table1[[#This Row],[h_toko]],Table2[a],0)),))</f>
        <v>GUNAWAN HARTONO KUSUMA ( NIKI SAE ) TULUNG AGUNG</v>
      </c>
      <c r="K32" s="281">
        <v>240</v>
      </c>
      <c r="L32" s="281" t="s">
        <v>142</v>
      </c>
      <c r="M32" s="281">
        <v>5</v>
      </c>
      <c r="N32" s="281" t="s">
        <v>191</v>
      </c>
      <c r="O32" s="288" t="str">
        <f>IF(Table1[[#This Row],[h_Item Description]]="","",INDEX([1]!db[NB PAJAK],MATCH(Table1[[#This Row],[h_Item Description]],[1]!db[kode],0)))</f>
        <v>CORRECTION FLUID JOYKO JK-01</v>
      </c>
      <c r="P32" s="281" t="s">
        <v>192</v>
      </c>
      <c r="Q32" s="284">
        <v>36000</v>
      </c>
      <c r="R32" s="285">
        <v>0.125</v>
      </c>
      <c r="T32" s="284">
        <f>Table1[[#This Row],[h_hargasetelahdiskon]]</f>
        <v>7560000</v>
      </c>
      <c r="U32" s="284" t="s">
        <v>149</v>
      </c>
      <c r="W32" s="288">
        <f ca="1">IF(Table1[[#This Row],[Item Description]]="","",IF(Table1[[#This Row],[//]]="",INDIRECT(ADDRESS(ROW()-1,COLUMN())),Table1[[#This Row],[//]]))</f>
        <v>32</v>
      </c>
      <c r="X32" s="288">
        <f ca="1">IF(Table1[[#This Row],[h_id]]="","",COUNTIF(Table1[h_id],Table1[[#This Row],[h_id]]))</f>
        <v>1</v>
      </c>
      <c r="Y32" s="284">
        <f>IF(Table1[Item Description]="","",Table1[[#This Row],[Qty]]*Table1[[#This Row],[Unit Price]])</f>
        <v>8640000</v>
      </c>
      <c r="Z32" s="284">
        <f>IF(Table1[[#This Row],[h_hargasebelumdiskon]]="","",IF(Table1[[#This Row],[Disc 1]]="",0,Table1[[#This Row],[h_hargasebelumdiskon]]*Table1[[#This Row],[Disc 1]]))</f>
        <v>1080000</v>
      </c>
      <c r="AA32" s="284">
        <f>IF(Table1[[#This Row],[h_hargasebelumdiskon]]="","",IF(Table1[[#This Row],[Disc 2]]="",0,(Table1[[#This Row],[h_hargasebelumdiskon]]-Table1[[#This Row],[h_disc 1]])*Table1[[#This Row],[Disc 2]]))</f>
        <v>0</v>
      </c>
      <c r="AB32" s="284">
        <f>IF(Table1[Item Description]="","",Table1[[#This Row],[h_disc 1]]+Table1[[#This Row],[h_disc 2]])</f>
        <v>1080000</v>
      </c>
      <c r="AC32" s="284">
        <f>IF(Table1[Item Description]="","",Table1[[#This Row],[h_hargasebelumdiskon]]-Table1[[#This Row],[h_diskon]])</f>
        <v>7560000</v>
      </c>
      <c r="AD32" s="284">
        <f ca="1">IF(Table1[//]="","",SUMIF(Table1[h_id],Table1[h_id],Table1[h_hargasetelahdiskon]))</f>
        <v>7560000</v>
      </c>
      <c r="AE32" s="284"/>
      <c r="AF32" s="284" t="str">
        <f>Table1[[#This Row],[Item Description]]&amp;Table1[[#This Row],[Unit]]&amp;Table1[[#This Row],[Unit Price]]</f>
        <v>CORRECTION FLUID JOYKO JK-01LSN36000</v>
      </c>
    </row>
    <row r="33" spans="1:32" x14ac:dyDescent="0.25">
      <c r="A33" s="288" t="str">
        <f ca="1">IF(Table1[[#This Row],[No. Invoice :]]="","",ROW())</f>
        <v/>
      </c>
      <c r="B33" s="288" t="str">
        <f ca="1">IF(Table1[h_Kode Sales :_1]="","",B$1+COUNT(INDIRECT("B$2:B"&amp;ROW()-1)))</f>
        <v/>
      </c>
      <c r="C33" s="282" t="str">
        <f>IF(Table1[[#This Row],[H_TGL]]="","",Table1[[#This Row],[H_TGL]]+C$1-1)</f>
        <v/>
      </c>
      <c r="H33" s="288" t="str">
        <f ca="1">IF(Table1[[#This Row],[h_No. Invoice :]]="","",CONCATENATE("AM"," ",Table1[[#This Row],[h_No. Invoice :]]))</f>
        <v/>
      </c>
      <c r="I33" s="289" t="str">
        <f>CONCATENATE(UPPER(Table1[[#This Row],[h_Kode Sales :_1]])," ",Table1[[#This Row],[h_Kode Sales :_2]])</f>
        <v xml:space="preserve"> </v>
      </c>
      <c r="J33" s="288" t="str">
        <f>IF(Table1[[#This Row],[h_toko]]="","",INDEX(Table2[e],IF(Table1[[#This Row],[h_toko]]="","",MATCH(Table1[[#This Row],[h_toko]],Table2[a],0)),))</f>
        <v/>
      </c>
      <c r="O33" s="288" t="str">
        <f>IF(Table1[[#This Row],[h_Item Description]]="","",INDEX([1]!db[NB PAJAK],MATCH(Table1[[#This Row],[h_Item Description]],[1]!db[kode],0)))</f>
        <v/>
      </c>
      <c r="Q33" s="284"/>
      <c r="R33" s="285"/>
      <c r="T33" s="284" t="str">
        <f>Table1[[#This Row],[h_hargasetelahdiskon]]</f>
        <v/>
      </c>
      <c r="W33" s="288" t="str">
        <f ca="1">IF(Table1[[#This Row],[Item Description]]="","",IF(Table1[[#This Row],[//]]="",INDIRECT(ADDRESS(ROW()-1,COLUMN())),Table1[[#This Row],[//]]))</f>
        <v/>
      </c>
      <c r="X33" s="288" t="str">
        <f ca="1">IF(Table1[[#This Row],[h_id]]="","",COUNTIF(Table1[h_id],Table1[[#This Row],[h_id]]))</f>
        <v/>
      </c>
      <c r="Y33" s="284" t="str">
        <f>IF(Table1[Item Description]="","",Table1[[#This Row],[Qty]]*Table1[[#This Row],[Unit Price]])</f>
        <v/>
      </c>
      <c r="Z33" s="284" t="str">
        <f>IF(Table1[[#This Row],[h_hargasebelumdiskon]]="","",IF(Table1[[#This Row],[Disc 1]]="",0,Table1[[#This Row],[h_hargasebelumdiskon]]*Table1[[#This Row],[Disc 1]]))</f>
        <v/>
      </c>
      <c r="AA33" s="284" t="str">
        <f>IF(Table1[[#This Row],[h_hargasebelumdiskon]]="","",IF(Table1[[#This Row],[Disc 2]]="",0,(Table1[[#This Row],[h_hargasebelumdiskon]]-Table1[[#This Row],[h_disc 1]])*Table1[[#This Row],[Disc 2]]))</f>
        <v/>
      </c>
      <c r="AB33" s="284" t="str">
        <f>IF(Table1[Item Description]="","",Table1[[#This Row],[h_disc 1]]+Table1[[#This Row],[h_disc 2]])</f>
        <v/>
      </c>
      <c r="AC33" s="284" t="str">
        <f>IF(Table1[Item Description]="","",Table1[[#This Row],[h_hargasebelumdiskon]]-Table1[[#This Row],[h_diskon]])</f>
        <v/>
      </c>
      <c r="AD33" s="284" t="str">
        <f ca="1">IF(Table1[//]="","",SUMIF(Table1[h_id],Table1[h_id],Table1[h_hargasetelahdiskon]))</f>
        <v/>
      </c>
      <c r="AE33" s="284"/>
      <c r="AF33" s="284" t="str">
        <f>Table1[[#This Row],[Item Description]]&amp;Table1[[#This Row],[Unit]]&amp;Table1[[#This Row],[Unit Price]]</f>
        <v/>
      </c>
    </row>
    <row r="34" spans="1:32" x14ac:dyDescent="0.25">
      <c r="A34" s="288">
        <f ca="1">IF(Table1[[#This Row],[No. Invoice :]]="","",ROW())</f>
        <v>34</v>
      </c>
      <c r="B34" s="288">
        <f ca="1">IF(Table1[h_Kode Sales :_1]="","",B$1+COUNT(INDIRECT("B$2:B"&amp;ROW()-1)))</f>
        <v>23070010</v>
      </c>
      <c r="C34" s="282">
        <f>IF(Table1[[#This Row],[H_TGL]]="","",Table1[[#This Row],[H_TGL]]+C$1-1)</f>
        <v>45115</v>
      </c>
      <c r="D34" s="293">
        <v>8</v>
      </c>
      <c r="E34" s="281" t="s">
        <v>122</v>
      </c>
      <c r="F34" s="283" t="s">
        <v>193</v>
      </c>
      <c r="G34" s="281" t="s">
        <v>80</v>
      </c>
      <c r="H34" s="288" t="str">
        <f ca="1">IF(Table1[[#This Row],[h_No. Invoice :]]="","",CONCATENATE("AM"," ",Table1[[#This Row],[h_No. Invoice :]]))</f>
        <v>AM 23070010</v>
      </c>
      <c r="I34" s="289" t="str">
        <f>CONCATENATE(UPPER(Table1[[#This Row],[h_Kode Sales :_1]])," ",Table1[[#This Row],[h_Kode Sales :_2]])</f>
        <v>KO 4949</v>
      </c>
      <c r="J34" s="288" t="str">
        <f>IF(Table1[[#This Row],[h_toko]]="","",INDEX(Table2[e],IF(Table1[[#This Row],[h_toko]]="","",MATCH(Table1[[#This Row],[h_toko]],Table2[a],0)),))</f>
        <v>CV GANESHA WONOSOBO</v>
      </c>
      <c r="K34" s="281">
        <v>20</v>
      </c>
      <c r="L34" s="281" t="s">
        <v>158</v>
      </c>
      <c r="N34" s="281" t="s">
        <v>194</v>
      </c>
      <c r="O34" s="288" t="str">
        <f>IF(Table1[[#This Row],[h_Item Description]]="","",INDEX([1]!db[NB PAJAK],MATCH(Table1[[#This Row],[h_Item Description]],[1]!db[kode],0)))</f>
        <v>BINDER CLIP KENKO NO. 107</v>
      </c>
      <c r="P34" s="281" t="s">
        <v>198</v>
      </c>
      <c r="Q34" s="284">
        <v>31800</v>
      </c>
      <c r="R34" s="285">
        <v>0.1</v>
      </c>
      <c r="T34" s="284">
        <f>Table1[[#This Row],[h_hargasetelahdiskon]]</f>
        <v>572400</v>
      </c>
      <c r="U34" s="284" t="s">
        <v>149</v>
      </c>
      <c r="W34" s="288">
        <f ca="1">IF(Table1[[#This Row],[Item Description]]="","",IF(Table1[[#This Row],[//]]="",INDIRECT(ADDRESS(ROW()-1,COLUMN())),Table1[[#This Row],[//]]))</f>
        <v>34</v>
      </c>
      <c r="X34" s="288">
        <f ca="1">IF(Table1[[#This Row],[h_id]]="","",COUNTIF(Table1[h_id],Table1[[#This Row],[h_id]]))</f>
        <v>5</v>
      </c>
      <c r="Y34" s="284">
        <f>IF(Table1[Item Description]="","",Table1[[#This Row],[Qty]]*Table1[[#This Row],[Unit Price]])</f>
        <v>636000</v>
      </c>
      <c r="Z34" s="284">
        <f>IF(Table1[[#This Row],[h_hargasebelumdiskon]]="","",IF(Table1[[#This Row],[Disc 1]]="",0,Table1[[#This Row],[h_hargasebelumdiskon]]*Table1[[#This Row],[Disc 1]]))</f>
        <v>63600</v>
      </c>
      <c r="AA34" s="284">
        <f>IF(Table1[[#This Row],[h_hargasebelumdiskon]]="","",IF(Table1[[#This Row],[Disc 2]]="",0,(Table1[[#This Row],[h_hargasebelumdiskon]]-Table1[[#This Row],[h_disc 1]])*Table1[[#This Row],[Disc 2]]))</f>
        <v>0</v>
      </c>
      <c r="AB34" s="284">
        <f>IF(Table1[Item Description]="","",Table1[[#This Row],[h_disc 1]]+Table1[[#This Row],[h_disc 2]])</f>
        <v>63600</v>
      </c>
      <c r="AC34" s="284">
        <f>IF(Table1[Item Description]="","",Table1[[#This Row],[h_hargasebelumdiskon]]-Table1[[#This Row],[h_diskon]])</f>
        <v>572400</v>
      </c>
      <c r="AD34" s="284">
        <f ca="1">IF(Table1[//]="","",SUMIF(Table1[h_id],Table1[h_id],Table1[h_hargasetelahdiskon]))</f>
        <v>2578500</v>
      </c>
      <c r="AE34" s="284"/>
      <c r="AF34" s="284" t="str">
        <f>Table1[[#This Row],[Item Description]]&amp;Table1[[#This Row],[Unit]]&amp;Table1[[#This Row],[Unit Price]]</f>
        <v>BINDER CLIP KENKO NO. 107GRS31800</v>
      </c>
    </row>
    <row r="35" spans="1:32" x14ac:dyDescent="0.25">
      <c r="A35" s="288" t="str">
        <f ca="1">IF(Table1[[#This Row],[No. Invoice :]]="","",ROW())</f>
        <v/>
      </c>
      <c r="B35" s="288" t="str">
        <f ca="1">IF(Table1[h_Kode Sales :_1]="","",B$1+COUNT(INDIRECT("B$2:B"&amp;ROW()-1)))</f>
        <v/>
      </c>
      <c r="C35" s="282" t="str">
        <f>IF(Table1[[#This Row],[H_TGL]]="","",Table1[[#This Row],[H_TGL]]+C$1-1)</f>
        <v/>
      </c>
      <c r="H35" s="288" t="str">
        <f ca="1">IF(Table1[[#This Row],[h_No. Invoice :]]="","",CONCATENATE("AM"," ",Table1[[#This Row],[h_No. Invoice :]]))</f>
        <v/>
      </c>
      <c r="I35" s="289" t="str">
        <f>CONCATENATE(UPPER(Table1[[#This Row],[h_Kode Sales :_1]])," ",Table1[[#This Row],[h_Kode Sales :_2]])</f>
        <v xml:space="preserve"> </v>
      </c>
      <c r="J35" s="288" t="str">
        <f>IF(Table1[[#This Row],[h_toko]]="","",INDEX(Table2[e],IF(Table1[[#This Row],[h_toko]]="","",MATCH(Table1[[#This Row],[h_toko]],Table2[a],0)),))</f>
        <v/>
      </c>
      <c r="K35" s="281">
        <v>5</v>
      </c>
      <c r="L35" s="281" t="s">
        <v>158</v>
      </c>
      <c r="N35" s="281" t="s">
        <v>195</v>
      </c>
      <c r="O35" s="288" t="str">
        <f>IF(Table1[[#This Row],[h_Item Description]]="","",INDEX([1]!db[NB PAJAK],MATCH(Table1[[#This Row],[h_Item Description]],[1]!db[kode],0)))</f>
        <v>BINDER CLIP KENKO NO. 155</v>
      </c>
      <c r="P35" s="281" t="s">
        <v>199</v>
      </c>
      <c r="Q35" s="284">
        <v>69000</v>
      </c>
      <c r="R35" s="285">
        <v>0.1</v>
      </c>
      <c r="T35" s="284">
        <f>Table1[[#This Row],[h_hargasetelahdiskon]]</f>
        <v>310500</v>
      </c>
      <c r="W35" s="288">
        <f ca="1">IF(Table1[[#This Row],[Item Description]]="","",IF(Table1[[#This Row],[//]]="",INDIRECT(ADDRESS(ROW()-1,COLUMN())),Table1[[#This Row],[//]]))</f>
        <v>34</v>
      </c>
      <c r="X35" s="288">
        <f ca="1">IF(Table1[[#This Row],[h_id]]="","",COUNTIF(Table1[h_id],Table1[[#This Row],[h_id]]))</f>
        <v>5</v>
      </c>
      <c r="Y35" s="284">
        <f>IF(Table1[Item Description]="","",Table1[[#This Row],[Qty]]*Table1[[#This Row],[Unit Price]])</f>
        <v>345000</v>
      </c>
      <c r="Z35" s="284">
        <f>IF(Table1[[#This Row],[h_hargasebelumdiskon]]="","",IF(Table1[[#This Row],[Disc 1]]="",0,Table1[[#This Row],[h_hargasebelumdiskon]]*Table1[[#This Row],[Disc 1]]))</f>
        <v>34500</v>
      </c>
      <c r="AA35" s="284">
        <f>IF(Table1[[#This Row],[h_hargasebelumdiskon]]="","",IF(Table1[[#This Row],[Disc 2]]="",0,(Table1[[#This Row],[h_hargasebelumdiskon]]-Table1[[#This Row],[h_disc 1]])*Table1[[#This Row],[Disc 2]]))</f>
        <v>0</v>
      </c>
      <c r="AB35" s="284">
        <f>IF(Table1[Item Description]="","",Table1[[#This Row],[h_disc 1]]+Table1[[#This Row],[h_disc 2]])</f>
        <v>34500</v>
      </c>
      <c r="AC35" s="284">
        <f>IF(Table1[Item Description]="","",Table1[[#This Row],[h_hargasebelumdiskon]]-Table1[[#This Row],[h_diskon]])</f>
        <v>310500</v>
      </c>
      <c r="AD35" s="284" t="str">
        <f ca="1">IF(Table1[//]="","",SUMIF(Table1[h_id],Table1[h_id],Table1[h_hargasetelahdiskon]))</f>
        <v/>
      </c>
      <c r="AE35" s="284"/>
      <c r="AF35" s="284" t="str">
        <f>Table1[[#This Row],[Item Description]]&amp;Table1[[#This Row],[Unit]]&amp;Table1[[#This Row],[Unit Price]]</f>
        <v>BINDER CLIP KENKO NO. 155GRS69000</v>
      </c>
    </row>
    <row r="36" spans="1:32" x14ac:dyDescent="0.25">
      <c r="A36" s="288" t="str">
        <f ca="1">IF(Table1[[#This Row],[No. Invoice :]]="","",ROW())</f>
        <v/>
      </c>
      <c r="B36" s="288" t="str">
        <f ca="1">IF(Table1[h_Kode Sales :_1]="","",B$1+COUNT(INDIRECT("B$2:B"&amp;ROW()-1)))</f>
        <v/>
      </c>
      <c r="C36" s="282" t="str">
        <f>IF(Table1[[#This Row],[H_TGL]]="","",Table1[[#This Row],[H_TGL]]+C$1-1)</f>
        <v/>
      </c>
      <c r="H36" s="288" t="str">
        <f ca="1">IF(Table1[[#This Row],[h_No. Invoice :]]="","",CONCATENATE("AM"," ",Table1[[#This Row],[h_No. Invoice :]]))</f>
        <v/>
      </c>
      <c r="I36" s="289" t="str">
        <f>CONCATENATE(UPPER(Table1[[#This Row],[h_Kode Sales :_1]])," ",Table1[[#This Row],[h_Kode Sales :_2]])</f>
        <v xml:space="preserve"> </v>
      </c>
      <c r="J36" s="288" t="str">
        <f>IF(Table1[[#This Row],[h_toko]]="","",INDEX(Table2[e],IF(Table1[[#This Row],[h_toko]]="","",MATCH(Table1[[#This Row],[h_toko]],Table2[a],0)),))</f>
        <v/>
      </c>
      <c r="K36" s="281">
        <v>5</v>
      </c>
      <c r="L36" s="281" t="s">
        <v>158</v>
      </c>
      <c r="M36" s="281">
        <v>1</v>
      </c>
      <c r="N36" s="281" t="s">
        <v>196</v>
      </c>
      <c r="O36" s="288" t="str">
        <f>IF(Table1[[#This Row],[h_Item Description]]="","",INDEX([1]!db[NB PAJAK],MATCH(Table1[[#This Row],[h_Item Description]],[1]!db[kode],0)))</f>
        <v>BINDER CLIP KENKO NO. 260</v>
      </c>
      <c r="P36" s="281" t="s">
        <v>200</v>
      </c>
      <c r="Q36" s="284">
        <v>180000</v>
      </c>
      <c r="R36" s="285">
        <v>0.1</v>
      </c>
      <c r="T36" s="284">
        <f>Table1[[#This Row],[h_hargasetelahdiskon]]</f>
        <v>810000</v>
      </c>
      <c r="W36" s="288">
        <f ca="1">IF(Table1[[#This Row],[Item Description]]="","",IF(Table1[[#This Row],[//]]="",INDIRECT(ADDRESS(ROW()-1,COLUMN())),Table1[[#This Row],[//]]))</f>
        <v>34</v>
      </c>
      <c r="X36" s="288">
        <f ca="1">IF(Table1[[#This Row],[h_id]]="","",COUNTIF(Table1[h_id],Table1[[#This Row],[h_id]]))</f>
        <v>5</v>
      </c>
      <c r="Y36" s="284">
        <f>IF(Table1[Item Description]="","",Table1[[#This Row],[Qty]]*Table1[[#This Row],[Unit Price]])</f>
        <v>900000</v>
      </c>
      <c r="Z36" s="284">
        <f>IF(Table1[[#This Row],[h_hargasebelumdiskon]]="","",IF(Table1[[#This Row],[Disc 1]]="",0,Table1[[#This Row],[h_hargasebelumdiskon]]*Table1[[#This Row],[Disc 1]]))</f>
        <v>90000</v>
      </c>
      <c r="AA36" s="284">
        <f>IF(Table1[[#This Row],[h_hargasebelumdiskon]]="","",IF(Table1[[#This Row],[Disc 2]]="",0,(Table1[[#This Row],[h_hargasebelumdiskon]]-Table1[[#This Row],[h_disc 1]])*Table1[[#This Row],[Disc 2]]))</f>
        <v>0</v>
      </c>
      <c r="AB36" s="284">
        <f>IF(Table1[Item Description]="","",Table1[[#This Row],[h_disc 1]]+Table1[[#This Row],[h_disc 2]])</f>
        <v>90000</v>
      </c>
      <c r="AC36" s="284">
        <f>IF(Table1[Item Description]="","",Table1[[#This Row],[h_hargasebelumdiskon]]-Table1[[#This Row],[h_diskon]])</f>
        <v>810000</v>
      </c>
      <c r="AD36" s="284" t="str">
        <f ca="1">IF(Table1[//]="","",SUMIF(Table1[h_id],Table1[h_id],Table1[h_hargasetelahdiskon]))</f>
        <v/>
      </c>
      <c r="AE36" s="284"/>
      <c r="AF36" s="284" t="str">
        <f>Table1[[#This Row],[Item Description]]&amp;Table1[[#This Row],[Unit]]&amp;Table1[[#This Row],[Unit Price]]</f>
        <v>BINDER CLIP KENKO NO. 260GRS180000</v>
      </c>
    </row>
    <row r="37" spans="1:32" x14ac:dyDescent="0.25">
      <c r="A37" s="288" t="str">
        <f ca="1">IF(Table1[[#This Row],[No. Invoice :]]="","",ROW())</f>
        <v/>
      </c>
      <c r="B37" s="288" t="str">
        <f ca="1">IF(Table1[h_Kode Sales :_1]="","",B$1+COUNT(INDIRECT("B$2:B"&amp;ROW()-1)))</f>
        <v/>
      </c>
      <c r="C37" s="282" t="str">
        <f>IF(Table1[[#This Row],[H_TGL]]="","",Table1[[#This Row],[H_TGL]]+C$1-1)</f>
        <v/>
      </c>
      <c r="H37" s="288" t="str">
        <f ca="1">IF(Table1[[#This Row],[h_No. Invoice :]]="","",CONCATENATE("AM"," ",Table1[[#This Row],[h_No. Invoice :]]))</f>
        <v/>
      </c>
      <c r="I37" s="289" t="str">
        <f>CONCATENATE(UPPER(Table1[[#This Row],[h_Kode Sales :_1]])," ",Table1[[#This Row],[h_Kode Sales :_2]])</f>
        <v xml:space="preserve"> </v>
      </c>
      <c r="J37" s="288" t="str">
        <f>IF(Table1[[#This Row],[h_toko]]="","",INDEX(Table2[e],IF(Table1[[#This Row],[h_toko]]="","",MATCH(Table1[[#This Row],[h_toko]],Table2[a],0)),))</f>
        <v/>
      </c>
      <c r="K37" s="281">
        <v>10</v>
      </c>
      <c r="L37" s="281" t="s">
        <v>125</v>
      </c>
      <c r="N37" s="281" t="s">
        <v>197</v>
      </c>
      <c r="O37" s="288" t="str">
        <f>IF(Table1[[#This Row],[h_Item Description]]="","",INDEX([1]!db[NB PAJAK],MATCH(Table1[[#This Row],[h_Item Description]],[1]!db[kode],0)))</f>
        <v>LEM STICK KENKO 8 GR (KECIL) isi 30 pc</v>
      </c>
      <c r="P37" s="281" t="s">
        <v>201</v>
      </c>
      <c r="Q37" s="284">
        <v>66000</v>
      </c>
      <c r="R37" s="285">
        <v>0.1</v>
      </c>
      <c r="T37" s="284">
        <f>Table1[[#This Row],[h_hargasetelahdiskon]]</f>
        <v>594000</v>
      </c>
      <c r="W37" s="288">
        <f ca="1">IF(Table1[[#This Row],[Item Description]]="","",IF(Table1[[#This Row],[//]]="",INDIRECT(ADDRESS(ROW()-1,COLUMN())),Table1[[#This Row],[//]]))</f>
        <v>34</v>
      </c>
      <c r="X37" s="288">
        <f ca="1">IF(Table1[[#This Row],[h_id]]="","",COUNTIF(Table1[h_id],Table1[[#This Row],[h_id]]))</f>
        <v>5</v>
      </c>
      <c r="Y37" s="284">
        <f>IF(Table1[Item Description]="","",Table1[[#This Row],[Qty]]*Table1[[#This Row],[Unit Price]])</f>
        <v>660000</v>
      </c>
      <c r="Z37" s="284">
        <f>IF(Table1[[#This Row],[h_hargasebelumdiskon]]="","",IF(Table1[[#This Row],[Disc 1]]="",0,Table1[[#This Row],[h_hargasebelumdiskon]]*Table1[[#This Row],[Disc 1]]))</f>
        <v>66000</v>
      </c>
      <c r="AA37" s="284">
        <f>IF(Table1[[#This Row],[h_hargasebelumdiskon]]="","",IF(Table1[[#This Row],[Disc 2]]="",0,(Table1[[#This Row],[h_hargasebelumdiskon]]-Table1[[#This Row],[h_disc 1]])*Table1[[#This Row],[Disc 2]]))</f>
        <v>0</v>
      </c>
      <c r="AB37" s="284">
        <f>IF(Table1[Item Description]="","",Table1[[#This Row],[h_disc 1]]+Table1[[#This Row],[h_disc 2]])</f>
        <v>66000</v>
      </c>
      <c r="AC37" s="284">
        <f>IF(Table1[Item Description]="","",Table1[[#This Row],[h_hargasebelumdiskon]]-Table1[[#This Row],[h_diskon]])</f>
        <v>594000</v>
      </c>
      <c r="AD37" s="284" t="str">
        <f ca="1">IF(Table1[//]="","",SUMIF(Table1[h_id],Table1[h_id],Table1[h_hargasetelahdiskon]))</f>
        <v/>
      </c>
      <c r="AE37" s="284"/>
      <c r="AF37" s="284" t="str">
        <f>Table1[[#This Row],[Item Description]]&amp;Table1[[#This Row],[Unit]]&amp;Table1[[#This Row],[Unit Price]]</f>
        <v>LEM STICK KENKO 8 GR (KECIL) isi 30 pcBOX66000</v>
      </c>
    </row>
    <row r="38" spans="1:32" x14ac:dyDescent="0.25">
      <c r="A38" s="288" t="str">
        <f ca="1">IF(Table1[[#This Row],[No. Invoice :]]="","",ROW())</f>
        <v/>
      </c>
      <c r="B38" s="288" t="str">
        <f ca="1">IF(Table1[h_Kode Sales :_1]="","",B$1+COUNT(INDIRECT("B$2:B"&amp;ROW()-1)))</f>
        <v/>
      </c>
      <c r="C38" s="282" t="str">
        <f>IF(Table1[[#This Row],[H_TGL]]="","",Table1[[#This Row],[H_TGL]]+C$1-1)</f>
        <v/>
      </c>
      <c r="H38" s="288" t="str">
        <f ca="1">IF(Table1[[#This Row],[h_No. Invoice :]]="","",CONCATENATE("AM"," ",Table1[[#This Row],[h_No. Invoice :]]))</f>
        <v/>
      </c>
      <c r="I38" s="289" t="str">
        <f>CONCATENATE(UPPER(Table1[[#This Row],[h_Kode Sales :_1]])," ",Table1[[#This Row],[h_Kode Sales :_2]])</f>
        <v xml:space="preserve"> </v>
      </c>
      <c r="J38" s="288" t="str">
        <f>IF(Table1[[#This Row],[h_toko]]="","",INDEX(Table2[e],IF(Table1[[#This Row],[h_toko]]="","",MATCH(Table1[[#This Row],[h_toko]],Table2[a],0)),))</f>
        <v/>
      </c>
      <c r="K38" s="281">
        <v>5</v>
      </c>
      <c r="L38" s="281" t="s">
        <v>142</v>
      </c>
      <c r="N38" s="281" t="s">
        <v>157</v>
      </c>
      <c r="O38" s="288" t="str">
        <f>IF(Table1[[#This Row],[h_Item Description]]="","",INDEX([1]!db[NB PAJAK],MATCH(Table1[[#This Row],[h_Item Description]],[1]!db[kode],0)))</f>
        <v>ISI CUTTER 18 MM KENKO L-150 (BESAR)</v>
      </c>
      <c r="P38" s="281" t="s">
        <v>166</v>
      </c>
      <c r="Q38" s="284">
        <v>64800</v>
      </c>
      <c r="R38" s="285">
        <v>0.1</v>
      </c>
      <c r="T38" s="284">
        <f>Table1[[#This Row],[h_hargasetelahdiskon]]</f>
        <v>291600</v>
      </c>
      <c r="W38" s="288">
        <f ca="1">IF(Table1[[#This Row],[Item Description]]="","",IF(Table1[[#This Row],[//]]="",INDIRECT(ADDRESS(ROW()-1,COLUMN())),Table1[[#This Row],[//]]))</f>
        <v>34</v>
      </c>
      <c r="X38" s="288">
        <f ca="1">IF(Table1[[#This Row],[h_id]]="","",COUNTIF(Table1[h_id],Table1[[#This Row],[h_id]]))</f>
        <v>5</v>
      </c>
      <c r="Y38" s="284">
        <f>IF(Table1[Item Description]="","",Table1[[#This Row],[Qty]]*Table1[[#This Row],[Unit Price]])</f>
        <v>324000</v>
      </c>
      <c r="Z38" s="284">
        <f>IF(Table1[[#This Row],[h_hargasebelumdiskon]]="","",IF(Table1[[#This Row],[Disc 1]]="",0,Table1[[#This Row],[h_hargasebelumdiskon]]*Table1[[#This Row],[Disc 1]]))</f>
        <v>32400</v>
      </c>
      <c r="AA38" s="284">
        <f>IF(Table1[[#This Row],[h_hargasebelumdiskon]]="","",IF(Table1[[#This Row],[Disc 2]]="",0,(Table1[[#This Row],[h_hargasebelumdiskon]]-Table1[[#This Row],[h_disc 1]])*Table1[[#This Row],[Disc 2]]))</f>
        <v>0</v>
      </c>
      <c r="AB38" s="284">
        <f>IF(Table1[Item Description]="","",Table1[[#This Row],[h_disc 1]]+Table1[[#This Row],[h_disc 2]])</f>
        <v>32400</v>
      </c>
      <c r="AC38" s="284">
        <f>IF(Table1[Item Description]="","",Table1[[#This Row],[h_hargasebelumdiskon]]-Table1[[#This Row],[h_diskon]])</f>
        <v>291600</v>
      </c>
      <c r="AD38" s="284" t="str">
        <f ca="1">IF(Table1[//]="","",SUMIF(Table1[h_id],Table1[h_id],Table1[h_hargasetelahdiskon]))</f>
        <v/>
      </c>
      <c r="AE38" s="284"/>
      <c r="AF38" s="284" t="str">
        <f>Table1[[#This Row],[Item Description]]&amp;Table1[[#This Row],[Unit]]&amp;Table1[[#This Row],[Unit Price]]</f>
        <v>ISI CUTTER 18 MM KENKO L-150 (BESAR)LSN64800</v>
      </c>
    </row>
    <row r="39" spans="1:32" x14ac:dyDescent="0.25">
      <c r="A39" s="288" t="str">
        <f ca="1">IF(Table1[[#This Row],[No. Invoice :]]="","",ROW())</f>
        <v/>
      </c>
      <c r="B39" s="288" t="str">
        <f ca="1">IF(Table1[h_Kode Sales :_1]="","",B$1+COUNT(INDIRECT("B$2:B"&amp;ROW()-1)))</f>
        <v/>
      </c>
      <c r="C39" s="282" t="str">
        <f>IF(Table1[[#This Row],[H_TGL]]="","",Table1[[#This Row],[H_TGL]]+C$1-1)</f>
        <v/>
      </c>
      <c r="H39" s="288" t="str">
        <f ca="1">IF(Table1[[#This Row],[h_No. Invoice :]]="","",CONCATENATE("AM"," ",Table1[[#This Row],[h_No. Invoice :]]))</f>
        <v/>
      </c>
      <c r="I39" s="289" t="str">
        <f>CONCATENATE(UPPER(Table1[[#This Row],[h_Kode Sales :_1]])," ",Table1[[#This Row],[h_Kode Sales :_2]])</f>
        <v xml:space="preserve"> </v>
      </c>
      <c r="J39" s="288" t="str">
        <f>IF(Table1[[#This Row],[h_toko]]="","",INDEX(Table2[e],IF(Table1[[#This Row],[h_toko]]="","",MATCH(Table1[[#This Row],[h_toko]],Table2[a],0)),))</f>
        <v/>
      </c>
      <c r="O39" s="288" t="str">
        <f>IF(Table1[[#This Row],[h_Item Description]]="","",INDEX([1]!db[NB PAJAK],MATCH(Table1[[#This Row],[h_Item Description]],[1]!db[kode],0)))</f>
        <v/>
      </c>
      <c r="Q39" s="284"/>
      <c r="R39" s="285"/>
      <c r="T39" s="284" t="str">
        <f>Table1[[#This Row],[h_hargasetelahdiskon]]</f>
        <v/>
      </c>
      <c r="W39" s="288" t="str">
        <f ca="1">IF(Table1[[#This Row],[Item Description]]="","",IF(Table1[[#This Row],[//]]="",INDIRECT(ADDRESS(ROW()-1,COLUMN())),Table1[[#This Row],[//]]))</f>
        <v/>
      </c>
      <c r="X39" s="288" t="str">
        <f ca="1">IF(Table1[[#This Row],[h_id]]="","",COUNTIF(Table1[h_id],Table1[[#This Row],[h_id]]))</f>
        <v/>
      </c>
      <c r="Y39" s="284" t="str">
        <f>IF(Table1[Item Description]="","",Table1[[#This Row],[Qty]]*Table1[[#This Row],[Unit Price]])</f>
        <v/>
      </c>
      <c r="Z39" s="284" t="str">
        <f>IF(Table1[[#This Row],[h_hargasebelumdiskon]]="","",IF(Table1[[#This Row],[Disc 1]]="",0,Table1[[#This Row],[h_hargasebelumdiskon]]*Table1[[#This Row],[Disc 1]]))</f>
        <v/>
      </c>
      <c r="AA39" s="284" t="str">
        <f>IF(Table1[[#This Row],[h_hargasebelumdiskon]]="","",IF(Table1[[#This Row],[Disc 2]]="",0,(Table1[[#This Row],[h_hargasebelumdiskon]]-Table1[[#This Row],[h_disc 1]])*Table1[[#This Row],[Disc 2]]))</f>
        <v/>
      </c>
      <c r="AB39" s="284" t="str">
        <f>IF(Table1[Item Description]="","",Table1[[#This Row],[h_disc 1]]+Table1[[#This Row],[h_disc 2]])</f>
        <v/>
      </c>
      <c r="AC39" s="284" t="str">
        <f>IF(Table1[Item Description]="","",Table1[[#This Row],[h_hargasebelumdiskon]]-Table1[[#This Row],[h_diskon]])</f>
        <v/>
      </c>
      <c r="AD39" s="284" t="str">
        <f ca="1">IF(Table1[//]="","",SUMIF(Table1[h_id],Table1[h_id],Table1[h_hargasetelahdiskon]))</f>
        <v/>
      </c>
      <c r="AE39" s="284"/>
      <c r="AF39" s="284">
        <v>10</v>
      </c>
    </row>
    <row r="40" spans="1:32" x14ac:dyDescent="0.25">
      <c r="A40" s="288">
        <f ca="1">IF(Table1[[#This Row],[No. Invoice :]]="","",ROW())</f>
        <v>40</v>
      </c>
      <c r="B40" s="288">
        <f ca="1">IF(Table1[h_Kode Sales :_1]="","",B$1+COUNT(INDIRECT("B$2:B"&amp;ROW()-1)))</f>
        <v>23070011</v>
      </c>
      <c r="C40" s="282">
        <v>45117</v>
      </c>
      <c r="D40" s="293">
        <v>10</v>
      </c>
      <c r="E40" s="281" t="s">
        <v>129</v>
      </c>
      <c r="F40" s="283" t="s">
        <v>202</v>
      </c>
      <c r="G40" s="281" t="s">
        <v>93</v>
      </c>
      <c r="H40" s="288" t="str">
        <f ca="1">IF(Table1[[#This Row],[h_No. Invoice :]]="","",CONCATENATE("AM"," ",Table1[[#This Row],[h_No. Invoice :]]))</f>
        <v>AM 23070011</v>
      </c>
      <c r="I40" s="289" t="str">
        <f>CONCATENATE(UPPER(Table1[[#This Row],[h_Kode Sales :_1]])," ",Table1[[#This Row],[h_Kode Sales :_2]])</f>
        <v>G 4927</v>
      </c>
      <c r="J40" s="288" t="str">
        <f>IF(Table1[[#This Row],[h_toko]]="","",INDEX(Table2[e],IF(Table1[[#This Row],[h_toko]]="","",MATCH(Table1[[#This Row],[h_toko]],Table2[a],0)),))</f>
        <v>LILY JULIAWATI (REJO AGUNG) JOMBANG</v>
      </c>
      <c r="K40" s="281">
        <v>40</v>
      </c>
      <c r="L40" s="281" t="s">
        <v>142</v>
      </c>
      <c r="N40" s="281" t="s">
        <v>203</v>
      </c>
      <c r="O40" s="288" t="str">
        <f>IF(Table1[[#This Row],[h_Item Description]]="","",INDEX([1]!db[NB PAJAK],MATCH(Table1[[#This Row],[h_Item Description]],[1]!db[kode],0)))</f>
        <v>CUTTER 18 MM KENKO L-500 (BESAR)</v>
      </c>
      <c r="P40" s="281" t="s">
        <v>204</v>
      </c>
      <c r="Q40" s="284">
        <v>147600</v>
      </c>
      <c r="R40" s="285">
        <v>0.125</v>
      </c>
      <c r="T40" s="284">
        <f>Table1[[#This Row],[h_hargasetelahdiskon]]</f>
        <v>5166000</v>
      </c>
      <c r="U40" s="284" t="s">
        <v>149</v>
      </c>
      <c r="W40" s="288">
        <f ca="1">IF(Table1[[#This Row],[Item Description]]="","",IF(Table1[[#This Row],[//]]="",INDIRECT(ADDRESS(ROW()-1,COLUMN())),Table1[[#This Row],[//]]))</f>
        <v>40</v>
      </c>
      <c r="X40" s="288">
        <f ca="1">IF(Table1[[#This Row],[h_id]]="","",COUNTIF(Table1[h_id],Table1[[#This Row],[h_id]]))</f>
        <v>1</v>
      </c>
      <c r="Y40" s="284">
        <f>IF(Table1[Item Description]="","",Table1[[#This Row],[Qty]]*Table1[[#This Row],[Unit Price]])</f>
        <v>5904000</v>
      </c>
      <c r="Z40" s="284">
        <f>IF(Table1[[#This Row],[h_hargasebelumdiskon]]="","",IF(Table1[[#This Row],[Disc 1]]="",0,Table1[[#This Row],[h_hargasebelumdiskon]]*Table1[[#This Row],[Disc 1]]))</f>
        <v>738000</v>
      </c>
      <c r="AA40" s="284">
        <f>IF(Table1[[#This Row],[h_hargasebelumdiskon]]="","",IF(Table1[[#This Row],[Disc 2]]="",0,(Table1[[#This Row],[h_hargasebelumdiskon]]-Table1[[#This Row],[h_disc 1]])*Table1[[#This Row],[Disc 2]]))</f>
        <v>0</v>
      </c>
      <c r="AB40" s="284">
        <f>IF(Table1[Item Description]="","",Table1[[#This Row],[h_disc 1]]+Table1[[#This Row],[h_disc 2]])</f>
        <v>738000</v>
      </c>
      <c r="AC40" s="284">
        <f>IF(Table1[Item Description]="","",Table1[[#This Row],[h_hargasebelumdiskon]]-Table1[[#This Row],[h_diskon]])</f>
        <v>5166000</v>
      </c>
      <c r="AD40" s="284">
        <f ca="1">IF(Table1[//]="","",SUMIF(Table1[h_id],Table1[h_id],Table1[h_hargasetelahdiskon]))</f>
        <v>5166000</v>
      </c>
      <c r="AE40" s="284"/>
      <c r="AF40" s="284" t="str">
        <f>Table1[[#This Row],[Item Description]]&amp;Table1[[#This Row],[Unit]]&amp;Table1[[#This Row],[Unit Price]]</f>
        <v>CUTTER 18 MM KENKO L-500 (BESAR)LSN147600</v>
      </c>
    </row>
    <row r="41" spans="1:32" x14ac:dyDescent="0.25">
      <c r="A41" s="288" t="str">
        <f ca="1">IF(Table1[[#This Row],[No. Invoice :]]="","",ROW())</f>
        <v/>
      </c>
      <c r="B41" s="288" t="str">
        <f ca="1">IF(Table1[h_Kode Sales :_1]="","",B$1+COUNT(INDIRECT("B$2:B"&amp;ROW()-1)))</f>
        <v/>
      </c>
      <c r="C41" s="282" t="str">
        <f>IF(Table1[[#This Row],[H_TGL]]="","",Table1[[#This Row],[H_TGL]]+C$1-1)</f>
        <v/>
      </c>
      <c r="H41" s="288" t="str">
        <f ca="1">IF(Table1[[#This Row],[h_No. Invoice :]]="","",CONCATENATE("AM"," ",Table1[[#This Row],[h_No. Invoice :]]))</f>
        <v/>
      </c>
      <c r="I41" s="289" t="str">
        <f>CONCATENATE(UPPER(Table1[[#This Row],[h_Kode Sales :_1]])," ",Table1[[#This Row],[h_Kode Sales :_2]])</f>
        <v xml:space="preserve"> </v>
      </c>
      <c r="J41" s="288" t="str">
        <f>IF(Table1[[#This Row],[h_toko]]="","",INDEX(Table2[e],IF(Table1[[#This Row],[h_toko]]="","",MATCH(Table1[[#This Row],[h_toko]],Table2[a],0)),))</f>
        <v/>
      </c>
      <c r="O41" s="288" t="str">
        <f>IF(Table1[[#This Row],[h_Item Description]]="","",INDEX([1]!db[NB PAJAK],MATCH(Table1[[#This Row],[h_Item Description]],[1]!db[kode],0)))</f>
        <v/>
      </c>
      <c r="Q41" s="284"/>
      <c r="R41" s="285"/>
      <c r="T41" s="284" t="str">
        <f>Table1[[#This Row],[h_hargasetelahdiskon]]</f>
        <v/>
      </c>
      <c r="W41" s="288" t="str">
        <f ca="1">IF(Table1[[#This Row],[Item Description]]="","",IF(Table1[[#This Row],[//]]="",INDIRECT(ADDRESS(ROW()-1,COLUMN())),Table1[[#This Row],[//]]))</f>
        <v/>
      </c>
      <c r="X41" s="288" t="str">
        <f ca="1">IF(Table1[[#This Row],[h_id]]="","",COUNTIF(Table1[h_id],Table1[[#This Row],[h_id]]))</f>
        <v/>
      </c>
      <c r="Y41" s="284" t="str">
        <f>IF(Table1[Item Description]="","",Table1[[#This Row],[Qty]]*Table1[[#This Row],[Unit Price]])</f>
        <v/>
      </c>
      <c r="Z41" s="284" t="str">
        <f>IF(Table1[[#This Row],[h_hargasebelumdiskon]]="","",IF(Table1[[#This Row],[Disc 1]]="",0,Table1[[#This Row],[h_hargasebelumdiskon]]*Table1[[#This Row],[Disc 1]]))</f>
        <v/>
      </c>
      <c r="AA41" s="284" t="str">
        <f>IF(Table1[[#This Row],[h_hargasebelumdiskon]]="","",IF(Table1[[#This Row],[Disc 2]]="",0,(Table1[[#This Row],[h_hargasebelumdiskon]]-Table1[[#This Row],[h_disc 1]])*Table1[[#This Row],[Disc 2]]))</f>
        <v/>
      </c>
      <c r="AB41" s="284" t="str">
        <f>IF(Table1[Item Description]="","",Table1[[#This Row],[h_disc 1]]+Table1[[#This Row],[h_disc 2]])</f>
        <v/>
      </c>
      <c r="AC41" s="284" t="str">
        <f>IF(Table1[Item Description]="","",Table1[[#This Row],[h_hargasebelumdiskon]]-Table1[[#This Row],[h_diskon]])</f>
        <v/>
      </c>
      <c r="AD41" s="284" t="str">
        <f ca="1">IF(Table1[//]="","",SUMIF(Table1[h_id],Table1[h_id],Table1[h_hargasetelahdiskon]))</f>
        <v/>
      </c>
      <c r="AE41" s="284"/>
      <c r="AF41" s="284" t="str">
        <f>Table1[[#This Row],[Item Description]]&amp;Table1[[#This Row],[Unit]]&amp;Table1[[#This Row],[Unit Price]]</f>
        <v/>
      </c>
    </row>
    <row r="42" spans="1:32" x14ac:dyDescent="0.25">
      <c r="A42" s="288">
        <f ca="1">IF(Table1[[#This Row],[No. Invoice :]]="","",ROW())</f>
        <v>42</v>
      </c>
      <c r="B42" s="288">
        <f ca="1">IF(Table1[h_Kode Sales :_1]="","",B$1+COUNT(INDIRECT("B$2:B"&amp;ROW()-1)))</f>
        <v>23070012</v>
      </c>
      <c r="C42" s="282">
        <f>IF(Table1[[#This Row],[H_TGL]]="","",Table1[[#This Row],[H_TGL]]+C$1-1)</f>
        <v>45117</v>
      </c>
      <c r="D42" s="293">
        <v>10</v>
      </c>
      <c r="E42" s="281" t="s">
        <v>122</v>
      </c>
      <c r="F42" s="283" t="s">
        <v>205</v>
      </c>
      <c r="G42" s="281" t="s">
        <v>94</v>
      </c>
      <c r="H42" s="288" t="str">
        <f ca="1">IF(Table1[[#This Row],[h_No. Invoice :]]="","",CONCATENATE("AM"," ",Table1[[#This Row],[h_No. Invoice :]]))</f>
        <v>AM 23070012</v>
      </c>
      <c r="I42" s="289" t="str">
        <f>CONCATENATE(UPPER(Table1[[#This Row],[h_Kode Sales :_1]])," ",Table1[[#This Row],[h_Kode Sales :_2]])</f>
        <v>KO 4823</v>
      </c>
      <c r="J42" s="288" t="str">
        <f>IF(Table1[[#This Row],[h_toko]]="","",INDEX(Table2[e],IF(Table1[[#This Row],[h_toko]]="","",MATCH(Table1[[#This Row],[h_toko]],Table2[a],0)),))</f>
        <v>CV LANCAR JAYA SENTOSA MALANG</v>
      </c>
      <c r="K42" s="281">
        <v>720</v>
      </c>
      <c r="L42" s="281" t="s">
        <v>155</v>
      </c>
      <c r="M42" s="281">
        <v>5</v>
      </c>
      <c r="N42" s="281" t="s">
        <v>206</v>
      </c>
      <c r="O42" s="288" t="str">
        <f>IF(Table1[[#This Row],[h_Item Description]]="","",INDEX([1]!db[NB PAJAK],MATCH(Table1[[#This Row],[h_Item Description]],[1]!db[kode],0)))</f>
        <v>CRAYON / OIL PASTEL JOYKO OP-12S PP CASE SEA WORLD</v>
      </c>
      <c r="P42" s="281" t="s">
        <v>212</v>
      </c>
      <c r="Q42" s="284">
        <v>11900</v>
      </c>
      <c r="R42" s="285">
        <v>0.125</v>
      </c>
      <c r="T42" s="284">
        <f>Table1[[#This Row],[h_hargasetelahdiskon]]</f>
        <v>7497000</v>
      </c>
      <c r="U42" s="284" t="s">
        <v>149</v>
      </c>
      <c r="W42" s="288">
        <f ca="1">IF(Table1[[#This Row],[Item Description]]="","",IF(Table1[[#This Row],[//]]="",INDIRECT(ADDRESS(ROW()-1,COLUMN())),Table1[[#This Row],[//]]))</f>
        <v>42</v>
      </c>
      <c r="X42" s="288">
        <f ca="1">IF(Table1[[#This Row],[h_id]]="","",COUNTIF(Table1[h_id],Table1[[#This Row],[h_id]]))</f>
        <v>6</v>
      </c>
      <c r="Y42" s="284">
        <f>IF(Table1[Item Description]="","",Table1[[#This Row],[Qty]]*Table1[[#This Row],[Unit Price]])</f>
        <v>8568000</v>
      </c>
      <c r="Z42" s="284">
        <f>IF(Table1[[#This Row],[h_hargasebelumdiskon]]="","",IF(Table1[[#This Row],[Disc 1]]="",0,Table1[[#This Row],[h_hargasebelumdiskon]]*Table1[[#This Row],[Disc 1]]))</f>
        <v>1071000</v>
      </c>
      <c r="AA42" s="284">
        <f>IF(Table1[[#This Row],[h_hargasebelumdiskon]]="","",IF(Table1[[#This Row],[Disc 2]]="",0,(Table1[[#This Row],[h_hargasebelumdiskon]]-Table1[[#This Row],[h_disc 1]])*Table1[[#This Row],[Disc 2]]))</f>
        <v>0</v>
      </c>
      <c r="AB42" s="284">
        <f>IF(Table1[Item Description]="","",Table1[[#This Row],[h_disc 1]]+Table1[[#This Row],[h_disc 2]])</f>
        <v>1071000</v>
      </c>
      <c r="AC42" s="284">
        <f>IF(Table1[Item Description]="","",Table1[[#This Row],[h_hargasebelumdiskon]]-Table1[[#This Row],[h_diskon]])</f>
        <v>7497000</v>
      </c>
      <c r="AD42" s="284">
        <f ca="1">IF(Table1[//]="","",SUMIF(Table1[h_id],Table1[h_id],Table1[h_hargasetelahdiskon]))</f>
        <v>21644525</v>
      </c>
      <c r="AE42" s="284"/>
      <c r="AF42" s="284" t="str">
        <f>Table1[[#This Row],[Item Description]]&amp;Table1[[#This Row],[Unit]]&amp;Table1[[#This Row],[Unit Price]]</f>
        <v>CRAYON / OIL PASTEL JOYKO OP-12S PP CASE SEA WORLDPCS11900</v>
      </c>
    </row>
    <row r="43" spans="1:32" x14ac:dyDescent="0.25">
      <c r="A43" s="288" t="str">
        <f ca="1">IF(Table1[[#This Row],[No. Invoice :]]="","",ROW())</f>
        <v/>
      </c>
      <c r="B43" s="288" t="str">
        <f ca="1">IF(Table1[h_Kode Sales :_1]="","",B$1+COUNT(INDIRECT("B$2:B"&amp;ROW()-1)))</f>
        <v/>
      </c>
      <c r="C43" s="282" t="str">
        <f>IF(Table1[[#This Row],[H_TGL]]="","",Table1[[#This Row],[H_TGL]]+C$1-1)</f>
        <v/>
      </c>
      <c r="H43" s="288" t="str">
        <f ca="1">IF(Table1[[#This Row],[h_No. Invoice :]]="","",CONCATENATE("AM"," ",Table1[[#This Row],[h_No. Invoice :]]))</f>
        <v/>
      </c>
      <c r="I43" s="289" t="str">
        <f>CONCATENATE(UPPER(Table1[[#This Row],[h_Kode Sales :_1]])," ",Table1[[#This Row],[h_Kode Sales :_2]])</f>
        <v xml:space="preserve"> </v>
      </c>
      <c r="J43" s="288" t="str">
        <f>IF(Table1[[#This Row],[h_toko]]="","",INDEX(Table2[e],IF(Table1[[#This Row],[h_toko]]="","",MATCH(Table1[[#This Row],[h_toko]],Table2[a],0)),))</f>
        <v/>
      </c>
      <c r="K43" s="281">
        <v>144</v>
      </c>
      <c r="L43" s="281" t="s">
        <v>155</v>
      </c>
      <c r="M43" s="281">
        <v>2</v>
      </c>
      <c r="N43" s="281" t="s">
        <v>207</v>
      </c>
      <c r="O43" s="288" t="str">
        <f>IF(Table1[[#This Row],[h_Item Description]]="","",INDEX([1]!db[NB PAJAK],MATCH(Table1[[#This Row],[h_Item Description]],[1]!db[kode],0)))</f>
        <v>CRAYON / OIL PASTEL JOYKO OP-18S PP CASE SEA WORLD</v>
      </c>
      <c r="P43" s="281" t="s">
        <v>213</v>
      </c>
      <c r="Q43" s="284">
        <v>23000</v>
      </c>
      <c r="R43" s="285">
        <v>0.125</v>
      </c>
      <c r="T43" s="284">
        <f>Table1[[#This Row],[h_hargasetelahdiskon]]</f>
        <v>2898000</v>
      </c>
      <c r="W43" s="288">
        <f ca="1">IF(Table1[[#This Row],[Item Description]]="","",IF(Table1[[#This Row],[//]]="",INDIRECT(ADDRESS(ROW()-1,COLUMN())),Table1[[#This Row],[//]]))</f>
        <v>42</v>
      </c>
      <c r="X43" s="288">
        <f ca="1">IF(Table1[[#This Row],[h_id]]="","",COUNTIF(Table1[h_id],Table1[[#This Row],[h_id]]))</f>
        <v>6</v>
      </c>
      <c r="Y43" s="284">
        <f>IF(Table1[Item Description]="","",Table1[[#This Row],[Qty]]*Table1[[#This Row],[Unit Price]])</f>
        <v>3312000</v>
      </c>
      <c r="Z43" s="284">
        <f>IF(Table1[[#This Row],[h_hargasebelumdiskon]]="","",IF(Table1[[#This Row],[Disc 1]]="",0,Table1[[#This Row],[h_hargasebelumdiskon]]*Table1[[#This Row],[Disc 1]]))</f>
        <v>414000</v>
      </c>
      <c r="AA43" s="284">
        <f>IF(Table1[[#This Row],[h_hargasebelumdiskon]]="","",IF(Table1[[#This Row],[Disc 2]]="",0,(Table1[[#This Row],[h_hargasebelumdiskon]]-Table1[[#This Row],[h_disc 1]])*Table1[[#This Row],[Disc 2]]))</f>
        <v>0</v>
      </c>
      <c r="AB43" s="284">
        <f>IF(Table1[Item Description]="","",Table1[[#This Row],[h_disc 1]]+Table1[[#This Row],[h_disc 2]])</f>
        <v>414000</v>
      </c>
      <c r="AC43" s="284">
        <f>IF(Table1[Item Description]="","",Table1[[#This Row],[h_hargasebelumdiskon]]-Table1[[#This Row],[h_diskon]])</f>
        <v>2898000</v>
      </c>
      <c r="AD43" s="284" t="str">
        <f ca="1">IF(Table1[//]="","",SUMIF(Table1[h_id],Table1[h_id],Table1[h_hargasetelahdiskon]))</f>
        <v/>
      </c>
      <c r="AE43" s="284"/>
      <c r="AF43" s="284" t="str">
        <f>Table1[[#This Row],[Item Description]]&amp;Table1[[#This Row],[Unit]]&amp;Table1[[#This Row],[Unit Price]]</f>
        <v>CRAYON / OIL PASTEL JOYKO OP-18S PP CASE SEA WORLDPCS23000</v>
      </c>
    </row>
    <row r="44" spans="1:32" x14ac:dyDescent="0.25">
      <c r="A44" s="288" t="str">
        <f ca="1">IF(Table1[[#This Row],[No. Invoice :]]="","",ROW())</f>
        <v/>
      </c>
      <c r="B44" s="288" t="str">
        <f ca="1">IF(Table1[h_Kode Sales :_1]="","",B$1+COUNT(INDIRECT("B$2:B"&amp;ROW()-1)))</f>
        <v/>
      </c>
      <c r="C44" s="282" t="str">
        <f>IF(Table1[[#This Row],[H_TGL]]="","",Table1[[#This Row],[H_TGL]]+C$1-1)</f>
        <v/>
      </c>
      <c r="H44" s="288" t="str">
        <f ca="1">IF(Table1[[#This Row],[h_No. Invoice :]]="","",CONCATENATE("AM"," ",Table1[[#This Row],[h_No. Invoice :]]))</f>
        <v/>
      </c>
      <c r="I44" s="289" t="str">
        <f>CONCATENATE(UPPER(Table1[[#This Row],[h_Kode Sales :_1]])," ",Table1[[#This Row],[h_Kode Sales :_2]])</f>
        <v xml:space="preserve"> </v>
      </c>
      <c r="J44" s="288" t="str">
        <f>IF(Table1[[#This Row],[h_toko]]="","",INDEX(Table2[e],IF(Table1[[#This Row],[h_toko]]="","",MATCH(Table1[[#This Row],[h_toko]],Table2[a],0)),))</f>
        <v/>
      </c>
      <c r="K44" s="281">
        <v>96</v>
      </c>
      <c r="L44" s="281" t="s">
        <v>155</v>
      </c>
      <c r="M44" s="281">
        <v>2</v>
      </c>
      <c r="N44" s="281" t="s">
        <v>179</v>
      </c>
      <c r="O44" s="288" t="str">
        <f>IF(Table1[[#This Row],[h_Item Description]]="","",INDEX([1]!db[NB PAJAK],MATCH(Table1[[#This Row],[h_Item Description]],[1]!db[kode],0)))</f>
        <v>CRAYON / OIL PASTEL JOYKO OP-24S PP CASE SEA WORLD</v>
      </c>
      <c r="P44" s="281" t="s">
        <v>181</v>
      </c>
      <c r="Q44" s="284">
        <v>29600</v>
      </c>
      <c r="R44" s="285">
        <v>0.125</v>
      </c>
      <c r="T44" s="284">
        <f>Table1[[#This Row],[h_hargasetelahdiskon]]</f>
        <v>2486400</v>
      </c>
      <c r="W44" s="288">
        <f ca="1">IF(Table1[[#This Row],[Item Description]]="","",IF(Table1[[#This Row],[//]]="",INDIRECT(ADDRESS(ROW()-1,COLUMN())),Table1[[#This Row],[//]]))</f>
        <v>42</v>
      </c>
      <c r="X44" s="288">
        <f ca="1">IF(Table1[[#This Row],[h_id]]="","",COUNTIF(Table1[h_id],Table1[[#This Row],[h_id]]))</f>
        <v>6</v>
      </c>
      <c r="Y44" s="284">
        <f>IF(Table1[Item Description]="","",Table1[[#This Row],[Qty]]*Table1[[#This Row],[Unit Price]])</f>
        <v>2841600</v>
      </c>
      <c r="Z44" s="284">
        <f>IF(Table1[[#This Row],[h_hargasebelumdiskon]]="","",IF(Table1[[#This Row],[Disc 1]]="",0,Table1[[#This Row],[h_hargasebelumdiskon]]*Table1[[#This Row],[Disc 1]]))</f>
        <v>355200</v>
      </c>
      <c r="AA44" s="284">
        <f>IF(Table1[[#This Row],[h_hargasebelumdiskon]]="","",IF(Table1[[#This Row],[Disc 2]]="",0,(Table1[[#This Row],[h_hargasebelumdiskon]]-Table1[[#This Row],[h_disc 1]])*Table1[[#This Row],[Disc 2]]))</f>
        <v>0</v>
      </c>
      <c r="AB44" s="284">
        <f>IF(Table1[Item Description]="","",Table1[[#This Row],[h_disc 1]]+Table1[[#This Row],[h_disc 2]])</f>
        <v>355200</v>
      </c>
      <c r="AC44" s="284">
        <f>IF(Table1[Item Description]="","",Table1[[#This Row],[h_hargasebelumdiskon]]-Table1[[#This Row],[h_diskon]])</f>
        <v>2486400</v>
      </c>
      <c r="AD44" s="284" t="str">
        <f ca="1">IF(Table1[//]="","",SUMIF(Table1[h_id],Table1[h_id],Table1[h_hargasetelahdiskon]))</f>
        <v/>
      </c>
      <c r="AE44" s="284"/>
      <c r="AF44" s="284" t="str">
        <f>Table1[[#This Row],[Item Description]]&amp;Table1[[#This Row],[Unit]]&amp;Table1[[#This Row],[Unit Price]]</f>
        <v>CRAYON / OIL PASTEL JOYKO OP-24S PP CASE SEA WORLDPCS29600</v>
      </c>
    </row>
    <row r="45" spans="1:32" x14ac:dyDescent="0.25">
      <c r="A45" s="288" t="str">
        <f ca="1">IF(Table1[[#This Row],[No. Invoice :]]="","",ROW())</f>
        <v/>
      </c>
      <c r="B45" s="288" t="str">
        <f ca="1">IF(Table1[h_Kode Sales :_1]="","",B$1+COUNT(INDIRECT("B$2:B"&amp;ROW()-1)))</f>
        <v/>
      </c>
      <c r="C45" s="282" t="str">
        <f>IF(Table1[[#This Row],[H_TGL]]="","",Table1[[#This Row],[H_TGL]]+C$1-1)</f>
        <v/>
      </c>
      <c r="H45" s="288" t="str">
        <f ca="1">IF(Table1[[#This Row],[h_No. Invoice :]]="","",CONCATENATE("AM"," ",Table1[[#This Row],[h_No. Invoice :]]))</f>
        <v/>
      </c>
      <c r="I45" s="289" t="str">
        <f>CONCATENATE(UPPER(Table1[[#This Row],[h_Kode Sales :_1]])," ",Table1[[#This Row],[h_Kode Sales :_2]])</f>
        <v xml:space="preserve"> </v>
      </c>
      <c r="J45" s="288" t="str">
        <f>IF(Table1[[#This Row],[h_toko]]="","",INDEX(Table2[e],IF(Table1[[#This Row],[h_toko]]="","",MATCH(Table1[[#This Row],[h_toko]],Table2[a],0)),))</f>
        <v/>
      </c>
      <c r="K45" s="281">
        <v>200</v>
      </c>
      <c r="L45" s="281" t="s">
        <v>125</v>
      </c>
      <c r="M45" s="281">
        <v>4</v>
      </c>
      <c r="N45" s="281" t="s">
        <v>208</v>
      </c>
      <c r="O45" s="288" t="str">
        <f>IF(Table1[[#This Row],[h_Item Description]]="","",INDEX([1]!db[NB PAJAK],MATCH(Table1[[#This Row],[h_Item Description]],[1]!db[kode],0)))</f>
        <v>STIP / PENGHAPUS JOYKO 526-B40P PUTIH</v>
      </c>
      <c r="P45" s="281" t="s">
        <v>214</v>
      </c>
      <c r="Q45" s="284">
        <v>28300</v>
      </c>
      <c r="R45" s="285">
        <v>0.125</v>
      </c>
      <c r="T45" s="284">
        <f>Table1[[#This Row],[h_hargasetelahdiskon]]</f>
        <v>4952500</v>
      </c>
      <c r="W45" s="288">
        <f ca="1">IF(Table1[[#This Row],[Item Description]]="","",IF(Table1[[#This Row],[//]]="",INDIRECT(ADDRESS(ROW()-1,COLUMN())),Table1[[#This Row],[//]]))</f>
        <v>42</v>
      </c>
      <c r="X45" s="288">
        <f ca="1">IF(Table1[[#This Row],[h_id]]="","",COUNTIF(Table1[h_id],Table1[[#This Row],[h_id]]))</f>
        <v>6</v>
      </c>
      <c r="Y45" s="284">
        <f>IF(Table1[Item Description]="","",Table1[[#This Row],[Qty]]*Table1[[#This Row],[Unit Price]])</f>
        <v>5660000</v>
      </c>
      <c r="Z45" s="284">
        <f>IF(Table1[[#This Row],[h_hargasebelumdiskon]]="","",IF(Table1[[#This Row],[Disc 1]]="",0,Table1[[#This Row],[h_hargasebelumdiskon]]*Table1[[#This Row],[Disc 1]]))</f>
        <v>707500</v>
      </c>
      <c r="AA45" s="284">
        <f>IF(Table1[[#This Row],[h_hargasebelumdiskon]]="","",IF(Table1[[#This Row],[Disc 2]]="",0,(Table1[[#This Row],[h_hargasebelumdiskon]]-Table1[[#This Row],[h_disc 1]])*Table1[[#This Row],[Disc 2]]))</f>
        <v>0</v>
      </c>
      <c r="AB45" s="284">
        <f>IF(Table1[Item Description]="","",Table1[[#This Row],[h_disc 1]]+Table1[[#This Row],[h_disc 2]])</f>
        <v>707500</v>
      </c>
      <c r="AC45" s="284">
        <f>IF(Table1[Item Description]="","",Table1[[#This Row],[h_hargasebelumdiskon]]-Table1[[#This Row],[h_diskon]])</f>
        <v>4952500</v>
      </c>
      <c r="AD45" s="284" t="str">
        <f ca="1">IF(Table1[//]="","",SUMIF(Table1[h_id],Table1[h_id],Table1[h_hargasetelahdiskon]))</f>
        <v/>
      </c>
      <c r="AE45" s="284"/>
      <c r="AF45" s="284" t="str">
        <f>Table1[[#This Row],[Item Description]]&amp;Table1[[#This Row],[Unit]]&amp;Table1[[#This Row],[Unit Price]]</f>
        <v>STIP / PENGHAPUS JOYKO 526-B40P PUTIHBOX28300</v>
      </c>
    </row>
    <row r="46" spans="1:32" x14ac:dyDescent="0.25">
      <c r="A46" s="288" t="str">
        <f ca="1">IF(Table1[[#This Row],[No. Invoice :]]="","",ROW())</f>
        <v/>
      </c>
      <c r="B46" s="288" t="str">
        <f ca="1">IF(Table1[h_Kode Sales :_1]="","",B$1+COUNT(INDIRECT("B$2:B"&amp;ROW()-1)))</f>
        <v/>
      </c>
      <c r="C46" s="282" t="str">
        <f>IF(Table1[[#This Row],[H_TGL]]="","",Table1[[#This Row],[H_TGL]]+C$1-1)</f>
        <v/>
      </c>
      <c r="H46" s="288" t="str">
        <f ca="1">IF(Table1[[#This Row],[h_No. Invoice :]]="","",CONCATENATE("AM"," ",Table1[[#This Row],[h_No. Invoice :]]))</f>
        <v/>
      </c>
      <c r="I46" s="289" t="str">
        <f>CONCATENATE(UPPER(Table1[[#This Row],[h_Kode Sales :_1]])," ",Table1[[#This Row],[h_Kode Sales :_2]])</f>
        <v xml:space="preserve"> </v>
      </c>
      <c r="J46" s="288" t="str">
        <f>IF(Table1[[#This Row],[h_toko]]="","",INDEX(Table2[e],IF(Table1[[#This Row],[h_toko]]="","",MATCH(Table1[[#This Row],[h_toko]],Table2[a],0)),))</f>
        <v/>
      </c>
      <c r="K46" s="281">
        <v>100</v>
      </c>
      <c r="L46" s="281" t="s">
        <v>125</v>
      </c>
      <c r="M46" s="281">
        <v>2</v>
      </c>
      <c r="N46" s="281" t="s">
        <v>209</v>
      </c>
      <c r="O46" s="288" t="str">
        <f>IF(Table1[[#This Row],[h_Item Description]]="","",INDEX([1]!db[NB PAJAK],MATCH(Table1[[#This Row],[h_Item Description]],[1]!db[kode],0)))</f>
        <v>STIP / PENGHAPUS JOYKO 526-B40BL HITAM</v>
      </c>
      <c r="P46" s="281" t="s">
        <v>215</v>
      </c>
      <c r="Q46" s="284">
        <v>28300</v>
      </c>
      <c r="R46" s="285">
        <v>0.125</v>
      </c>
      <c r="T46" s="284">
        <f>Table1[[#This Row],[h_hargasetelahdiskon]]</f>
        <v>2476250</v>
      </c>
      <c r="W46" s="288">
        <f ca="1">IF(Table1[[#This Row],[Item Description]]="","",IF(Table1[[#This Row],[//]]="",INDIRECT(ADDRESS(ROW()-1,COLUMN())),Table1[[#This Row],[//]]))</f>
        <v>42</v>
      </c>
      <c r="X46" s="288">
        <f ca="1">IF(Table1[[#This Row],[h_id]]="","",COUNTIF(Table1[h_id],Table1[[#This Row],[h_id]]))</f>
        <v>6</v>
      </c>
      <c r="Y46" s="284">
        <f>IF(Table1[Item Description]="","",Table1[[#This Row],[Qty]]*Table1[[#This Row],[Unit Price]])</f>
        <v>2830000</v>
      </c>
      <c r="Z46" s="284">
        <f>IF(Table1[[#This Row],[h_hargasebelumdiskon]]="","",IF(Table1[[#This Row],[Disc 1]]="",0,Table1[[#This Row],[h_hargasebelumdiskon]]*Table1[[#This Row],[Disc 1]]))</f>
        <v>353750</v>
      </c>
      <c r="AA46" s="284">
        <f>IF(Table1[[#This Row],[h_hargasebelumdiskon]]="","",IF(Table1[[#This Row],[Disc 2]]="",0,(Table1[[#This Row],[h_hargasebelumdiskon]]-Table1[[#This Row],[h_disc 1]])*Table1[[#This Row],[Disc 2]]))</f>
        <v>0</v>
      </c>
      <c r="AB46" s="284">
        <f>IF(Table1[Item Description]="","",Table1[[#This Row],[h_disc 1]]+Table1[[#This Row],[h_disc 2]])</f>
        <v>353750</v>
      </c>
      <c r="AC46" s="284">
        <f>IF(Table1[Item Description]="","",Table1[[#This Row],[h_hargasebelumdiskon]]-Table1[[#This Row],[h_diskon]])</f>
        <v>2476250</v>
      </c>
      <c r="AD46" s="284" t="str">
        <f ca="1">IF(Table1[//]="","",SUMIF(Table1[h_id],Table1[h_id],Table1[h_hargasetelahdiskon]))</f>
        <v/>
      </c>
      <c r="AE46" s="284"/>
      <c r="AF46" s="284" t="str">
        <f>Table1[[#This Row],[Item Description]]&amp;Table1[[#This Row],[Unit]]&amp;Table1[[#This Row],[Unit Price]]</f>
        <v>STIP / PENGHAPUS JOYKO 526-B40BL HITAMBOX28300</v>
      </c>
    </row>
    <row r="47" spans="1:32" x14ac:dyDescent="0.25">
      <c r="A47" s="288" t="str">
        <f ca="1">IF(Table1[[#This Row],[No. Invoice :]]="","",ROW())</f>
        <v/>
      </c>
      <c r="B47" s="288" t="str">
        <f ca="1">IF(Table1[h_Kode Sales :_1]="","",B$1+COUNT(INDIRECT("B$2:B"&amp;ROW()-1)))</f>
        <v/>
      </c>
      <c r="C47" s="282" t="str">
        <f>IF(Table1[[#This Row],[H_TGL]]="","",Table1[[#This Row],[H_TGL]]+C$1-1)</f>
        <v/>
      </c>
      <c r="H47" s="288" t="str">
        <f ca="1">IF(Table1[[#This Row],[h_No. Invoice :]]="","",CONCATENATE("AM"," ",Table1[[#This Row],[h_No. Invoice :]]))</f>
        <v/>
      </c>
      <c r="I47" s="289" t="str">
        <f>CONCATENATE(UPPER(Table1[[#This Row],[h_Kode Sales :_1]])," ",Table1[[#This Row],[h_Kode Sales :_2]])</f>
        <v xml:space="preserve"> </v>
      </c>
      <c r="J47" s="288" t="str">
        <f>IF(Table1[[#This Row],[h_toko]]="","",INDEX(Table2[e],IF(Table1[[#This Row],[h_toko]]="","",MATCH(Table1[[#This Row],[h_toko]],Table2[a],0)),))</f>
        <v/>
      </c>
      <c r="K47" s="281">
        <v>50</v>
      </c>
      <c r="L47" s="281" t="s">
        <v>210</v>
      </c>
      <c r="M47" s="281">
        <v>1</v>
      </c>
      <c r="N47" s="281" t="s">
        <v>211</v>
      </c>
      <c r="O47" s="288" t="str">
        <f>IF(Table1[[#This Row],[h_Item Description]]="","",INDEX([1]!db[NB PAJAK],MATCH(Table1[[#This Row],[h_Item Description]],[1]!db[kode],0)))</f>
        <v>LABEL HARGA JOYKO LB-P2LN (2 LINE PUTIH)</v>
      </c>
      <c r="P47" s="281" t="s">
        <v>216</v>
      </c>
      <c r="Q47" s="284">
        <v>30500</v>
      </c>
      <c r="R47" s="285">
        <v>0.125</v>
      </c>
      <c r="T47" s="284">
        <f>Table1[[#This Row],[h_hargasetelahdiskon]]</f>
        <v>1334375</v>
      </c>
      <c r="W47" s="288">
        <f ca="1">IF(Table1[[#This Row],[Item Description]]="","",IF(Table1[[#This Row],[//]]="",INDIRECT(ADDRESS(ROW()-1,COLUMN())),Table1[[#This Row],[//]]))</f>
        <v>42</v>
      </c>
      <c r="X47" s="288">
        <f ca="1">IF(Table1[[#This Row],[h_id]]="","",COUNTIF(Table1[h_id],Table1[[#This Row],[h_id]]))</f>
        <v>6</v>
      </c>
      <c r="Y47" s="284">
        <f>IF(Table1[Item Description]="","",Table1[[#This Row],[Qty]]*Table1[[#This Row],[Unit Price]])</f>
        <v>1525000</v>
      </c>
      <c r="Z47" s="284">
        <f>IF(Table1[[#This Row],[h_hargasebelumdiskon]]="","",IF(Table1[[#This Row],[Disc 1]]="",0,Table1[[#This Row],[h_hargasebelumdiskon]]*Table1[[#This Row],[Disc 1]]))</f>
        <v>190625</v>
      </c>
      <c r="AA47" s="284">
        <f>IF(Table1[[#This Row],[h_hargasebelumdiskon]]="","",IF(Table1[[#This Row],[Disc 2]]="",0,(Table1[[#This Row],[h_hargasebelumdiskon]]-Table1[[#This Row],[h_disc 1]])*Table1[[#This Row],[Disc 2]]))</f>
        <v>0</v>
      </c>
      <c r="AB47" s="284">
        <f>IF(Table1[Item Description]="","",Table1[[#This Row],[h_disc 1]]+Table1[[#This Row],[h_disc 2]])</f>
        <v>190625</v>
      </c>
      <c r="AC47" s="284">
        <f>IF(Table1[Item Description]="","",Table1[[#This Row],[h_hargasebelumdiskon]]-Table1[[#This Row],[h_diskon]])</f>
        <v>1334375</v>
      </c>
      <c r="AD47" s="284" t="str">
        <f ca="1">IF(Table1[//]="","",SUMIF(Table1[h_id],Table1[h_id],Table1[h_hargasetelahdiskon]))</f>
        <v/>
      </c>
      <c r="AE47" s="284"/>
      <c r="AF47" s="284" t="str">
        <f>Table1[[#This Row],[Item Description]]&amp;Table1[[#This Row],[Unit]]&amp;Table1[[#This Row],[Unit Price]]</f>
        <v>LABEL HARGA JOYKO LB-P2LN (2 LINE PUTIH)SLOP30500</v>
      </c>
    </row>
    <row r="48" spans="1:32" x14ac:dyDescent="0.25">
      <c r="A48" s="288" t="str">
        <f ca="1">IF(Table1[[#This Row],[No. Invoice :]]="","",ROW())</f>
        <v/>
      </c>
      <c r="B48" s="288" t="str">
        <f ca="1">IF(Table1[h_Kode Sales :_1]="","",B$1+COUNT(INDIRECT("B$2:B"&amp;ROW()-1)))</f>
        <v/>
      </c>
      <c r="C48" s="282" t="str">
        <f>IF(Table1[[#This Row],[H_TGL]]="","",Table1[[#This Row],[H_TGL]]+C$1-1)</f>
        <v/>
      </c>
      <c r="H48" s="288" t="str">
        <f ca="1">IF(Table1[[#This Row],[h_No. Invoice :]]="","",CONCATENATE("AM"," ",Table1[[#This Row],[h_No. Invoice :]]))</f>
        <v/>
      </c>
      <c r="I48" s="289" t="str">
        <f>CONCATENATE(UPPER(Table1[[#This Row],[h_Kode Sales :_1]])," ",Table1[[#This Row],[h_Kode Sales :_2]])</f>
        <v xml:space="preserve"> </v>
      </c>
      <c r="J48" s="288" t="str">
        <f>IF(Table1[[#This Row],[h_toko]]="","",INDEX(Table2[e],IF(Table1[[#This Row],[h_toko]]="","",MATCH(Table1[[#This Row],[h_toko]],Table2[a],0)),))</f>
        <v/>
      </c>
      <c r="O48" s="288" t="str">
        <f>IF(Table1[[#This Row],[h_Item Description]]="","",INDEX([1]!db[NB PAJAK],MATCH(Table1[[#This Row],[h_Item Description]],[1]!db[kode],0)))</f>
        <v/>
      </c>
      <c r="Q48" s="284"/>
      <c r="R48" s="285"/>
      <c r="T48" s="284" t="str">
        <f>Table1[[#This Row],[h_hargasetelahdiskon]]</f>
        <v/>
      </c>
      <c r="W48" s="288" t="str">
        <f ca="1">IF(Table1[[#This Row],[Item Description]]="","",IF(Table1[[#This Row],[//]]="",INDIRECT(ADDRESS(ROW()-1,COLUMN())),Table1[[#This Row],[//]]))</f>
        <v/>
      </c>
      <c r="X48" s="288" t="str">
        <f ca="1">IF(Table1[[#This Row],[h_id]]="","",COUNTIF(Table1[h_id],Table1[[#This Row],[h_id]]))</f>
        <v/>
      </c>
      <c r="Y48" s="284" t="str">
        <f>IF(Table1[Item Description]="","",Table1[[#This Row],[Qty]]*Table1[[#This Row],[Unit Price]])</f>
        <v/>
      </c>
      <c r="Z48" s="284" t="str">
        <f>IF(Table1[[#This Row],[h_hargasebelumdiskon]]="","",IF(Table1[[#This Row],[Disc 1]]="",0,Table1[[#This Row],[h_hargasebelumdiskon]]*Table1[[#This Row],[Disc 1]]))</f>
        <v/>
      </c>
      <c r="AA48" s="284" t="str">
        <f>IF(Table1[[#This Row],[h_hargasebelumdiskon]]="","",IF(Table1[[#This Row],[Disc 2]]="",0,(Table1[[#This Row],[h_hargasebelumdiskon]]-Table1[[#This Row],[h_disc 1]])*Table1[[#This Row],[Disc 2]]))</f>
        <v/>
      </c>
      <c r="AB48" s="284" t="str">
        <f>IF(Table1[Item Description]="","",Table1[[#This Row],[h_disc 1]]+Table1[[#This Row],[h_disc 2]])</f>
        <v/>
      </c>
      <c r="AC48" s="284" t="str">
        <f>IF(Table1[Item Description]="","",Table1[[#This Row],[h_hargasebelumdiskon]]-Table1[[#This Row],[h_diskon]])</f>
        <v/>
      </c>
      <c r="AD48" s="284" t="str">
        <f ca="1">IF(Table1[//]="","",SUMIF(Table1[h_id],Table1[h_id],Table1[h_hargasetelahdiskon]))</f>
        <v/>
      </c>
      <c r="AE48" s="284"/>
      <c r="AF48" s="284" t="str">
        <f>Table1[[#This Row],[Item Description]]&amp;Table1[[#This Row],[Unit]]&amp;Table1[[#This Row],[Unit Price]]</f>
        <v/>
      </c>
    </row>
    <row r="49" spans="1:32" x14ac:dyDescent="0.25">
      <c r="A49" s="288">
        <f ca="1">IF(Table1[[#This Row],[No. Invoice :]]="","",ROW())</f>
        <v>49</v>
      </c>
      <c r="B49" s="288">
        <f ca="1">IF(Table1[h_Kode Sales :_1]="","",B$1+COUNT(INDIRECT("B$2:B"&amp;ROW()-1)))</f>
        <v>23070013</v>
      </c>
      <c r="C49" s="282">
        <f>IF(Table1[[#This Row],[H_TGL]]="","",Table1[[#This Row],[H_TGL]]+C$1-1)</f>
        <v>45117</v>
      </c>
      <c r="D49" s="293">
        <v>10</v>
      </c>
      <c r="E49" s="281" t="s">
        <v>122</v>
      </c>
      <c r="F49" s="283" t="s">
        <v>217</v>
      </c>
      <c r="G49" s="281" t="s">
        <v>70</v>
      </c>
      <c r="H49" s="288" t="str">
        <f ca="1">IF(Table1[[#This Row],[h_No. Invoice :]]="","",CONCATENATE("AM"," ",Table1[[#This Row],[h_No. Invoice :]]))</f>
        <v>AM 23070013</v>
      </c>
      <c r="I49" s="289" t="str">
        <f>CONCATENATE(UPPER(Table1[[#This Row],[h_Kode Sales :_1]])," ",Table1[[#This Row],[h_Kode Sales :_2]])</f>
        <v>KO 4883</v>
      </c>
      <c r="J49" s="288" t="str">
        <f>IF(Table1[[#This Row],[h_toko]]="","",INDEX(Table2[e],IF(Table1[[#This Row],[h_toko]]="","",MATCH(Table1[[#This Row],[h_toko]],Table2[a],0)),))</f>
        <v>HARNOYO (BENDAN) PEKALONGAN</v>
      </c>
      <c r="K49" s="281">
        <v>96</v>
      </c>
      <c r="L49" s="281" t="s">
        <v>155</v>
      </c>
      <c r="M49" s="281">
        <v>1</v>
      </c>
      <c r="N49" s="281" t="s">
        <v>218</v>
      </c>
      <c r="O49" s="288" t="str">
        <f>IF(Table1[[#This Row],[h_Item Description]]="","",INDEX([1]!db[NB PAJAK],MATCH(Table1[[#This Row],[h_Item Description]],[1]!db[kode],0)))</f>
        <v>HANDY TAPE DISPENSER KENKO TDB-2 (BESI)</v>
      </c>
      <c r="P49" s="281" t="s">
        <v>219</v>
      </c>
      <c r="Q49" s="284">
        <v>22000</v>
      </c>
      <c r="R49" s="285">
        <v>0.14000000000000001</v>
      </c>
      <c r="T49" s="284">
        <f>Table1[[#This Row],[h_hargasetelahdiskon]]</f>
        <v>1816320</v>
      </c>
      <c r="U49" s="284" t="s">
        <v>149</v>
      </c>
      <c r="W49" s="288">
        <f ca="1">IF(Table1[[#This Row],[Item Description]]="","",IF(Table1[[#This Row],[//]]="",INDIRECT(ADDRESS(ROW()-1,COLUMN())),Table1[[#This Row],[//]]))</f>
        <v>49</v>
      </c>
      <c r="X49" s="288">
        <f ca="1">IF(Table1[[#This Row],[h_id]]="","",COUNTIF(Table1[h_id],Table1[[#This Row],[h_id]]))</f>
        <v>1</v>
      </c>
      <c r="Y49" s="284">
        <f>IF(Table1[Item Description]="","",Table1[[#This Row],[Qty]]*Table1[[#This Row],[Unit Price]])</f>
        <v>2112000</v>
      </c>
      <c r="Z49" s="284">
        <f>IF(Table1[[#This Row],[h_hargasebelumdiskon]]="","",IF(Table1[[#This Row],[Disc 1]]="",0,Table1[[#This Row],[h_hargasebelumdiskon]]*Table1[[#This Row],[Disc 1]]))</f>
        <v>295680</v>
      </c>
      <c r="AA49" s="284">
        <f>IF(Table1[[#This Row],[h_hargasebelumdiskon]]="","",IF(Table1[[#This Row],[Disc 2]]="",0,(Table1[[#This Row],[h_hargasebelumdiskon]]-Table1[[#This Row],[h_disc 1]])*Table1[[#This Row],[Disc 2]]))</f>
        <v>0</v>
      </c>
      <c r="AB49" s="284">
        <f>IF(Table1[Item Description]="","",Table1[[#This Row],[h_disc 1]]+Table1[[#This Row],[h_disc 2]])</f>
        <v>295680</v>
      </c>
      <c r="AC49" s="284">
        <f>IF(Table1[Item Description]="","",Table1[[#This Row],[h_hargasebelumdiskon]]-Table1[[#This Row],[h_diskon]])</f>
        <v>1816320</v>
      </c>
      <c r="AD49" s="284">
        <f ca="1">IF(Table1[//]="","",SUMIF(Table1[h_id],Table1[h_id],Table1[h_hargasetelahdiskon]))</f>
        <v>1816320</v>
      </c>
      <c r="AE49" s="284"/>
      <c r="AF49" s="284" t="str">
        <f>Table1[[#This Row],[Item Description]]&amp;Table1[[#This Row],[Unit]]&amp;Table1[[#This Row],[Unit Price]]</f>
        <v>HANDY TAPE DISPENSER KENKO TDB-2PCS22000</v>
      </c>
    </row>
    <row r="50" spans="1:32" x14ac:dyDescent="0.25">
      <c r="A50" s="288" t="str">
        <f ca="1">IF(Table1[[#This Row],[No. Invoice :]]="","",ROW())</f>
        <v/>
      </c>
      <c r="B50" s="288" t="str">
        <f ca="1">IF(Table1[h_Kode Sales :_1]="","",B$1+COUNT(INDIRECT("B$2:B"&amp;ROW()-1)))</f>
        <v/>
      </c>
      <c r="C50" s="282" t="str">
        <f>IF(Table1[[#This Row],[H_TGL]]="","",Table1[[#This Row],[H_TGL]]+C$1-1)</f>
        <v/>
      </c>
      <c r="H50" s="288" t="str">
        <f ca="1">IF(Table1[[#This Row],[h_No. Invoice :]]="","",CONCATENATE("AM"," ",Table1[[#This Row],[h_No. Invoice :]]))</f>
        <v/>
      </c>
      <c r="I50" s="289" t="str">
        <f>CONCATENATE(UPPER(Table1[[#This Row],[h_Kode Sales :_1]])," ",Table1[[#This Row],[h_Kode Sales :_2]])</f>
        <v xml:space="preserve"> </v>
      </c>
      <c r="J50" s="288" t="str">
        <f>IF(Table1[[#This Row],[h_toko]]="","",INDEX(Table2[e],IF(Table1[[#This Row],[h_toko]]="","",MATCH(Table1[[#This Row],[h_toko]],Table2[a],0)),))</f>
        <v/>
      </c>
      <c r="O50" s="288" t="str">
        <f>IF(Table1[[#This Row],[h_Item Description]]="","",INDEX([1]!db[NB PAJAK],MATCH(Table1[[#This Row],[h_Item Description]],[1]!db[kode],0)))</f>
        <v/>
      </c>
      <c r="Q50" s="284"/>
      <c r="R50" s="285"/>
      <c r="T50" s="284" t="str">
        <f>Table1[[#This Row],[h_hargasetelahdiskon]]</f>
        <v/>
      </c>
      <c r="W50" s="288" t="str">
        <f ca="1">IF(Table1[[#This Row],[Item Description]]="","",IF(Table1[[#This Row],[//]]="",INDIRECT(ADDRESS(ROW()-1,COLUMN())),Table1[[#This Row],[//]]))</f>
        <v/>
      </c>
      <c r="X50" s="288" t="str">
        <f ca="1">IF(Table1[[#This Row],[h_id]]="","",COUNTIF(Table1[h_id],Table1[[#This Row],[h_id]]))</f>
        <v/>
      </c>
      <c r="Y50" s="284" t="str">
        <f>IF(Table1[Item Description]="","",Table1[[#This Row],[Qty]]*Table1[[#This Row],[Unit Price]])</f>
        <v/>
      </c>
      <c r="Z50" s="284" t="str">
        <f>IF(Table1[[#This Row],[h_hargasebelumdiskon]]="","",IF(Table1[[#This Row],[Disc 1]]="",0,Table1[[#This Row],[h_hargasebelumdiskon]]*Table1[[#This Row],[Disc 1]]))</f>
        <v/>
      </c>
      <c r="AA50" s="284" t="str">
        <f>IF(Table1[[#This Row],[h_hargasebelumdiskon]]="","",IF(Table1[[#This Row],[Disc 2]]="",0,(Table1[[#This Row],[h_hargasebelumdiskon]]-Table1[[#This Row],[h_disc 1]])*Table1[[#This Row],[Disc 2]]))</f>
        <v/>
      </c>
      <c r="AB50" s="284" t="str">
        <f>IF(Table1[Item Description]="","",Table1[[#This Row],[h_disc 1]]+Table1[[#This Row],[h_disc 2]])</f>
        <v/>
      </c>
      <c r="AC50" s="284" t="str">
        <f>IF(Table1[Item Description]="","",Table1[[#This Row],[h_hargasebelumdiskon]]-Table1[[#This Row],[h_diskon]])</f>
        <v/>
      </c>
      <c r="AD50" s="284" t="str">
        <f ca="1">IF(Table1[//]="","",SUMIF(Table1[h_id],Table1[h_id],Table1[h_hargasetelahdiskon]))</f>
        <v/>
      </c>
      <c r="AE50" s="284"/>
      <c r="AF50" s="284" t="str">
        <f>Table1[[#This Row],[Item Description]]&amp;Table1[[#This Row],[Unit]]&amp;Table1[[#This Row],[Unit Price]]</f>
        <v/>
      </c>
    </row>
    <row r="51" spans="1:32" x14ac:dyDescent="0.25">
      <c r="A51" s="288">
        <f ca="1">IF(Table1[[#This Row],[No. Invoice :]]="","",ROW())</f>
        <v>51</v>
      </c>
      <c r="B51" s="288">
        <f ca="1">IF(Table1[h_Kode Sales :_1]="","",B$1+COUNT(INDIRECT("B$2:B"&amp;ROW()-1)))</f>
        <v>23070014</v>
      </c>
      <c r="C51" s="282">
        <f>IF(Table1[[#This Row],[H_TGL]]="","",Table1[[#This Row],[H_TGL]]+C$1-1)</f>
        <v>45118</v>
      </c>
      <c r="D51" s="293">
        <v>11</v>
      </c>
      <c r="E51" s="281" t="s">
        <v>122</v>
      </c>
      <c r="F51" s="283" t="s">
        <v>220</v>
      </c>
      <c r="G51" s="281" t="s">
        <v>87</v>
      </c>
      <c r="H51" s="288" t="str">
        <f ca="1">IF(Table1[[#This Row],[h_No. Invoice :]]="","",CONCATENATE("AM"," ",Table1[[#This Row],[h_No. Invoice :]]))</f>
        <v>AM 23070014</v>
      </c>
      <c r="I51" s="289" t="str">
        <f>CONCATENATE(UPPER(Table1[[#This Row],[h_Kode Sales :_1]])," ",Table1[[#This Row],[h_Kode Sales :_2]])</f>
        <v>KO 4888</v>
      </c>
      <c r="J51" s="288" t="str">
        <f>IF(Table1[[#This Row],[h_toko]]="","",INDEX(Table2[e],IF(Table1[[#This Row],[h_toko]]="","",MATCH(Table1[[#This Row],[h_toko]],Table2[a],0)),))</f>
        <v>SANTOSO BUDIONO (  ARMADA  ) PURWOKERTO</v>
      </c>
      <c r="K51" s="281">
        <v>20</v>
      </c>
      <c r="L51" s="281" t="s">
        <v>142</v>
      </c>
      <c r="M51" s="281">
        <v>1</v>
      </c>
      <c r="N51" s="281" t="s">
        <v>221</v>
      </c>
      <c r="O51" s="288" t="str">
        <f>IF(Table1[[#This Row],[h_Item Description]]="","",INDEX([1]!db[NB PAJAK],MATCH(Table1[[#This Row],[h_Item Description]],[1]!db[kode],0)))</f>
        <v>STAPLER KENKO HD-10D</v>
      </c>
      <c r="P51" s="281" t="s">
        <v>222</v>
      </c>
      <c r="Q51" s="284">
        <v>117600</v>
      </c>
      <c r="R51" s="285">
        <v>0.13</v>
      </c>
      <c r="T51" s="284">
        <f>Table1[[#This Row],[h_hargasetelahdiskon]]</f>
        <v>2046240</v>
      </c>
      <c r="U51" s="284" t="s">
        <v>149</v>
      </c>
      <c r="W51" s="288">
        <f ca="1">IF(Table1[[#This Row],[Item Description]]="","",IF(Table1[[#This Row],[//]]="",INDIRECT(ADDRESS(ROW()-1,COLUMN())),Table1[[#This Row],[//]]))</f>
        <v>51</v>
      </c>
      <c r="X51" s="288">
        <f ca="1">IF(Table1[[#This Row],[h_id]]="","",COUNTIF(Table1[h_id],Table1[[#This Row],[h_id]]))</f>
        <v>2</v>
      </c>
      <c r="Y51" s="284">
        <f>IF(Table1[Item Description]="","",Table1[[#This Row],[Qty]]*Table1[[#This Row],[Unit Price]])</f>
        <v>2352000</v>
      </c>
      <c r="Z51" s="284">
        <f>IF(Table1[[#This Row],[h_hargasebelumdiskon]]="","",IF(Table1[[#This Row],[Disc 1]]="",0,Table1[[#This Row],[h_hargasebelumdiskon]]*Table1[[#This Row],[Disc 1]]))</f>
        <v>305760</v>
      </c>
      <c r="AA51" s="284">
        <f>IF(Table1[[#This Row],[h_hargasebelumdiskon]]="","",IF(Table1[[#This Row],[Disc 2]]="",0,(Table1[[#This Row],[h_hargasebelumdiskon]]-Table1[[#This Row],[h_disc 1]])*Table1[[#This Row],[Disc 2]]))</f>
        <v>0</v>
      </c>
      <c r="AB51" s="284">
        <f>IF(Table1[Item Description]="","",Table1[[#This Row],[h_disc 1]]+Table1[[#This Row],[h_disc 2]])</f>
        <v>305760</v>
      </c>
      <c r="AC51" s="284">
        <f>IF(Table1[Item Description]="","",Table1[[#This Row],[h_hargasebelumdiskon]]-Table1[[#This Row],[h_diskon]])</f>
        <v>2046240</v>
      </c>
      <c r="AD51" s="284">
        <f ca="1">IF(Table1[//]="","",SUMIF(Table1[h_id],Table1[h_id],Table1[h_hargasetelahdiskon]))</f>
        <v>2844240</v>
      </c>
      <c r="AE51" s="284"/>
      <c r="AF51" s="284" t="str">
        <f>Table1[[#This Row],[Item Description]]&amp;Table1[[#This Row],[Unit]]&amp;Table1[[#This Row],[Unit Price]]</f>
        <v>STAPLER KENKO HD-10DLSN117600</v>
      </c>
    </row>
    <row r="52" spans="1:32" x14ac:dyDescent="0.25">
      <c r="A52" s="288" t="str">
        <f ca="1">IF(Table1[[#This Row],[No. Invoice :]]="","",ROW())</f>
        <v/>
      </c>
      <c r="B52" s="288" t="str">
        <f ca="1">IF(Table1[h_Kode Sales :_1]="","",B$1+COUNT(INDIRECT("B$2:B"&amp;ROW()-1)))</f>
        <v/>
      </c>
      <c r="C52" s="282" t="str">
        <f>IF(Table1[[#This Row],[H_TGL]]="","",Table1[[#This Row],[H_TGL]]+C$1-1)</f>
        <v/>
      </c>
      <c r="H52" s="288" t="str">
        <f ca="1">IF(Table1[[#This Row],[h_No. Invoice :]]="","",CONCATENATE("AM"," ",Table1[[#This Row],[h_No. Invoice :]]))</f>
        <v/>
      </c>
      <c r="I52" s="289" t="str">
        <f>CONCATENATE(UPPER(Table1[[#This Row],[h_Kode Sales :_1]])," ",Table1[[#This Row],[h_Kode Sales :_2]])</f>
        <v xml:space="preserve"> </v>
      </c>
      <c r="J52" s="288" t="str">
        <f>IF(Table1[[#This Row],[h_toko]]="","",INDEX(Table2[e],IF(Table1[[#This Row],[h_toko]]="","",MATCH(Table1[[#This Row],[h_toko]],Table2[a],0)),))</f>
        <v/>
      </c>
      <c r="K52" s="281">
        <v>4</v>
      </c>
      <c r="L52" s="281" t="s">
        <v>142</v>
      </c>
      <c r="N52" s="281" t="s">
        <v>171</v>
      </c>
      <c r="O52" s="288" t="str">
        <f>IF(Table1[[#This Row],[h_Item Description]]="","",INDEX([1]!db[NB PAJAK],MATCH(Table1[[#This Row],[h_Item Description]],[1]!db[kode],0)))</f>
        <v>STAPLER KENKO HD-50</v>
      </c>
      <c r="P52" s="281" t="s">
        <v>175</v>
      </c>
      <c r="Q52" s="284">
        <v>228000</v>
      </c>
      <c r="R52" s="285">
        <v>0.125</v>
      </c>
      <c r="T52" s="284">
        <f>Table1[[#This Row],[h_hargasetelahdiskon]]</f>
        <v>798000</v>
      </c>
      <c r="W52" s="288">
        <f ca="1">IF(Table1[[#This Row],[Item Description]]="","",IF(Table1[[#This Row],[//]]="",INDIRECT(ADDRESS(ROW()-1,COLUMN())),Table1[[#This Row],[//]]))</f>
        <v>51</v>
      </c>
      <c r="X52" s="288">
        <f ca="1">IF(Table1[[#This Row],[h_id]]="","",COUNTIF(Table1[h_id],Table1[[#This Row],[h_id]]))</f>
        <v>2</v>
      </c>
      <c r="Y52" s="284">
        <f>IF(Table1[Item Description]="","",Table1[[#This Row],[Qty]]*Table1[[#This Row],[Unit Price]])</f>
        <v>912000</v>
      </c>
      <c r="Z52" s="284">
        <f>IF(Table1[[#This Row],[h_hargasebelumdiskon]]="","",IF(Table1[[#This Row],[Disc 1]]="",0,Table1[[#This Row],[h_hargasebelumdiskon]]*Table1[[#This Row],[Disc 1]]))</f>
        <v>114000</v>
      </c>
      <c r="AA52" s="284">
        <f>IF(Table1[[#This Row],[h_hargasebelumdiskon]]="","",IF(Table1[[#This Row],[Disc 2]]="",0,(Table1[[#This Row],[h_hargasebelumdiskon]]-Table1[[#This Row],[h_disc 1]])*Table1[[#This Row],[Disc 2]]))</f>
        <v>0</v>
      </c>
      <c r="AB52" s="284">
        <f>IF(Table1[Item Description]="","",Table1[[#This Row],[h_disc 1]]+Table1[[#This Row],[h_disc 2]])</f>
        <v>114000</v>
      </c>
      <c r="AC52" s="284">
        <f>IF(Table1[Item Description]="","",Table1[[#This Row],[h_hargasebelumdiskon]]-Table1[[#This Row],[h_diskon]])</f>
        <v>798000</v>
      </c>
      <c r="AD52" s="284" t="str">
        <f ca="1">IF(Table1[//]="","",SUMIF(Table1[h_id],Table1[h_id],Table1[h_hargasetelahdiskon]))</f>
        <v/>
      </c>
      <c r="AE52" s="284"/>
      <c r="AF52" s="284" t="str">
        <f>Table1[[#This Row],[Item Description]]&amp;Table1[[#This Row],[Unit]]&amp;Table1[[#This Row],[Unit Price]]</f>
        <v>STAPLER KENKO HD-50LSN228000</v>
      </c>
    </row>
    <row r="53" spans="1:32" x14ac:dyDescent="0.25">
      <c r="A53" s="288" t="str">
        <f ca="1">IF(Table1[[#This Row],[No. Invoice :]]="","",ROW())</f>
        <v/>
      </c>
      <c r="B53" s="288" t="str">
        <f ca="1">IF(Table1[h_Kode Sales :_1]="","",B$1+COUNT(INDIRECT("B$2:B"&amp;ROW()-1)))</f>
        <v/>
      </c>
      <c r="C53" s="282" t="str">
        <f>IF(Table1[[#This Row],[H_TGL]]="","",Table1[[#This Row],[H_TGL]]+C$1-1)</f>
        <v/>
      </c>
      <c r="H53" s="288" t="str">
        <f ca="1">IF(Table1[[#This Row],[h_No. Invoice :]]="","",CONCATENATE("AM"," ",Table1[[#This Row],[h_No. Invoice :]]))</f>
        <v/>
      </c>
      <c r="I53" s="289" t="str">
        <f>CONCATENATE(UPPER(Table1[[#This Row],[h_Kode Sales :_1]])," ",Table1[[#This Row],[h_Kode Sales :_2]])</f>
        <v xml:space="preserve"> </v>
      </c>
      <c r="J53" s="288" t="str">
        <f>IF(Table1[[#This Row],[h_toko]]="","",INDEX(Table2[e],IF(Table1[[#This Row],[h_toko]]="","",MATCH(Table1[[#This Row],[h_toko]],Table2[a],0)),))</f>
        <v/>
      </c>
      <c r="O53" s="288" t="str">
        <f>IF(Table1[[#This Row],[h_Item Description]]="","",INDEX([1]!db[NB PAJAK],MATCH(Table1[[#This Row],[h_Item Description]],[1]!db[kode],0)))</f>
        <v/>
      </c>
      <c r="Q53" s="284"/>
      <c r="R53" s="285"/>
      <c r="T53" s="284" t="str">
        <f>Table1[[#This Row],[h_hargasetelahdiskon]]</f>
        <v/>
      </c>
      <c r="W53" s="288" t="str">
        <f ca="1">IF(Table1[[#This Row],[Item Description]]="","",IF(Table1[[#This Row],[//]]="",INDIRECT(ADDRESS(ROW()-1,COLUMN())),Table1[[#This Row],[//]]))</f>
        <v/>
      </c>
      <c r="X53" s="288" t="str">
        <f ca="1">IF(Table1[[#This Row],[h_id]]="","",COUNTIF(Table1[h_id],Table1[[#This Row],[h_id]]))</f>
        <v/>
      </c>
      <c r="Y53" s="284" t="str">
        <f>IF(Table1[Item Description]="","",Table1[[#This Row],[Qty]]*Table1[[#This Row],[Unit Price]])</f>
        <v/>
      </c>
      <c r="Z53" s="284" t="str">
        <f>IF(Table1[[#This Row],[h_hargasebelumdiskon]]="","",IF(Table1[[#This Row],[Disc 1]]="",0,Table1[[#This Row],[h_hargasebelumdiskon]]*Table1[[#This Row],[Disc 1]]))</f>
        <v/>
      </c>
      <c r="AA53" s="284" t="str">
        <f>IF(Table1[[#This Row],[h_hargasebelumdiskon]]="","",IF(Table1[[#This Row],[Disc 2]]="",0,(Table1[[#This Row],[h_hargasebelumdiskon]]-Table1[[#This Row],[h_disc 1]])*Table1[[#This Row],[Disc 2]]))</f>
        <v/>
      </c>
      <c r="AB53" s="284" t="str">
        <f>IF(Table1[Item Description]="","",Table1[[#This Row],[h_disc 1]]+Table1[[#This Row],[h_disc 2]])</f>
        <v/>
      </c>
      <c r="AC53" s="284" t="str">
        <f>IF(Table1[Item Description]="","",Table1[[#This Row],[h_hargasebelumdiskon]]-Table1[[#This Row],[h_diskon]])</f>
        <v/>
      </c>
      <c r="AD53" s="284" t="str">
        <f ca="1">IF(Table1[//]="","",SUMIF(Table1[h_id],Table1[h_id],Table1[h_hargasetelahdiskon]))</f>
        <v/>
      </c>
      <c r="AE53" s="284"/>
      <c r="AF53" s="284" t="str">
        <f>Table1[[#This Row],[Item Description]]&amp;Table1[[#This Row],[Unit]]&amp;Table1[[#This Row],[Unit Price]]</f>
        <v/>
      </c>
    </row>
    <row r="54" spans="1:32" x14ac:dyDescent="0.25">
      <c r="A54" s="288">
        <f ca="1">IF(Table1[[#This Row],[No. Invoice :]]="","",ROW())</f>
        <v>54</v>
      </c>
      <c r="B54" s="288">
        <f ca="1">IF(Table1[h_Kode Sales :_1]="","",B$1+COUNT(INDIRECT("B$2:B"&amp;ROW()-1)))</f>
        <v>23070015</v>
      </c>
      <c r="C54" s="282">
        <f>IF(Table1[[#This Row],[H_TGL]]="","",Table1[[#This Row],[H_TGL]]+C$1-1)</f>
        <v>45118</v>
      </c>
      <c r="D54" s="293">
        <v>11</v>
      </c>
      <c r="E54" s="281" t="s">
        <v>122</v>
      </c>
      <c r="F54" s="283" t="s">
        <v>223</v>
      </c>
      <c r="G54" s="281" t="s">
        <v>84</v>
      </c>
      <c r="H54" s="288" t="str">
        <f ca="1">IF(Table1[[#This Row],[h_No. Invoice :]]="","",CONCATENATE("AM"," ",Table1[[#This Row],[h_No. Invoice :]]))</f>
        <v>AM 23070015</v>
      </c>
      <c r="I54" s="289" t="str">
        <f>CONCATENATE(UPPER(Table1[[#This Row],[h_Kode Sales :_1]])," ",Table1[[#This Row],[h_Kode Sales :_2]])</f>
        <v>KO 4892</v>
      </c>
      <c r="J54" s="288" t="str">
        <f>IF(Table1[[#This Row],[h_toko]]="","",INDEX(Table2[e],IF(Table1[[#This Row],[h_toko]]="","",MATCH(Table1[[#This Row],[h_toko]],Table2[a],0)),))</f>
        <v>CV PELITA JAYA (ANUGERAH SEJAHTERA) PURWOKERTO</v>
      </c>
      <c r="K54" s="281">
        <v>60</v>
      </c>
      <c r="L54" s="281" t="s">
        <v>142</v>
      </c>
      <c r="M54" s="281">
        <v>1</v>
      </c>
      <c r="N54" s="281" t="s">
        <v>157</v>
      </c>
      <c r="O54" s="288" t="str">
        <f>IF(Table1[[#This Row],[h_Item Description]]="","",INDEX([1]!db[NB PAJAK],MATCH(Table1[[#This Row],[h_Item Description]],[1]!db[kode],0)))</f>
        <v>ISI CUTTER 18 MM KENKO L-150 (BESAR)</v>
      </c>
      <c r="P54" s="281" t="s">
        <v>166</v>
      </c>
      <c r="Q54" s="284">
        <v>64800</v>
      </c>
      <c r="R54" s="285">
        <v>0.13500000000000001</v>
      </c>
      <c r="T54" s="284">
        <f>Table1[[#This Row],[h_hargasetelahdiskon]]</f>
        <v>3363120</v>
      </c>
      <c r="U54" s="284" t="s">
        <v>149</v>
      </c>
      <c r="W54" s="288">
        <f ca="1">IF(Table1[[#This Row],[Item Description]]="","",IF(Table1[[#This Row],[//]]="",INDIRECT(ADDRESS(ROW()-1,COLUMN())),Table1[[#This Row],[//]]))</f>
        <v>54</v>
      </c>
      <c r="X54" s="288">
        <f ca="1">IF(Table1[[#This Row],[h_id]]="","",COUNTIF(Table1[h_id],Table1[[#This Row],[h_id]]))</f>
        <v>2</v>
      </c>
      <c r="Y54" s="284">
        <f>IF(Table1[Item Description]="","",Table1[[#This Row],[Qty]]*Table1[[#This Row],[Unit Price]])</f>
        <v>3888000</v>
      </c>
      <c r="Z54" s="284">
        <f>IF(Table1[[#This Row],[h_hargasebelumdiskon]]="","",IF(Table1[[#This Row],[Disc 1]]="",0,Table1[[#This Row],[h_hargasebelumdiskon]]*Table1[[#This Row],[Disc 1]]))</f>
        <v>524880</v>
      </c>
      <c r="AA54" s="284">
        <f>IF(Table1[[#This Row],[h_hargasebelumdiskon]]="","",IF(Table1[[#This Row],[Disc 2]]="",0,(Table1[[#This Row],[h_hargasebelumdiskon]]-Table1[[#This Row],[h_disc 1]])*Table1[[#This Row],[Disc 2]]))</f>
        <v>0</v>
      </c>
      <c r="AB54" s="284">
        <f>IF(Table1[Item Description]="","",Table1[[#This Row],[h_disc 1]]+Table1[[#This Row],[h_disc 2]])</f>
        <v>524880</v>
      </c>
      <c r="AC54" s="284">
        <f>IF(Table1[Item Description]="","",Table1[[#This Row],[h_hargasebelumdiskon]]-Table1[[#This Row],[h_diskon]])</f>
        <v>3363120</v>
      </c>
      <c r="AD54" s="284">
        <f ca="1">IF(Table1[//]="","",SUMIF(Table1[h_id],Table1[h_id],Table1[h_hargasetelahdiskon]))</f>
        <v>5854320</v>
      </c>
      <c r="AE54" s="284"/>
      <c r="AF54" s="284" t="str">
        <f>Table1[[#This Row],[Item Description]]&amp;Table1[[#This Row],[Unit]]&amp;Table1[[#This Row],[Unit Price]]</f>
        <v>ISI CUTTER 18 MM KENKO L-150 (BESAR)LSN64800</v>
      </c>
    </row>
    <row r="55" spans="1:32" x14ac:dyDescent="0.25">
      <c r="A55" s="288" t="str">
        <f ca="1">IF(Table1[[#This Row],[No. Invoice :]]="","",ROW())</f>
        <v/>
      </c>
      <c r="B55" s="288" t="str">
        <f ca="1">IF(Table1[h_Kode Sales :_1]="","",B$1+COUNT(INDIRECT("B$2:B"&amp;ROW()-1)))</f>
        <v/>
      </c>
      <c r="C55" s="282" t="str">
        <f>IF(Table1[[#This Row],[H_TGL]]="","",Table1[[#This Row],[H_TGL]]+C$1-1)</f>
        <v/>
      </c>
      <c r="H55" s="288" t="str">
        <f ca="1">IF(Table1[[#This Row],[h_No. Invoice :]]="","",CONCATENATE("AM"," ",Table1[[#This Row],[h_No. Invoice :]]))</f>
        <v/>
      </c>
      <c r="I55" s="289" t="str">
        <f>CONCATENATE(UPPER(Table1[[#This Row],[h_Kode Sales :_1]])," ",Table1[[#This Row],[h_Kode Sales :_2]])</f>
        <v xml:space="preserve"> </v>
      </c>
      <c r="J55" s="288" t="str">
        <f>IF(Table1[[#This Row],[h_toko]]="","",INDEX(Table2[e],IF(Table1[[#This Row],[h_toko]]="","",MATCH(Table1[[#This Row],[h_toko]],Table2[a],0)),))</f>
        <v/>
      </c>
      <c r="K55" s="281">
        <v>48</v>
      </c>
      <c r="L55" s="281" t="s">
        <v>142</v>
      </c>
      <c r="M55" s="281">
        <v>1</v>
      </c>
      <c r="N55" s="281" t="s">
        <v>224</v>
      </c>
      <c r="O55" s="288" t="str">
        <f>IF(Table1[[#This Row],[h_Item Description]]="","",INDEX([1]!db[NB PAJAK],MATCH(Table1[[#This Row],[h_Item Description]],[1]!db[kode],0)))</f>
        <v>CORRECTION TAPE KENKO CT-902CL (12M x 5MM)</v>
      </c>
      <c r="P55" s="281" t="s">
        <v>225</v>
      </c>
      <c r="Q55" s="284">
        <v>60000</v>
      </c>
      <c r="R55" s="285">
        <v>0.13500000000000001</v>
      </c>
      <c r="T55" s="284">
        <f>Table1[[#This Row],[h_hargasetelahdiskon]]</f>
        <v>2491200</v>
      </c>
      <c r="W55" s="288">
        <f ca="1">IF(Table1[[#This Row],[Item Description]]="","",IF(Table1[[#This Row],[//]]="",INDIRECT(ADDRESS(ROW()-1,COLUMN())),Table1[[#This Row],[//]]))</f>
        <v>54</v>
      </c>
      <c r="X55" s="288">
        <f ca="1">IF(Table1[[#This Row],[h_id]]="","",COUNTIF(Table1[h_id],Table1[[#This Row],[h_id]]))</f>
        <v>2</v>
      </c>
      <c r="Y55" s="284">
        <f>IF(Table1[Item Description]="","",Table1[[#This Row],[Qty]]*Table1[[#This Row],[Unit Price]])</f>
        <v>2880000</v>
      </c>
      <c r="Z55" s="284">
        <f>IF(Table1[[#This Row],[h_hargasebelumdiskon]]="","",IF(Table1[[#This Row],[Disc 1]]="",0,Table1[[#This Row],[h_hargasebelumdiskon]]*Table1[[#This Row],[Disc 1]]))</f>
        <v>388800</v>
      </c>
      <c r="AA55" s="284">
        <f>IF(Table1[[#This Row],[h_hargasebelumdiskon]]="","",IF(Table1[[#This Row],[Disc 2]]="",0,(Table1[[#This Row],[h_hargasebelumdiskon]]-Table1[[#This Row],[h_disc 1]])*Table1[[#This Row],[Disc 2]]))</f>
        <v>0</v>
      </c>
      <c r="AB55" s="284">
        <f>IF(Table1[Item Description]="","",Table1[[#This Row],[h_disc 1]]+Table1[[#This Row],[h_disc 2]])</f>
        <v>388800</v>
      </c>
      <c r="AC55" s="284">
        <f>IF(Table1[Item Description]="","",Table1[[#This Row],[h_hargasebelumdiskon]]-Table1[[#This Row],[h_diskon]])</f>
        <v>2491200</v>
      </c>
      <c r="AD55" s="284" t="str">
        <f ca="1">IF(Table1[//]="","",SUMIF(Table1[h_id],Table1[h_id],Table1[h_hargasetelahdiskon]))</f>
        <v/>
      </c>
      <c r="AE55" s="284"/>
      <c r="AF55" s="284" t="str">
        <f>Table1[[#This Row],[Item Description]]&amp;Table1[[#This Row],[Unit]]&amp;Table1[[#This Row],[Unit Price]]</f>
        <v>CORRECTION TAPE KENKO CT-902CL (12M x 5MM)LSN60000</v>
      </c>
    </row>
    <row r="56" spans="1:32" x14ac:dyDescent="0.25">
      <c r="A56" s="288" t="str">
        <f ca="1">IF(Table1[[#This Row],[No. Invoice :]]="","",ROW())</f>
        <v/>
      </c>
      <c r="B56" s="288" t="str">
        <f ca="1">IF(Table1[h_Kode Sales :_1]="","",B$1+COUNT(INDIRECT("B$2:B"&amp;ROW()-1)))</f>
        <v/>
      </c>
      <c r="C56" s="282" t="str">
        <f>IF(Table1[[#This Row],[H_TGL]]="","",Table1[[#This Row],[H_TGL]]+C$1-1)</f>
        <v/>
      </c>
      <c r="H56" s="288" t="str">
        <f ca="1">IF(Table1[[#This Row],[h_No. Invoice :]]="","",CONCATENATE("AM"," ",Table1[[#This Row],[h_No. Invoice :]]))</f>
        <v/>
      </c>
      <c r="I56" s="289" t="str">
        <f>CONCATENATE(UPPER(Table1[[#This Row],[h_Kode Sales :_1]])," ",Table1[[#This Row],[h_Kode Sales :_2]])</f>
        <v xml:space="preserve"> </v>
      </c>
      <c r="J56" s="288" t="str">
        <f>IF(Table1[[#This Row],[h_toko]]="","",INDEX(Table2[e],IF(Table1[[#This Row],[h_toko]]="","",MATCH(Table1[[#This Row],[h_toko]],Table2[a],0)),))</f>
        <v/>
      </c>
      <c r="O56" s="288" t="str">
        <f>IF(Table1[[#This Row],[h_Item Description]]="","",INDEX([1]!db[NB PAJAK],MATCH(Table1[[#This Row],[h_Item Description]],[1]!db[kode],0)))</f>
        <v/>
      </c>
      <c r="Q56" s="284"/>
      <c r="R56" s="285"/>
      <c r="T56" s="284" t="str">
        <f>Table1[[#This Row],[h_hargasetelahdiskon]]</f>
        <v/>
      </c>
      <c r="W56" s="288" t="str">
        <f ca="1">IF(Table1[[#This Row],[Item Description]]="","",IF(Table1[[#This Row],[//]]="",INDIRECT(ADDRESS(ROW()-1,COLUMN())),Table1[[#This Row],[//]]))</f>
        <v/>
      </c>
      <c r="X56" s="288" t="str">
        <f ca="1">IF(Table1[[#This Row],[h_id]]="","",COUNTIF(Table1[h_id],Table1[[#This Row],[h_id]]))</f>
        <v/>
      </c>
      <c r="Y56" s="284" t="str">
        <f>IF(Table1[Item Description]="","",Table1[[#This Row],[Qty]]*Table1[[#This Row],[Unit Price]])</f>
        <v/>
      </c>
      <c r="Z56" s="284" t="str">
        <f>IF(Table1[[#This Row],[h_hargasebelumdiskon]]="","",IF(Table1[[#This Row],[Disc 1]]="",0,Table1[[#This Row],[h_hargasebelumdiskon]]*Table1[[#This Row],[Disc 1]]))</f>
        <v/>
      </c>
      <c r="AA56" s="284" t="str">
        <f>IF(Table1[[#This Row],[h_hargasebelumdiskon]]="","",IF(Table1[[#This Row],[Disc 2]]="",0,(Table1[[#This Row],[h_hargasebelumdiskon]]-Table1[[#This Row],[h_disc 1]])*Table1[[#This Row],[Disc 2]]))</f>
        <v/>
      </c>
      <c r="AB56" s="284" t="str">
        <f>IF(Table1[Item Description]="","",Table1[[#This Row],[h_disc 1]]+Table1[[#This Row],[h_disc 2]])</f>
        <v/>
      </c>
      <c r="AC56" s="284" t="str">
        <f>IF(Table1[Item Description]="","",Table1[[#This Row],[h_hargasebelumdiskon]]-Table1[[#This Row],[h_diskon]])</f>
        <v/>
      </c>
      <c r="AD56" s="284" t="str">
        <f ca="1">IF(Table1[//]="","",SUMIF(Table1[h_id],Table1[h_id],Table1[h_hargasetelahdiskon]))</f>
        <v/>
      </c>
      <c r="AE56" s="284"/>
      <c r="AF56" s="284" t="str">
        <f>Table1[[#This Row],[Item Description]]&amp;Table1[[#This Row],[Unit]]&amp;Table1[[#This Row],[Unit Price]]</f>
        <v/>
      </c>
    </row>
    <row r="57" spans="1:32" x14ac:dyDescent="0.25">
      <c r="A57" s="288">
        <f ca="1">IF(Table1[[#This Row],[No. Invoice :]]="","",ROW())</f>
        <v>57</v>
      </c>
      <c r="B57" s="288">
        <f ca="1">IF(Table1[h_Kode Sales :_1]="","",B$1+COUNT(INDIRECT("B$2:B"&amp;ROW()-1)))</f>
        <v>23070016</v>
      </c>
      <c r="C57" s="282">
        <f>IF(Table1[[#This Row],[H_TGL]]="","",Table1[[#This Row],[H_TGL]]+C$1-1)</f>
        <v>45118</v>
      </c>
      <c r="D57" s="293">
        <v>11</v>
      </c>
      <c r="E57" s="281" t="s">
        <v>129</v>
      </c>
      <c r="F57" s="283" t="s">
        <v>228</v>
      </c>
      <c r="G57" s="281" t="s">
        <v>183</v>
      </c>
      <c r="H57" s="288" t="str">
        <f ca="1">IF(Table1[[#This Row],[h_No. Invoice :]]="","",CONCATENATE("AM"," ",Table1[[#This Row],[h_No. Invoice :]]))</f>
        <v>AM 23070016</v>
      </c>
      <c r="I57" s="289" t="str">
        <f>CONCATENATE(UPPER(Table1[[#This Row],[h_Kode Sales :_1]])," ",Table1[[#This Row],[h_Kode Sales :_2]])</f>
        <v>G 4963</v>
      </c>
      <c r="J57" s="288" t="str">
        <f>IF(Table1[[#This Row],[h_toko]]="","",INDEX(Table2[e],IF(Table1[[#This Row],[h_toko]]="","",MATCH(Table1[[#This Row],[h_toko]],Table2[a],0)),))</f>
        <v>GUNAWAN HARTONO KUSUMA ( NIKI SAE ) TULUNG AGUNG</v>
      </c>
      <c r="K57" s="281">
        <v>432</v>
      </c>
      <c r="L57" s="281" t="s">
        <v>142</v>
      </c>
      <c r="M57" s="281">
        <v>3</v>
      </c>
      <c r="N57" s="281" t="s">
        <v>226</v>
      </c>
      <c r="O57" s="288" t="str">
        <f>IF(Table1[[#This Row],[h_Item Description]]="","",INDEX([1]!db[NB PAJAK],MATCH(Table1[[#This Row],[h_Item Description]],[1]!db[kode],0)))</f>
        <v>GEL PEN KENKO KE-303 T-GEL TRIANGULAR HITAM</v>
      </c>
      <c r="P57" s="281" t="s">
        <v>227</v>
      </c>
      <c r="Q57" s="284">
        <v>21600</v>
      </c>
      <c r="R57" s="285">
        <v>0.125</v>
      </c>
      <c r="T57" s="284">
        <f>Table1[[#This Row],[h_hargasetelahdiskon]]</f>
        <v>8164800</v>
      </c>
      <c r="U57" s="284" t="s">
        <v>149</v>
      </c>
      <c r="W57" s="288">
        <f ca="1">IF(Table1[[#This Row],[Item Description]]="","",IF(Table1[[#This Row],[//]]="",INDIRECT(ADDRESS(ROW()-1,COLUMN())),Table1[[#This Row],[//]]))</f>
        <v>57</v>
      </c>
      <c r="X57" s="288">
        <f ca="1">IF(Table1[[#This Row],[h_id]]="","",COUNTIF(Table1[h_id],Table1[[#This Row],[h_id]]))</f>
        <v>1</v>
      </c>
      <c r="Y57" s="284">
        <f>IF(Table1[Item Description]="","",Table1[[#This Row],[Qty]]*Table1[[#This Row],[Unit Price]])</f>
        <v>9331200</v>
      </c>
      <c r="Z57" s="284">
        <f>IF(Table1[[#This Row],[h_hargasebelumdiskon]]="","",IF(Table1[[#This Row],[Disc 1]]="",0,Table1[[#This Row],[h_hargasebelumdiskon]]*Table1[[#This Row],[Disc 1]]))</f>
        <v>1166400</v>
      </c>
      <c r="AA57" s="284">
        <f>IF(Table1[[#This Row],[h_hargasebelumdiskon]]="","",IF(Table1[[#This Row],[Disc 2]]="",0,(Table1[[#This Row],[h_hargasebelumdiskon]]-Table1[[#This Row],[h_disc 1]])*Table1[[#This Row],[Disc 2]]))</f>
        <v>0</v>
      </c>
      <c r="AB57" s="284">
        <f>IF(Table1[Item Description]="","",Table1[[#This Row],[h_disc 1]]+Table1[[#This Row],[h_disc 2]])</f>
        <v>1166400</v>
      </c>
      <c r="AC57" s="284">
        <f>IF(Table1[Item Description]="","",Table1[[#This Row],[h_hargasebelumdiskon]]-Table1[[#This Row],[h_diskon]])</f>
        <v>8164800</v>
      </c>
      <c r="AD57" s="284">
        <f ca="1">IF(Table1[//]="","",SUMIF(Table1[h_id],Table1[h_id],Table1[h_hargasetelahdiskon]))</f>
        <v>8164800</v>
      </c>
      <c r="AE57" s="284"/>
      <c r="AF57" s="284" t="str">
        <f>Table1[[#This Row],[Item Description]]&amp;Table1[[#This Row],[Unit]]&amp;Table1[[#This Row],[Unit Price]]</f>
        <v>GEL PEN KENKO KE-303 T-GEL TRIANGULAR HITAMLSN21600</v>
      </c>
    </row>
    <row r="58" spans="1:32" x14ac:dyDescent="0.25">
      <c r="A58" s="288" t="str">
        <f ca="1">IF(Table1[[#This Row],[No. Invoice :]]="","",ROW())</f>
        <v/>
      </c>
      <c r="B58" s="288" t="str">
        <f ca="1">IF(Table1[h_Kode Sales :_1]="","",B$1+COUNT(INDIRECT("B$2:B"&amp;ROW()-1)))</f>
        <v/>
      </c>
      <c r="C58" s="282" t="str">
        <f>IF(Table1[[#This Row],[H_TGL]]="","",Table1[[#This Row],[H_TGL]]+C$1-1)</f>
        <v/>
      </c>
      <c r="H58" s="288" t="str">
        <f ca="1">IF(Table1[[#This Row],[h_No. Invoice :]]="","",CONCATENATE("AM"," ",Table1[[#This Row],[h_No. Invoice :]]))</f>
        <v/>
      </c>
      <c r="I58" s="289" t="str">
        <f>CONCATENATE(UPPER(Table1[[#This Row],[h_Kode Sales :_1]])," ",Table1[[#This Row],[h_Kode Sales :_2]])</f>
        <v xml:space="preserve"> </v>
      </c>
      <c r="J58" s="288" t="str">
        <f>IF(Table1[[#This Row],[h_toko]]="","",INDEX(Table2[e],IF(Table1[[#This Row],[h_toko]]="","",MATCH(Table1[[#This Row],[h_toko]],Table2[a],0)),))</f>
        <v/>
      </c>
      <c r="O58" s="288" t="str">
        <f>IF(Table1[[#This Row],[h_Item Description]]="","",INDEX([1]!db[NB PAJAK],MATCH(Table1[[#This Row],[h_Item Description]],[1]!db[kode],0)))</f>
        <v/>
      </c>
      <c r="Q58" s="284"/>
      <c r="R58" s="285"/>
      <c r="T58" s="284" t="str">
        <f>Table1[[#This Row],[h_hargasetelahdiskon]]</f>
        <v/>
      </c>
      <c r="W58" s="288" t="str">
        <f ca="1">IF(Table1[[#This Row],[Item Description]]="","",IF(Table1[[#This Row],[//]]="",INDIRECT(ADDRESS(ROW()-1,COLUMN())),Table1[[#This Row],[//]]))</f>
        <v/>
      </c>
      <c r="X58" s="288" t="str">
        <f ca="1">IF(Table1[[#This Row],[h_id]]="","",COUNTIF(Table1[h_id],Table1[[#This Row],[h_id]]))</f>
        <v/>
      </c>
      <c r="Y58" s="284" t="str">
        <f>IF(Table1[Item Description]="","",Table1[[#This Row],[Qty]]*Table1[[#This Row],[Unit Price]])</f>
        <v/>
      </c>
      <c r="Z58" s="284" t="str">
        <f>IF(Table1[[#This Row],[h_hargasebelumdiskon]]="","",IF(Table1[[#This Row],[Disc 1]]="",0,Table1[[#This Row],[h_hargasebelumdiskon]]*Table1[[#This Row],[Disc 1]]))</f>
        <v/>
      </c>
      <c r="AA58" s="284" t="str">
        <f>IF(Table1[[#This Row],[h_hargasebelumdiskon]]="","",IF(Table1[[#This Row],[Disc 2]]="",0,(Table1[[#This Row],[h_hargasebelumdiskon]]-Table1[[#This Row],[h_disc 1]])*Table1[[#This Row],[Disc 2]]))</f>
        <v/>
      </c>
      <c r="AB58" s="284" t="str">
        <f>IF(Table1[Item Description]="","",Table1[[#This Row],[h_disc 1]]+Table1[[#This Row],[h_disc 2]])</f>
        <v/>
      </c>
      <c r="AC58" s="284" t="str">
        <f>IF(Table1[Item Description]="","",Table1[[#This Row],[h_hargasebelumdiskon]]-Table1[[#This Row],[h_diskon]])</f>
        <v/>
      </c>
      <c r="AD58" s="284" t="str">
        <f ca="1">IF(Table1[//]="","",SUMIF(Table1[h_id],Table1[h_id],Table1[h_hargasetelahdiskon]))</f>
        <v/>
      </c>
      <c r="AE58" s="284"/>
      <c r="AF58" s="284" t="str">
        <f>Table1[[#This Row],[Item Description]]&amp;Table1[[#This Row],[Unit]]&amp;Table1[[#This Row],[Unit Price]]</f>
        <v/>
      </c>
    </row>
    <row r="59" spans="1:32" x14ac:dyDescent="0.25">
      <c r="A59" s="288">
        <f ca="1">IF(Table1[[#This Row],[No. Invoice :]]="","",ROW())</f>
        <v>59</v>
      </c>
      <c r="B59" s="288">
        <f ca="1">IF(Table1[h_Kode Sales :_1]="","",B$1+COUNT(INDIRECT("B$2:B"&amp;ROW()-1)))</f>
        <v>23070017</v>
      </c>
      <c r="C59" s="282">
        <f>IF(Table1[[#This Row],[H_TGL]]="","",Table1[[#This Row],[H_TGL]]+C$1-1)</f>
        <v>45119</v>
      </c>
      <c r="D59" s="293">
        <v>12</v>
      </c>
      <c r="E59" s="281" t="s">
        <v>122</v>
      </c>
      <c r="F59" s="283" t="s">
        <v>229</v>
      </c>
      <c r="G59" s="281" t="s">
        <v>94</v>
      </c>
      <c r="H59" s="288" t="str">
        <f ca="1">IF(Table1[[#This Row],[h_No. Invoice :]]="","",CONCATENATE("AM"," ",Table1[[#This Row],[h_No. Invoice :]]))</f>
        <v>AM 23070017</v>
      </c>
      <c r="I59" s="289" t="str">
        <f>CONCATENATE(UPPER(Table1[[#This Row],[h_Kode Sales :_1]])," ",Table1[[#This Row],[h_Kode Sales :_2]])</f>
        <v>KO 1295</v>
      </c>
      <c r="J59" s="288" t="str">
        <f>IF(Table1[[#This Row],[h_toko]]="","",INDEX(Table2[e],IF(Table1[[#This Row],[h_toko]]="","",MATCH(Table1[[#This Row],[h_toko]],Table2[a],0)),))</f>
        <v>CV LANCAR JAYA SENTOSA MALANG</v>
      </c>
      <c r="K59" s="281">
        <v>36</v>
      </c>
      <c r="L59" s="281" t="s">
        <v>142</v>
      </c>
      <c r="M59" s="281">
        <v>3</v>
      </c>
      <c r="N59" s="281" t="s">
        <v>230</v>
      </c>
      <c r="O59" s="288" t="str">
        <f>IF(Table1[[#This Row],[h_Item Description]]="","",INDEX([1]!db[NB PAJAK],MATCH(Table1[[#This Row],[h_Item Description]],[1]!db[kode],0)))</f>
        <v>PENSIL WARNA JOYKO CP-12PB (PANJANG)</v>
      </c>
      <c r="P59" s="281" t="s">
        <v>235</v>
      </c>
      <c r="Q59" s="284">
        <v>127200</v>
      </c>
      <c r="R59" s="285">
        <v>0.125</v>
      </c>
      <c r="T59" s="284">
        <f>Table1[[#This Row],[h_hargasetelahdiskon]]</f>
        <v>4006800</v>
      </c>
      <c r="U59" s="284" t="s">
        <v>149</v>
      </c>
      <c r="W59" s="288">
        <f ca="1">IF(Table1[[#This Row],[Item Description]]="","",IF(Table1[[#This Row],[//]]="",INDIRECT(ADDRESS(ROW()-1,COLUMN())),Table1[[#This Row],[//]]))</f>
        <v>59</v>
      </c>
      <c r="X59" s="288">
        <f ca="1">IF(Table1[[#This Row],[h_id]]="","",COUNTIF(Table1[h_id],Table1[[#This Row],[h_id]]))</f>
        <v>6</v>
      </c>
      <c r="Y59" s="284">
        <f>IF(Table1[Item Description]="","",Table1[[#This Row],[Qty]]*Table1[[#This Row],[Unit Price]])</f>
        <v>4579200</v>
      </c>
      <c r="Z59" s="284">
        <f>IF(Table1[[#This Row],[h_hargasebelumdiskon]]="","",IF(Table1[[#This Row],[Disc 1]]="",0,Table1[[#This Row],[h_hargasebelumdiskon]]*Table1[[#This Row],[Disc 1]]))</f>
        <v>572400</v>
      </c>
      <c r="AA59" s="284">
        <f>IF(Table1[[#This Row],[h_hargasebelumdiskon]]="","",IF(Table1[[#This Row],[Disc 2]]="",0,(Table1[[#This Row],[h_hargasebelumdiskon]]-Table1[[#This Row],[h_disc 1]])*Table1[[#This Row],[Disc 2]]))</f>
        <v>0</v>
      </c>
      <c r="AB59" s="284">
        <f>IF(Table1[Item Description]="","",Table1[[#This Row],[h_disc 1]]+Table1[[#This Row],[h_disc 2]])</f>
        <v>572400</v>
      </c>
      <c r="AC59" s="284">
        <f>IF(Table1[Item Description]="","",Table1[[#This Row],[h_hargasebelumdiskon]]-Table1[[#This Row],[h_diskon]])</f>
        <v>4006800</v>
      </c>
      <c r="AD59" s="284">
        <f ca="1">IF(Table1[//]="","",SUMIF(Table1[h_id],Table1[h_id],Table1[h_hargasetelahdiskon]))</f>
        <v>42028925</v>
      </c>
      <c r="AE59" s="284"/>
      <c r="AF59" s="284" t="str">
        <f>Table1[[#This Row],[Item Description]]&amp;Table1[[#This Row],[Unit]]&amp;Table1[[#This Row],[Unit Price]]</f>
        <v>PENSIL WARNA JOYKO CP-12PB (PANJANG)LSN127200</v>
      </c>
    </row>
    <row r="60" spans="1:32" x14ac:dyDescent="0.25">
      <c r="A60" s="288" t="str">
        <f ca="1">IF(Table1[[#This Row],[No. Invoice :]]="","",ROW())</f>
        <v/>
      </c>
      <c r="B60" s="288" t="str">
        <f ca="1">IF(Table1[h_Kode Sales :_1]="","",B$1+COUNT(INDIRECT("B$2:B"&amp;ROW()-1)))</f>
        <v/>
      </c>
      <c r="C60" s="282" t="str">
        <f>IF(Table1[[#This Row],[H_TGL]]="","",Table1[[#This Row],[H_TGL]]+C$1-1)</f>
        <v/>
      </c>
      <c r="H60" s="288" t="str">
        <f ca="1">IF(Table1[[#This Row],[h_No. Invoice :]]="","",CONCATENATE("AM"," ",Table1[[#This Row],[h_No. Invoice :]]))</f>
        <v/>
      </c>
      <c r="I60" s="289" t="str">
        <f>CONCATENATE(UPPER(Table1[[#This Row],[h_Kode Sales :_1]])," ",Table1[[#This Row],[h_Kode Sales :_2]])</f>
        <v xml:space="preserve"> </v>
      </c>
      <c r="J60" s="288" t="str">
        <f>IF(Table1[[#This Row],[h_toko]]="","",INDEX(Table2[e],IF(Table1[[#This Row],[h_toko]]="","",MATCH(Table1[[#This Row],[h_toko]],Table2[a],0)),))</f>
        <v/>
      </c>
      <c r="K60" s="281">
        <v>150</v>
      </c>
      <c r="L60" s="281" t="s">
        <v>125</v>
      </c>
      <c r="M60" s="281">
        <v>3</v>
      </c>
      <c r="N60" s="281" t="s">
        <v>231</v>
      </c>
      <c r="O60" s="288" t="str">
        <f>IF(Table1[[#This Row],[h_Item Description]]="","",INDEX([1]!db[NB PAJAK],MATCH(Table1[[#This Row],[h_Item Description]],[1]!db[kode],0)))</f>
        <v>STIP / PENGHAPUS JOYKO 526-B20 PUTIH</v>
      </c>
      <c r="P60" s="281" t="s">
        <v>236</v>
      </c>
      <c r="Q60" s="284">
        <v>34100</v>
      </c>
      <c r="R60" s="285">
        <v>0.125</v>
      </c>
      <c r="T60" s="284">
        <f>Table1[[#This Row],[h_hargasetelahdiskon]]</f>
        <v>4475625</v>
      </c>
      <c r="W60" s="288">
        <f ca="1">IF(Table1[[#This Row],[Item Description]]="","",IF(Table1[[#This Row],[//]]="",INDIRECT(ADDRESS(ROW()-1,COLUMN())),Table1[[#This Row],[//]]))</f>
        <v>59</v>
      </c>
      <c r="X60" s="288">
        <f ca="1">IF(Table1[[#This Row],[h_id]]="","",COUNTIF(Table1[h_id],Table1[[#This Row],[h_id]]))</f>
        <v>6</v>
      </c>
      <c r="Y60" s="284">
        <f>IF(Table1[Item Description]="","",Table1[[#This Row],[Qty]]*Table1[[#This Row],[Unit Price]])</f>
        <v>5115000</v>
      </c>
      <c r="Z60" s="284">
        <f>IF(Table1[[#This Row],[h_hargasebelumdiskon]]="","",IF(Table1[[#This Row],[Disc 1]]="",0,Table1[[#This Row],[h_hargasebelumdiskon]]*Table1[[#This Row],[Disc 1]]))</f>
        <v>639375</v>
      </c>
      <c r="AA60" s="284">
        <f>IF(Table1[[#This Row],[h_hargasebelumdiskon]]="","",IF(Table1[[#This Row],[Disc 2]]="",0,(Table1[[#This Row],[h_hargasebelumdiskon]]-Table1[[#This Row],[h_disc 1]])*Table1[[#This Row],[Disc 2]]))</f>
        <v>0</v>
      </c>
      <c r="AB60" s="284">
        <f>IF(Table1[Item Description]="","",Table1[[#This Row],[h_disc 1]]+Table1[[#This Row],[h_disc 2]])</f>
        <v>639375</v>
      </c>
      <c r="AC60" s="284">
        <f>IF(Table1[Item Description]="","",Table1[[#This Row],[h_hargasebelumdiskon]]-Table1[[#This Row],[h_diskon]])</f>
        <v>4475625</v>
      </c>
      <c r="AD60" s="284" t="str">
        <f ca="1">IF(Table1[//]="","",SUMIF(Table1[h_id],Table1[h_id],Table1[h_hargasetelahdiskon]))</f>
        <v/>
      </c>
      <c r="AE60" s="284"/>
      <c r="AF60" s="284" t="str">
        <f>Table1[[#This Row],[Item Description]]&amp;Table1[[#This Row],[Unit]]&amp;Table1[[#This Row],[Unit Price]]</f>
        <v>STIP / PENGHAPUS JOYKO 526-B20 PUTIHBOX34100</v>
      </c>
    </row>
    <row r="61" spans="1:32" x14ac:dyDescent="0.25">
      <c r="A61" s="288" t="str">
        <f ca="1">IF(Table1[[#This Row],[No. Invoice :]]="","",ROW())</f>
        <v/>
      </c>
      <c r="B61" s="288" t="str">
        <f ca="1">IF(Table1[h_Kode Sales :_1]="","",B$1+COUNT(INDIRECT("B$2:B"&amp;ROW()-1)))</f>
        <v/>
      </c>
      <c r="C61" s="282" t="str">
        <f>IF(Table1[[#This Row],[H_TGL]]="","",Table1[[#This Row],[H_TGL]]+C$1-1)</f>
        <v/>
      </c>
      <c r="H61" s="288" t="str">
        <f ca="1">IF(Table1[[#This Row],[h_No. Invoice :]]="","",CONCATENATE("AM"," ",Table1[[#This Row],[h_No. Invoice :]]))</f>
        <v/>
      </c>
      <c r="I61" s="289" t="str">
        <f>CONCATENATE(UPPER(Table1[[#This Row],[h_Kode Sales :_1]])," ",Table1[[#This Row],[h_Kode Sales :_2]])</f>
        <v xml:space="preserve"> </v>
      </c>
      <c r="J61" s="288" t="str">
        <f>IF(Table1[[#This Row],[h_toko]]="","",INDEX(Table2[e],IF(Table1[[#This Row],[h_toko]]="","",MATCH(Table1[[#This Row],[h_toko]],Table2[a],0)),))</f>
        <v/>
      </c>
      <c r="K61" s="281">
        <v>150</v>
      </c>
      <c r="L61" s="281" t="s">
        <v>125</v>
      </c>
      <c r="M61" s="281">
        <v>3</v>
      </c>
      <c r="N61" s="281" t="s">
        <v>240</v>
      </c>
      <c r="O61" s="288" t="str">
        <f>IF(Table1[[#This Row],[h_Item Description]]="","",INDEX([1]!db[NB PAJAK],MATCH(Table1[[#This Row],[h_Item Description]],[1]!db[kode],0)))</f>
        <v>STIP / PENGHAPUS JOYKO ER-30W PUTIH</v>
      </c>
      <c r="P61" s="281" t="s">
        <v>241</v>
      </c>
      <c r="Q61" s="284">
        <v>32000</v>
      </c>
      <c r="R61" s="285">
        <v>0.125</v>
      </c>
      <c r="T61" s="284">
        <f>Table1[[#This Row],[h_hargasetelahdiskon]]</f>
        <v>4200000</v>
      </c>
      <c r="W61" s="288">
        <f ca="1">IF(Table1[[#This Row],[Item Description]]="","",IF(Table1[[#This Row],[//]]="",INDIRECT(ADDRESS(ROW()-1,COLUMN())),Table1[[#This Row],[//]]))</f>
        <v>59</v>
      </c>
      <c r="X61" s="288">
        <f ca="1">IF(Table1[[#This Row],[h_id]]="","",COUNTIF(Table1[h_id],Table1[[#This Row],[h_id]]))</f>
        <v>6</v>
      </c>
      <c r="Y61" s="284">
        <f>IF(Table1[Item Description]="","",Table1[[#This Row],[Qty]]*Table1[[#This Row],[Unit Price]])</f>
        <v>4800000</v>
      </c>
      <c r="Z61" s="284">
        <f>IF(Table1[[#This Row],[h_hargasebelumdiskon]]="","",IF(Table1[[#This Row],[Disc 1]]="",0,Table1[[#This Row],[h_hargasebelumdiskon]]*Table1[[#This Row],[Disc 1]]))</f>
        <v>600000</v>
      </c>
      <c r="AA61" s="284">
        <f>IF(Table1[[#This Row],[h_hargasebelumdiskon]]="","",IF(Table1[[#This Row],[Disc 2]]="",0,(Table1[[#This Row],[h_hargasebelumdiskon]]-Table1[[#This Row],[h_disc 1]])*Table1[[#This Row],[Disc 2]]))</f>
        <v>0</v>
      </c>
      <c r="AB61" s="284">
        <f>IF(Table1[Item Description]="","",Table1[[#This Row],[h_disc 1]]+Table1[[#This Row],[h_disc 2]])</f>
        <v>600000</v>
      </c>
      <c r="AC61" s="284">
        <f>IF(Table1[Item Description]="","",Table1[[#This Row],[h_hargasebelumdiskon]]-Table1[[#This Row],[h_diskon]])</f>
        <v>4200000</v>
      </c>
      <c r="AD61" s="284" t="str">
        <f ca="1">IF(Table1[//]="","",SUMIF(Table1[h_id],Table1[h_id],Table1[h_hargasetelahdiskon]))</f>
        <v/>
      </c>
      <c r="AE61" s="284"/>
      <c r="AF61" s="284" t="str">
        <f>Table1[[#This Row],[Item Description]]&amp;Table1[[#This Row],[Unit]]&amp;Table1[[#This Row],[Unit Price]]</f>
        <v>STIP / PENGHAPUS JOYKO ER-30W PUTIHBOX32000</v>
      </c>
    </row>
    <row r="62" spans="1:32" x14ac:dyDescent="0.25">
      <c r="A62" s="288" t="str">
        <f ca="1">IF(Table1[[#This Row],[No. Invoice :]]="","",ROW())</f>
        <v/>
      </c>
      <c r="B62" s="288" t="str">
        <f ca="1">IF(Table1[h_Kode Sales :_1]="","",B$1+COUNT(INDIRECT("B$2:B"&amp;ROW()-1)))</f>
        <v/>
      </c>
      <c r="C62" s="282" t="str">
        <f>IF(Table1[[#This Row],[H_TGL]]="","",Table1[[#This Row],[H_TGL]]+C$1-1)</f>
        <v/>
      </c>
      <c r="H62" s="288" t="str">
        <f ca="1">IF(Table1[[#This Row],[h_No. Invoice :]]="","",CONCATENATE("AM"," ",Table1[[#This Row],[h_No. Invoice :]]))</f>
        <v/>
      </c>
      <c r="I62" s="289" t="str">
        <f>CONCATENATE(UPPER(Table1[[#This Row],[h_Kode Sales :_1]])," ",Table1[[#This Row],[h_Kode Sales :_2]])</f>
        <v xml:space="preserve"> </v>
      </c>
      <c r="J62" s="288" t="str">
        <f>IF(Table1[[#This Row],[h_toko]]="","",INDEX(Table2[e],IF(Table1[[#This Row],[h_toko]]="","",MATCH(Table1[[#This Row],[h_toko]],Table2[a],0)),))</f>
        <v/>
      </c>
      <c r="K62" s="281">
        <v>150</v>
      </c>
      <c r="L62" s="281" t="s">
        <v>158</v>
      </c>
      <c r="M62" s="281">
        <v>5</v>
      </c>
      <c r="N62" s="281" t="s">
        <v>232</v>
      </c>
      <c r="O62" s="288" t="str">
        <f>IF(Table1[[#This Row],[h_Item Description]]="","",INDEX([1]!db[NB PAJAK],MATCH(Table1[[#This Row],[h_Item Description]],[1]!db[kode],0)))</f>
        <v>PENSIL JOYKO 2B P-88</v>
      </c>
      <c r="P62" s="281" t="s">
        <v>237</v>
      </c>
      <c r="Q62" s="284">
        <v>104400</v>
      </c>
      <c r="R62" s="285">
        <v>0.125</v>
      </c>
      <c r="T62" s="284">
        <f>Table1[[#This Row],[h_hargasetelahdiskon]]</f>
        <v>13702500</v>
      </c>
      <c r="W62" s="288">
        <f ca="1">IF(Table1[[#This Row],[Item Description]]="","",IF(Table1[[#This Row],[//]]="",INDIRECT(ADDRESS(ROW()-1,COLUMN())),Table1[[#This Row],[//]]))</f>
        <v>59</v>
      </c>
      <c r="X62" s="288">
        <f ca="1">IF(Table1[[#This Row],[h_id]]="","",COUNTIF(Table1[h_id],Table1[[#This Row],[h_id]]))</f>
        <v>6</v>
      </c>
      <c r="Y62" s="284">
        <f>IF(Table1[Item Description]="","",Table1[[#This Row],[Qty]]*Table1[[#This Row],[Unit Price]])</f>
        <v>15660000</v>
      </c>
      <c r="Z62" s="284">
        <f>IF(Table1[[#This Row],[h_hargasebelumdiskon]]="","",IF(Table1[[#This Row],[Disc 1]]="",0,Table1[[#This Row],[h_hargasebelumdiskon]]*Table1[[#This Row],[Disc 1]]))</f>
        <v>1957500</v>
      </c>
      <c r="AA62" s="284">
        <f>IF(Table1[[#This Row],[h_hargasebelumdiskon]]="","",IF(Table1[[#This Row],[Disc 2]]="",0,(Table1[[#This Row],[h_hargasebelumdiskon]]-Table1[[#This Row],[h_disc 1]])*Table1[[#This Row],[Disc 2]]))</f>
        <v>0</v>
      </c>
      <c r="AB62" s="284">
        <f>IF(Table1[Item Description]="","",Table1[[#This Row],[h_disc 1]]+Table1[[#This Row],[h_disc 2]])</f>
        <v>1957500</v>
      </c>
      <c r="AC62" s="284">
        <f>IF(Table1[Item Description]="","",Table1[[#This Row],[h_hargasebelumdiskon]]-Table1[[#This Row],[h_diskon]])</f>
        <v>13702500</v>
      </c>
      <c r="AD62" s="284" t="str">
        <f ca="1">IF(Table1[//]="","",SUMIF(Table1[h_id],Table1[h_id],Table1[h_hargasetelahdiskon]))</f>
        <v/>
      </c>
      <c r="AE62" s="284"/>
      <c r="AF62" s="284" t="str">
        <f>Table1[[#This Row],[Item Description]]&amp;Table1[[#This Row],[Unit]]&amp;Table1[[#This Row],[Unit Price]]</f>
        <v>PENSIL JOYKO 2B P-88GRS104400</v>
      </c>
    </row>
    <row r="63" spans="1:32" x14ac:dyDescent="0.25">
      <c r="A63" s="288" t="str">
        <f ca="1">IF(Table1[[#This Row],[No. Invoice :]]="","",ROW())</f>
        <v/>
      </c>
      <c r="B63" s="288" t="str">
        <f ca="1">IF(Table1[h_Kode Sales :_1]="","",B$1+COUNT(INDIRECT("B$2:B"&amp;ROW()-1)))</f>
        <v/>
      </c>
      <c r="C63" s="282" t="str">
        <f>IF(Table1[[#This Row],[H_TGL]]="","",Table1[[#This Row],[H_TGL]]+C$1-1)</f>
        <v/>
      </c>
      <c r="H63" s="288" t="str">
        <f ca="1">IF(Table1[[#This Row],[h_No. Invoice :]]="","",CONCATENATE("AM"," ",Table1[[#This Row],[h_No. Invoice :]]))</f>
        <v/>
      </c>
      <c r="I63" s="289" t="str">
        <f>CONCATENATE(UPPER(Table1[[#This Row],[h_Kode Sales :_1]])," ",Table1[[#This Row],[h_Kode Sales :_2]])</f>
        <v xml:space="preserve"> </v>
      </c>
      <c r="J63" s="288" t="str">
        <f>IF(Table1[[#This Row],[h_toko]]="","",INDEX(Table2[e],IF(Table1[[#This Row],[h_toko]]="","",MATCH(Table1[[#This Row],[h_toko]],Table2[a],0)),))</f>
        <v/>
      </c>
      <c r="K63" s="281">
        <v>144</v>
      </c>
      <c r="L63" s="281" t="s">
        <v>155</v>
      </c>
      <c r="M63" s="281">
        <v>3</v>
      </c>
      <c r="N63" s="281" t="s">
        <v>233</v>
      </c>
      <c r="O63" s="288" t="str">
        <f>IF(Table1[[#This Row],[h_Item Description]]="","",INDEX([1]!db[NB PAJAK],MATCH(Table1[[#This Row],[h_Item Description]],[1]!db[kode],0)))</f>
        <v>TAPE CUTTER JOYKO TD-103</v>
      </c>
      <c r="P63" s="281" t="s">
        <v>238</v>
      </c>
      <c r="Q63" s="284">
        <v>19000</v>
      </c>
      <c r="R63" s="285">
        <v>0.125</v>
      </c>
      <c r="T63" s="284">
        <f>Table1[[#This Row],[h_hargasetelahdiskon]]</f>
        <v>2394000</v>
      </c>
      <c r="W63" s="288">
        <f ca="1">IF(Table1[[#This Row],[Item Description]]="","",IF(Table1[[#This Row],[//]]="",INDIRECT(ADDRESS(ROW()-1,COLUMN())),Table1[[#This Row],[//]]))</f>
        <v>59</v>
      </c>
      <c r="X63" s="288">
        <f ca="1">IF(Table1[[#This Row],[h_id]]="","",COUNTIF(Table1[h_id],Table1[[#This Row],[h_id]]))</f>
        <v>6</v>
      </c>
      <c r="Y63" s="284">
        <f>IF(Table1[Item Description]="","",Table1[[#This Row],[Qty]]*Table1[[#This Row],[Unit Price]])</f>
        <v>2736000</v>
      </c>
      <c r="Z63" s="284">
        <f>IF(Table1[[#This Row],[h_hargasebelumdiskon]]="","",IF(Table1[[#This Row],[Disc 1]]="",0,Table1[[#This Row],[h_hargasebelumdiskon]]*Table1[[#This Row],[Disc 1]]))</f>
        <v>342000</v>
      </c>
      <c r="AA63" s="284">
        <f>IF(Table1[[#This Row],[h_hargasebelumdiskon]]="","",IF(Table1[[#This Row],[Disc 2]]="",0,(Table1[[#This Row],[h_hargasebelumdiskon]]-Table1[[#This Row],[h_disc 1]])*Table1[[#This Row],[Disc 2]]))</f>
        <v>0</v>
      </c>
      <c r="AB63" s="284">
        <f>IF(Table1[Item Description]="","",Table1[[#This Row],[h_disc 1]]+Table1[[#This Row],[h_disc 2]])</f>
        <v>342000</v>
      </c>
      <c r="AC63" s="284">
        <f>IF(Table1[Item Description]="","",Table1[[#This Row],[h_hargasebelumdiskon]]-Table1[[#This Row],[h_diskon]])</f>
        <v>2394000</v>
      </c>
      <c r="AD63" s="284" t="str">
        <f ca="1">IF(Table1[//]="","",SUMIF(Table1[h_id],Table1[h_id],Table1[h_hargasetelahdiskon]))</f>
        <v/>
      </c>
      <c r="AE63" s="284"/>
      <c r="AF63" s="284" t="str">
        <f>Table1[[#This Row],[Item Description]]&amp;Table1[[#This Row],[Unit]]&amp;Table1[[#This Row],[Unit Price]]</f>
        <v>TAPE CUTTER JOYKO TD-103PCS19000</v>
      </c>
    </row>
    <row r="64" spans="1:32" x14ac:dyDescent="0.25">
      <c r="A64" s="288" t="str">
        <f ca="1">IF(Table1[[#This Row],[No. Invoice :]]="","",ROW())</f>
        <v/>
      </c>
      <c r="B64" s="288" t="str">
        <f ca="1">IF(Table1[h_Kode Sales :_1]="","",B$1+COUNT(INDIRECT("B$2:B"&amp;ROW()-1)))</f>
        <v/>
      </c>
      <c r="C64" s="282" t="str">
        <f>IF(Table1[[#This Row],[H_TGL]]="","",Table1[[#This Row],[H_TGL]]+C$1-1)</f>
        <v/>
      </c>
      <c r="H64" s="288" t="str">
        <f ca="1">IF(Table1[[#This Row],[h_No. Invoice :]]="","",CONCATENATE("AM"," ",Table1[[#This Row],[h_No. Invoice :]]))</f>
        <v/>
      </c>
      <c r="I64" s="289" t="str">
        <f>CONCATENATE(UPPER(Table1[[#This Row],[h_Kode Sales :_1]])," ",Table1[[#This Row],[h_Kode Sales :_2]])</f>
        <v xml:space="preserve"> </v>
      </c>
      <c r="J64" s="288" t="str">
        <f>IF(Table1[[#This Row],[h_toko]]="","",INDEX(Table2[e],IF(Table1[[#This Row],[h_toko]]="","",MATCH(Table1[[#This Row],[h_toko]],Table2[a],0)),))</f>
        <v/>
      </c>
      <c r="K64" s="281">
        <v>1000</v>
      </c>
      <c r="L64" s="281" t="s">
        <v>172</v>
      </c>
      <c r="M64" s="281">
        <v>10</v>
      </c>
      <c r="N64" s="281" t="s">
        <v>234</v>
      </c>
      <c r="O64" s="288" t="str">
        <f>IF(Table1[[#This Row],[h_Item Description]]="","",INDEX([1]!db[NB PAJAK],MATCH(Table1[[#This Row],[h_Item Description]],[1]!db[kode],0)))</f>
        <v>ISI STAPLER (STAPLES) GREATWALL GW-NO. 10 (KECIL)</v>
      </c>
      <c r="P64" s="281" t="s">
        <v>239</v>
      </c>
      <c r="Q64" s="284">
        <v>13250</v>
      </c>
      <c r="R64" s="285"/>
      <c r="T64" s="284">
        <f>Table1[[#This Row],[h_hargasetelahdiskon]]</f>
        <v>13250000</v>
      </c>
      <c r="W64" s="288">
        <f ca="1">IF(Table1[[#This Row],[Item Description]]="","",IF(Table1[[#This Row],[//]]="",INDIRECT(ADDRESS(ROW()-1,COLUMN())),Table1[[#This Row],[//]]))</f>
        <v>59</v>
      </c>
      <c r="X64" s="288">
        <f ca="1">IF(Table1[[#This Row],[h_id]]="","",COUNTIF(Table1[h_id],Table1[[#This Row],[h_id]]))</f>
        <v>6</v>
      </c>
      <c r="Y64" s="284">
        <f>IF(Table1[Item Description]="","",Table1[[#This Row],[Qty]]*Table1[[#This Row],[Unit Price]])</f>
        <v>13250000</v>
      </c>
      <c r="Z64" s="284">
        <f>IF(Table1[[#This Row],[h_hargasebelumdiskon]]="","",IF(Table1[[#This Row],[Disc 1]]="",0,Table1[[#This Row],[h_hargasebelumdiskon]]*Table1[[#This Row],[Disc 1]]))</f>
        <v>0</v>
      </c>
      <c r="AA64" s="284">
        <f>IF(Table1[[#This Row],[h_hargasebelumdiskon]]="","",IF(Table1[[#This Row],[Disc 2]]="",0,(Table1[[#This Row],[h_hargasebelumdiskon]]-Table1[[#This Row],[h_disc 1]])*Table1[[#This Row],[Disc 2]]))</f>
        <v>0</v>
      </c>
      <c r="AB64" s="284">
        <f>IF(Table1[Item Description]="","",Table1[[#This Row],[h_disc 1]]+Table1[[#This Row],[h_disc 2]])</f>
        <v>0</v>
      </c>
      <c r="AC64" s="284">
        <f>IF(Table1[Item Description]="","",Table1[[#This Row],[h_hargasebelumdiskon]]-Table1[[#This Row],[h_diskon]])</f>
        <v>13250000</v>
      </c>
      <c r="AD64" s="284" t="str">
        <f ca="1">IF(Table1[//]="","",SUMIF(Table1[h_id],Table1[h_id],Table1[h_hargasetelahdiskon]))</f>
        <v/>
      </c>
      <c r="AE64" s="284"/>
      <c r="AF64" s="284" t="str">
        <f>Table1[[#This Row],[Item Description]]&amp;Table1[[#This Row],[Unit]]&amp;Table1[[#This Row],[Unit Price]]</f>
        <v>ISI STAPLER (STAPLES) GREATWALL GW-NO. 10 (KECIL)PAK13250</v>
      </c>
    </row>
    <row r="65" spans="1:32" x14ac:dyDescent="0.25">
      <c r="A65" s="288" t="str">
        <f ca="1">IF(Table1[[#This Row],[No. Invoice :]]="","",ROW())</f>
        <v/>
      </c>
      <c r="B65" s="288" t="str">
        <f ca="1">IF(Table1[h_Kode Sales :_1]="","",B$1+COUNT(INDIRECT("B$2:B"&amp;ROW()-1)))</f>
        <v/>
      </c>
      <c r="C65" s="282" t="str">
        <f>IF(Table1[[#This Row],[H_TGL]]="","",Table1[[#This Row],[H_TGL]]+C$1-1)</f>
        <v/>
      </c>
      <c r="H65" s="288" t="str">
        <f ca="1">IF(Table1[[#This Row],[h_No. Invoice :]]="","",CONCATENATE("AM"," ",Table1[[#This Row],[h_No. Invoice :]]))</f>
        <v/>
      </c>
      <c r="I65" s="289" t="str">
        <f>CONCATENATE(UPPER(Table1[[#This Row],[h_Kode Sales :_1]])," ",Table1[[#This Row],[h_Kode Sales :_2]])</f>
        <v xml:space="preserve"> </v>
      </c>
      <c r="J65" s="288" t="str">
        <f>IF(Table1[[#This Row],[h_toko]]="","",INDEX(Table2[e],IF(Table1[[#This Row],[h_toko]]="","",MATCH(Table1[[#This Row],[h_toko]],Table2[a],0)),))</f>
        <v/>
      </c>
      <c r="O65" s="288" t="str">
        <f>IF(Table1[[#This Row],[h_Item Description]]="","",INDEX([1]!db[NB PAJAK],MATCH(Table1[[#This Row],[h_Item Description]],[1]!db[kode],0)))</f>
        <v/>
      </c>
      <c r="Q65" s="284"/>
      <c r="R65" s="285"/>
      <c r="T65" s="284" t="str">
        <f>Table1[[#This Row],[h_hargasetelahdiskon]]</f>
        <v/>
      </c>
      <c r="W65" s="288" t="str">
        <f ca="1">IF(Table1[[#This Row],[Item Description]]="","",IF(Table1[[#This Row],[//]]="",INDIRECT(ADDRESS(ROW()-1,COLUMN())),Table1[[#This Row],[//]]))</f>
        <v/>
      </c>
      <c r="X65" s="288" t="str">
        <f ca="1">IF(Table1[[#This Row],[h_id]]="","",COUNTIF(Table1[h_id],Table1[[#This Row],[h_id]]))</f>
        <v/>
      </c>
      <c r="Y65" s="284" t="str">
        <f>IF(Table1[Item Description]="","",Table1[[#This Row],[Qty]]*Table1[[#This Row],[Unit Price]])</f>
        <v/>
      </c>
      <c r="Z65" s="284" t="str">
        <f>IF(Table1[[#This Row],[h_hargasebelumdiskon]]="","",IF(Table1[[#This Row],[Disc 1]]="",0,Table1[[#This Row],[h_hargasebelumdiskon]]*Table1[[#This Row],[Disc 1]]))</f>
        <v/>
      </c>
      <c r="AA65" s="284" t="str">
        <f>IF(Table1[[#This Row],[h_hargasebelumdiskon]]="","",IF(Table1[[#This Row],[Disc 2]]="",0,(Table1[[#This Row],[h_hargasebelumdiskon]]-Table1[[#This Row],[h_disc 1]])*Table1[[#This Row],[Disc 2]]))</f>
        <v/>
      </c>
      <c r="AB65" s="284" t="str">
        <f>IF(Table1[Item Description]="","",Table1[[#This Row],[h_disc 1]]+Table1[[#This Row],[h_disc 2]])</f>
        <v/>
      </c>
      <c r="AC65" s="284" t="str">
        <f>IF(Table1[Item Description]="","",Table1[[#This Row],[h_hargasebelumdiskon]]-Table1[[#This Row],[h_diskon]])</f>
        <v/>
      </c>
      <c r="AD65" s="284" t="str">
        <f ca="1">IF(Table1[//]="","",SUMIF(Table1[h_id],Table1[h_id],Table1[h_hargasetelahdiskon]))</f>
        <v/>
      </c>
      <c r="AE65" s="284"/>
      <c r="AF65" s="284" t="str">
        <f>Table1[[#This Row],[Item Description]]&amp;Table1[[#This Row],[Unit]]&amp;Table1[[#This Row],[Unit Price]]</f>
        <v/>
      </c>
    </row>
    <row r="66" spans="1:32" x14ac:dyDescent="0.25">
      <c r="A66" s="288">
        <f ca="1">IF(Table1[[#This Row],[No. Invoice :]]="","",ROW())</f>
        <v>66</v>
      </c>
      <c r="B66" s="288">
        <f ca="1">IF(Table1[h_Kode Sales :_1]="","",B$1+COUNT(INDIRECT("B$2:B"&amp;ROW()-1)))</f>
        <v>23070018</v>
      </c>
      <c r="C66" s="282">
        <f>IF(Table1[[#This Row],[H_TGL]]="","",Table1[[#This Row],[H_TGL]]+C$1-1)</f>
        <v>45119</v>
      </c>
      <c r="D66" s="293">
        <v>12</v>
      </c>
      <c r="E66" s="281" t="s">
        <v>122</v>
      </c>
      <c r="F66" s="283" t="s">
        <v>242</v>
      </c>
      <c r="G66" s="281" t="s">
        <v>84</v>
      </c>
      <c r="H66" s="288" t="str">
        <f ca="1">IF(Table1[[#This Row],[h_No. Invoice :]]="","",CONCATENATE("AM"," ",Table1[[#This Row],[h_No. Invoice :]]))</f>
        <v>AM 23070018</v>
      </c>
      <c r="I66" s="289" t="str">
        <f>CONCATENATE(UPPER(Table1[[#This Row],[h_Kode Sales :_1]])," ",Table1[[#This Row],[h_Kode Sales :_2]])</f>
        <v>KO 4897</v>
      </c>
      <c r="J66" s="288" t="str">
        <f>IF(Table1[[#This Row],[h_toko]]="","",INDEX(Table2[e],IF(Table1[[#This Row],[h_toko]]="","",MATCH(Table1[[#This Row],[h_toko]],Table2[a],0)),))</f>
        <v>CV PELITA JAYA (ANUGERAH SEJAHTERA) PURWOKERTO</v>
      </c>
      <c r="K66" s="281">
        <v>72</v>
      </c>
      <c r="L66" s="281" t="s">
        <v>142</v>
      </c>
      <c r="M66" s="281">
        <v>1</v>
      </c>
      <c r="N66" s="281" t="s">
        <v>243</v>
      </c>
      <c r="O66" s="288" t="str">
        <f>IF(Table1[[#This Row],[h_Item Description]]="","",INDEX([1]!db[NB PAJAK],MATCH(Table1[[#This Row],[h_Item Description]],[1]!db[kode],0)))</f>
        <v>CORRECTION FLUID KENKO KE-107M</v>
      </c>
      <c r="P66" s="281" t="s">
        <v>246</v>
      </c>
      <c r="Q66" s="284">
        <v>55800</v>
      </c>
      <c r="R66" s="285">
        <v>0.13500000000000001</v>
      </c>
      <c r="T66" s="284">
        <f>Table1[[#This Row],[h_hargasetelahdiskon]]</f>
        <v>3475224</v>
      </c>
      <c r="U66" s="284" t="s">
        <v>149</v>
      </c>
      <c r="W66" s="288">
        <f ca="1">IF(Table1[[#This Row],[Item Description]]="","",IF(Table1[[#This Row],[//]]="",INDIRECT(ADDRESS(ROW()-1,COLUMN())),Table1[[#This Row],[//]]))</f>
        <v>66</v>
      </c>
      <c r="X66" s="288">
        <f ca="1">IF(Table1[[#This Row],[h_id]]="","",COUNTIF(Table1[h_id],Table1[[#This Row],[h_id]]))</f>
        <v>4</v>
      </c>
      <c r="Y66" s="284">
        <f>IF(Table1[Item Description]="","",Table1[[#This Row],[Qty]]*Table1[[#This Row],[Unit Price]])</f>
        <v>4017600</v>
      </c>
      <c r="Z66" s="284">
        <f>IF(Table1[[#This Row],[h_hargasebelumdiskon]]="","",IF(Table1[[#This Row],[Disc 1]]="",0,Table1[[#This Row],[h_hargasebelumdiskon]]*Table1[[#This Row],[Disc 1]]))</f>
        <v>542376</v>
      </c>
      <c r="AA66" s="284">
        <f>IF(Table1[[#This Row],[h_hargasebelumdiskon]]="","",IF(Table1[[#This Row],[Disc 2]]="",0,(Table1[[#This Row],[h_hargasebelumdiskon]]-Table1[[#This Row],[h_disc 1]])*Table1[[#This Row],[Disc 2]]))</f>
        <v>0</v>
      </c>
      <c r="AB66" s="284">
        <f>IF(Table1[Item Description]="","",Table1[[#This Row],[h_disc 1]]+Table1[[#This Row],[h_disc 2]])</f>
        <v>542376</v>
      </c>
      <c r="AC66" s="284">
        <f>IF(Table1[Item Description]="","",Table1[[#This Row],[h_hargasebelumdiskon]]-Table1[[#This Row],[h_diskon]])</f>
        <v>3475224</v>
      </c>
      <c r="AD66" s="284">
        <f ca="1">IF(Table1[//]="","",SUMIF(Table1[h_id],Table1[h_id],Table1[h_hargasetelahdiskon]))</f>
        <v>15391464</v>
      </c>
      <c r="AE66" s="284"/>
      <c r="AF66" s="284" t="str">
        <f>Table1[[#This Row],[Item Description]]&amp;Table1[[#This Row],[Unit]]&amp;Table1[[#This Row],[Unit Price]]</f>
        <v>CORRECTION FLUID KENKO KE-107MLSN55800</v>
      </c>
    </row>
    <row r="67" spans="1:32" x14ac:dyDescent="0.25">
      <c r="A67" s="288" t="str">
        <f ca="1">IF(Table1[[#This Row],[No. Invoice :]]="","",ROW())</f>
        <v/>
      </c>
      <c r="B67" s="288" t="str">
        <f ca="1">IF(Table1[h_Kode Sales :_1]="","",B$1+COUNT(INDIRECT("B$2:B"&amp;ROW()-1)))</f>
        <v/>
      </c>
      <c r="C67" s="282" t="str">
        <f>IF(Table1[[#This Row],[H_TGL]]="","",Table1[[#This Row],[H_TGL]]+C$1-1)</f>
        <v/>
      </c>
      <c r="H67" s="288" t="str">
        <f ca="1">IF(Table1[[#This Row],[h_No. Invoice :]]="","",CONCATENATE("AM"," ",Table1[[#This Row],[h_No. Invoice :]]))</f>
        <v/>
      </c>
      <c r="I67" s="289" t="str">
        <f>CONCATENATE(UPPER(Table1[[#This Row],[h_Kode Sales :_1]])," ",Table1[[#This Row],[h_Kode Sales :_2]])</f>
        <v xml:space="preserve"> </v>
      </c>
      <c r="J67" s="288" t="str">
        <f>IF(Table1[[#This Row],[h_toko]]="","",INDEX(Table2[e],IF(Table1[[#This Row],[h_toko]]="","",MATCH(Table1[[#This Row],[h_toko]],Table2[a],0)),))</f>
        <v/>
      </c>
      <c r="K67" s="281">
        <v>120</v>
      </c>
      <c r="L67" s="281" t="s">
        <v>142</v>
      </c>
      <c r="M67" s="281">
        <v>2</v>
      </c>
      <c r="N67" s="281" t="s">
        <v>157</v>
      </c>
      <c r="O67" s="288" t="str">
        <f>IF(Table1[[#This Row],[h_Item Description]]="","",INDEX([1]!db[NB PAJAK],MATCH(Table1[[#This Row],[h_Item Description]],[1]!db[kode],0)))</f>
        <v>ISI CUTTER 18 MM KENKO L-150 (BESAR)</v>
      </c>
      <c r="P67" s="281" t="s">
        <v>166</v>
      </c>
      <c r="Q67" s="284">
        <v>64800</v>
      </c>
      <c r="R67" s="285">
        <v>0.13500000000000001</v>
      </c>
      <c r="T67" s="284">
        <f>Table1[[#This Row],[h_hargasetelahdiskon]]</f>
        <v>6726240</v>
      </c>
      <c r="W67" s="288">
        <f ca="1">IF(Table1[[#This Row],[Item Description]]="","",IF(Table1[[#This Row],[//]]="",INDIRECT(ADDRESS(ROW()-1,COLUMN())),Table1[[#This Row],[//]]))</f>
        <v>66</v>
      </c>
      <c r="X67" s="288">
        <f ca="1">IF(Table1[[#This Row],[h_id]]="","",COUNTIF(Table1[h_id],Table1[[#This Row],[h_id]]))</f>
        <v>4</v>
      </c>
      <c r="Y67" s="284">
        <f>IF(Table1[Item Description]="","",Table1[[#This Row],[Qty]]*Table1[[#This Row],[Unit Price]])</f>
        <v>7776000</v>
      </c>
      <c r="Z67" s="284">
        <f>IF(Table1[[#This Row],[h_hargasebelumdiskon]]="","",IF(Table1[[#This Row],[Disc 1]]="",0,Table1[[#This Row],[h_hargasebelumdiskon]]*Table1[[#This Row],[Disc 1]]))</f>
        <v>1049760</v>
      </c>
      <c r="AA67" s="284">
        <f>IF(Table1[[#This Row],[h_hargasebelumdiskon]]="","",IF(Table1[[#This Row],[Disc 2]]="",0,(Table1[[#This Row],[h_hargasebelumdiskon]]-Table1[[#This Row],[h_disc 1]])*Table1[[#This Row],[Disc 2]]))</f>
        <v>0</v>
      </c>
      <c r="AB67" s="284">
        <f>IF(Table1[Item Description]="","",Table1[[#This Row],[h_disc 1]]+Table1[[#This Row],[h_disc 2]])</f>
        <v>1049760</v>
      </c>
      <c r="AC67" s="284">
        <f>IF(Table1[Item Description]="","",Table1[[#This Row],[h_hargasebelumdiskon]]-Table1[[#This Row],[h_diskon]])</f>
        <v>6726240</v>
      </c>
      <c r="AD67" s="284" t="str">
        <f ca="1">IF(Table1[//]="","",SUMIF(Table1[h_id],Table1[h_id],Table1[h_hargasetelahdiskon]))</f>
        <v/>
      </c>
      <c r="AE67" s="284"/>
      <c r="AF67" s="284" t="str">
        <f>Table1[[#This Row],[Item Description]]&amp;Table1[[#This Row],[Unit]]&amp;Table1[[#This Row],[Unit Price]]</f>
        <v>ISI CUTTER 18 MM KENKO L-150 (BESAR)LSN64800</v>
      </c>
    </row>
    <row r="68" spans="1:32" x14ac:dyDescent="0.25">
      <c r="A68" s="288" t="str">
        <f>IF(Table1[[#This Row],[No. Invoice :]]="","",ROW())</f>
        <v/>
      </c>
      <c r="B68" s="288" t="str">
        <f ca="1">IF(Table1[h_Kode Sales :_1]="","",B$1+COUNT(INDIRECT("B$2:B"&amp;ROW()-1)))</f>
        <v/>
      </c>
      <c r="C68" s="282" t="str">
        <f>IF(Table1[[#This Row],[H_TGL]]="","",Table1[[#This Row],[H_TGL]]+C$1-1)</f>
        <v/>
      </c>
      <c r="H68" s="288"/>
      <c r="I68" s="289"/>
      <c r="J68" s="288" t="str">
        <f>IF(Table1[[#This Row],[h_toko]]="","",INDEX(Table2[e],IF(Table1[[#This Row],[h_toko]]="","",MATCH(Table1[[#This Row],[h_toko]],Table2[a],0)),))</f>
        <v/>
      </c>
      <c r="K68" s="281">
        <v>50</v>
      </c>
      <c r="L68" s="281" t="s">
        <v>142</v>
      </c>
      <c r="M68" s="281">
        <v>2</v>
      </c>
      <c r="N68" s="281" t="s">
        <v>244</v>
      </c>
      <c r="O68" s="288" t="str">
        <f>IF(Table1[[#This Row],[h_Item Description]]="","",INDEX([1]!db[NB PAJAK],MATCH(Table1[[#This Row],[h_Item Description]],[1]!db[kode],0)))</f>
        <v>STAPLER KENKO HD-10S (MINI)</v>
      </c>
      <c r="P68" s="281" t="s">
        <v>247</v>
      </c>
      <c r="Q68" s="284">
        <v>69600</v>
      </c>
      <c r="R68" s="285">
        <v>0.13500000000000001</v>
      </c>
      <c r="T68" s="284">
        <f>Table1[[#This Row],[h_hargasetelahdiskon]]</f>
        <v>3010200</v>
      </c>
      <c r="W68" s="288">
        <f ca="1">IF(Table1[[#This Row],[Item Description]]="","",IF(Table1[[#This Row],[//]]="",INDIRECT(ADDRESS(ROW()-1,COLUMN())),Table1[[#This Row],[//]]))</f>
        <v>66</v>
      </c>
      <c r="X68" s="288">
        <f ca="1">IF(Table1[[#This Row],[h_id]]="","",COUNTIF(Table1[h_id],Table1[[#This Row],[h_id]]))</f>
        <v>4</v>
      </c>
      <c r="Y68" s="284">
        <f>IF(Table1[Item Description]="","",Table1[[#This Row],[Qty]]*Table1[[#This Row],[Unit Price]])</f>
        <v>3480000</v>
      </c>
      <c r="Z68" s="284">
        <f>IF(Table1[[#This Row],[h_hargasebelumdiskon]]="","",IF(Table1[[#This Row],[Disc 1]]="",0,Table1[[#This Row],[h_hargasebelumdiskon]]*Table1[[#This Row],[Disc 1]]))</f>
        <v>469800.00000000006</v>
      </c>
      <c r="AA68" s="284">
        <f>IF(Table1[[#This Row],[h_hargasebelumdiskon]]="","",IF(Table1[[#This Row],[Disc 2]]="",0,(Table1[[#This Row],[h_hargasebelumdiskon]]-Table1[[#This Row],[h_disc 1]])*Table1[[#This Row],[Disc 2]]))</f>
        <v>0</v>
      </c>
      <c r="AB68" s="284">
        <f>IF(Table1[Item Description]="","",Table1[[#This Row],[h_disc 1]]+Table1[[#This Row],[h_disc 2]])</f>
        <v>469800.00000000006</v>
      </c>
      <c r="AC68" s="284">
        <f>IF(Table1[Item Description]="","",Table1[[#This Row],[h_hargasebelumdiskon]]-Table1[[#This Row],[h_diskon]])</f>
        <v>3010200</v>
      </c>
      <c r="AD68" s="284" t="str">
        <f>IF(Table1[//]="","",SUMIF(Table1[h_id],Table1[h_id],Table1[h_hargasetelahdiskon]))</f>
        <v/>
      </c>
      <c r="AE68" s="284"/>
      <c r="AF68" s="284" t="str">
        <f>Table1[[#This Row],[Item Description]]&amp;Table1[[#This Row],[Unit]]&amp;Table1[[#This Row],[Unit Price]]</f>
        <v>STAPLER KENKO HD-10S (MINI)LSN69600</v>
      </c>
    </row>
    <row r="69" spans="1:32" x14ac:dyDescent="0.25">
      <c r="A69" s="288" t="str">
        <f ca="1">IF(Table1[[#This Row],[No. Invoice :]]="","",ROW())</f>
        <v/>
      </c>
      <c r="B69" s="288" t="str">
        <f ca="1">IF(Table1[h_Kode Sales :_1]="","",B$1+COUNT(INDIRECT("B$2:B"&amp;ROW()-1)))</f>
        <v/>
      </c>
      <c r="C69" s="282" t="str">
        <f>IF(Table1[[#This Row],[H_TGL]]="","",Table1[[#This Row],[H_TGL]]+C$1-1)</f>
        <v/>
      </c>
      <c r="H69" s="288" t="str">
        <f ca="1">IF(Table1[[#This Row],[h_No. Invoice :]]="","",CONCATENATE("AM"," ",Table1[[#This Row],[h_No. Invoice :]]))</f>
        <v/>
      </c>
      <c r="I69" s="289" t="str">
        <f>CONCATENATE(UPPER(Table1[[#This Row],[h_Kode Sales :_1]])," ",Table1[[#This Row],[h_Kode Sales :_2]])</f>
        <v xml:space="preserve"> </v>
      </c>
      <c r="J69" s="288" t="str">
        <f>IF(Table1[[#This Row],[h_toko]]="","",INDEX(Table2[e],IF(Table1[[#This Row],[h_toko]]="","",MATCH(Table1[[#This Row],[h_toko]],Table2[a],0)),))</f>
        <v/>
      </c>
      <c r="K69" s="281">
        <v>60</v>
      </c>
      <c r="L69" s="281" t="s">
        <v>172</v>
      </c>
      <c r="M69" s="281">
        <v>3</v>
      </c>
      <c r="N69" s="281" t="s">
        <v>245</v>
      </c>
      <c r="O69" s="288" t="str">
        <f>IF(Table1[[#This Row],[h_Item Description]]="","",INDEX([1]!db[NB PAJAK],MATCH(Table1[[#This Row],[h_Item Description]],[1]!db[kode],0)))</f>
        <v>ISI STAPLER (STAPLES) KENKO 1210 PREMIUM (23/10)</v>
      </c>
      <c r="P69" s="281" t="s">
        <v>248</v>
      </c>
      <c r="Q69" s="284">
        <v>42000</v>
      </c>
      <c r="R69" s="285">
        <v>0.13500000000000001</v>
      </c>
      <c r="T69" s="284">
        <f>Table1[[#This Row],[h_hargasetelahdiskon]]</f>
        <v>2179800</v>
      </c>
      <c r="W69" s="288">
        <f ca="1">IF(Table1[[#This Row],[Item Description]]="","",IF(Table1[[#This Row],[//]]="",INDIRECT(ADDRESS(ROW()-1,COLUMN())),Table1[[#This Row],[//]]))</f>
        <v>66</v>
      </c>
      <c r="X69" s="288">
        <f ca="1">IF(Table1[[#This Row],[h_id]]="","",COUNTIF(Table1[h_id],Table1[[#This Row],[h_id]]))</f>
        <v>4</v>
      </c>
      <c r="Y69" s="284">
        <f>IF(Table1[Item Description]="","",Table1[[#This Row],[Qty]]*Table1[[#This Row],[Unit Price]])</f>
        <v>2520000</v>
      </c>
      <c r="Z69" s="284">
        <f>IF(Table1[[#This Row],[h_hargasebelumdiskon]]="","",IF(Table1[[#This Row],[Disc 1]]="",0,Table1[[#This Row],[h_hargasebelumdiskon]]*Table1[[#This Row],[Disc 1]]))</f>
        <v>340200</v>
      </c>
      <c r="AA69" s="284">
        <f>IF(Table1[[#This Row],[h_hargasebelumdiskon]]="","",IF(Table1[[#This Row],[Disc 2]]="",0,(Table1[[#This Row],[h_hargasebelumdiskon]]-Table1[[#This Row],[h_disc 1]])*Table1[[#This Row],[Disc 2]]))</f>
        <v>0</v>
      </c>
      <c r="AB69" s="284">
        <f>IF(Table1[Item Description]="","",Table1[[#This Row],[h_disc 1]]+Table1[[#This Row],[h_disc 2]])</f>
        <v>340200</v>
      </c>
      <c r="AC69" s="284">
        <f>IF(Table1[Item Description]="","",Table1[[#This Row],[h_hargasebelumdiskon]]-Table1[[#This Row],[h_diskon]])</f>
        <v>2179800</v>
      </c>
      <c r="AD69" s="284" t="str">
        <f ca="1">IF(Table1[//]="","",SUMIF(Table1[h_id],Table1[h_id],Table1[h_hargasetelahdiskon]))</f>
        <v/>
      </c>
      <c r="AE69" s="284"/>
      <c r="AF69" s="284" t="str">
        <f>Table1[[#This Row],[Item Description]]&amp;Table1[[#This Row],[Unit]]&amp;Table1[[#This Row],[Unit Price]]</f>
        <v>ISI STAPLER (STAPLES) KENKO 1210 PREMIUM (23/10)PAK42000</v>
      </c>
    </row>
    <row r="70" spans="1:32" x14ac:dyDescent="0.25">
      <c r="A70" s="288" t="str">
        <f ca="1">IF(Table1[[#This Row],[No. Invoice :]]="","",ROW())</f>
        <v/>
      </c>
      <c r="B70" s="288" t="str">
        <f ca="1">IF(Table1[h_Kode Sales :_1]="","",B$1+COUNT(INDIRECT("B$2:B"&amp;ROW()-1)))</f>
        <v/>
      </c>
      <c r="C70" s="282" t="str">
        <f>IF(Table1[[#This Row],[H_TGL]]="","",Table1[[#This Row],[H_TGL]]+C$1-1)</f>
        <v/>
      </c>
      <c r="H70" s="288" t="str">
        <f ca="1">IF(Table1[[#This Row],[h_No. Invoice :]]="","",CONCATENATE("AM"," ",Table1[[#This Row],[h_No. Invoice :]]))</f>
        <v/>
      </c>
      <c r="I70" s="289" t="str">
        <f>CONCATENATE(UPPER(Table1[[#This Row],[h_Kode Sales :_1]])," ",Table1[[#This Row],[h_Kode Sales :_2]])</f>
        <v xml:space="preserve"> </v>
      </c>
      <c r="J70" s="288" t="str">
        <f>IF(Table1[[#This Row],[h_toko]]="","",INDEX(Table2[e],IF(Table1[[#This Row],[h_toko]]="","",MATCH(Table1[[#This Row],[h_toko]],Table2[a],0)),))</f>
        <v/>
      </c>
      <c r="O70" s="288" t="str">
        <f>IF(Table1[[#This Row],[h_Item Description]]="","",INDEX([1]!db[NB PAJAK],MATCH(Table1[[#This Row],[h_Item Description]],[1]!db[kode],0)))</f>
        <v/>
      </c>
      <c r="Q70" s="284"/>
      <c r="R70" s="285"/>
      <c r="T70" s="284" t="str">
        <f>Table1[[#This Row],[h_hargasetelahdiskon]]</f>
        <v/>
      </c>
      <c r="W70" s="288" t="str">
        <f ca="1">IF(Table1[[#This Row],[Item Description]]="","",IF(Table1[[#This Row],[//]]="",INDIRECT(ADDRESS(ROW()-1,COLUMN())),Table1[[#This Row],[//]]))</f>
        <v/>
      </c>
      <c r="X70" s="288" t="str">
        <f ca="1">IF(Table1[[#This Row],[h_id]]="","",COUNTIF(Table1[h_id],Table1[[#This Row],[h_id]]))</f>
        <v/>
      </c>
      <c r="Y70" s="284" t="str">
        <f>IF(Table1[Item Description]="","",Table1[[#This Row],[Qty]]*Table1[[#This Row],[Unit Price]])</f>
        <v/>
      </c>
      <c r="Z70" s="284" t="str">
        <f>IF(Table1[[#This Row],[h_hargasebelumdiskon]]="","",IF(Table1[[#This Row],[Disc 1]]="",0,Table1[[#This Row],[h_hargasebelumdiskon]]*Table1[[#This Row],[Disc 1]]))</f>
        <v/>
      </c>
      <c r="AA70" s="284" t="str">
        <f>IF(Table1[[#This Row],[h_hargasebelumdiskon]]="","",IF(Table1[[#This Row],[Disc 2]]="",0,(Table1[[#This Row],[h_hargasebelumdiskon]]-Table1[[#This Row],[h_disc 1]])*Table1[[#This Row],[Disc 2]]))</f>
        <v/>
      </c>
      <c r="AB70" s="284" t="str">
        <f>IF(Table1[Item Description]="","",Table1[[#This Row],[h_disc 1]]+Table1[[#This Row],[h_disc 2]])</f>
        <v/>
      </c>
      <c r="AC70" s="284" t="str">
        <f>IF(Table1[Item Description]="","",Table1[[#This Row],[h_hargasebelumdiskon]]-Table1[[#This Row],[h_diskon]])</f>
        <v/>
      </c>
      <c r="AD70" s="284" t="str">
        <f ca="1">IF(Table1[//]="","",SUMIF(Table1[h_id],Table1[h_id],Table1[h_hargasetelahdiskon]))</f>
        <v/>
      </c>
      <c r="AE70" s="284"/>
      <c r="AF70" s="284" t="str">
        <f>Table1[[#This Row],[Item Description]]&amp;Table1[[#This Row],[Unit]]&amp;Table1[[#This Row],[Unit Price]]</f>
        <v/>
      </c>
    </row>
    <row r="71" spans="1:32" x14ac:dyDescent="0.25">
      <c r="A71" s="288">
        <f ca="1">IF(Table1[[#This Row],[No. Invoice :]]="","",ROW())</f>
        <v>71</v>
      </c>
      <c r="B71" s="288">
        <f ca="1">IF(Table1[h_Kode Sales :_1]="","",B$1+COUNT(INDIRECT("B$2:B"&amp;ROW()-1)))</f>
        <v>23070019</v>
      </c>
      <c r="C71" s="282">
        <f>IF(Table1[[#This Row],[H_TGL]]="","",Table1[[#This Row],[H_TGL]]+C$1-1)</f>
        <v>45121</v>
      </c>
      <c r="D71" s="293">
        <v>14</v>
      </c>
      <c r="E71" s="281" t="s">
        <v>122</v>
      </c>
      <c r="F71" s="283" t="s">
        <v>250</v>
      </c>
      <c r="G71" s="281" t="s">
        <v>183</v>
      </c>
      <c r="H71" s="288" t="str">
        <f ca="1">IF(Table1[[#This Row],[h_No. Invoice :]]="","",CONCATENATE("AM"," ",Table1[[#This Row],[h_No. Invoice :]]))</f>
        <v>AM 23070019</v>
      </c>
      <c r="I71" s="289" t="str">
        <f>CONCATENATE(UPPER(Table1[[#This Row],[h_Kode Sales :_1]])," ",Table1[[#This Row],[h_Kode Sales :_2]])</f>
        <v>KO 4899</v>
      </c>
      <c r="J71" s="288" t="str">
        <f>IF(Table1[[#This Row],[h_toko]]="","",INDEX(Table2[e],IF(Table1[[#This Row],[h_toko]]="","",MATCH(Table1[[#This Row],[h_toko]],Table2[a],0)),))</f>
        <v>GUNAWAN HARTONO KUSUMA ( NIKI SAE ) TULUNG AGUNG</v>
      </c>
      <c r="K71" s="281">
        <v>180</v>
      </c>
      <c r="L71" s="281" t="s">
        <v>142</v>
      </c>
      <c r="M71" s="281">
        <v>5</v>
      </c>
      <c r="N71" s="281" t="s">
        <v>251</v>
      </c>
      <c r="O71" s="288" t="str">
        <f>IF(Table1[[#This Row],[h_Item Description]]="","",INDEX([1]!db[NB PAJAK],MATCH(Table1[[#This Row],[h_Item Description]],[1]!db[kode],0)))</f>
        <v>CORRECTION FLUID JOYKO CF-S209</v>
      </c>
      <c r="P71" s="281" t="s">
        <v>253</v>
      </c>
      <c r="Q71" s="284">
        <v>41400</v>
      </c>
      <c r="R71" s="285">
        <v>0.125</v>
      </c>
      <c r="T71" s="284">
        <f>Table1[[#This Row],[h_hargasetelahdiskon]]</f>
        <v>6520500</v>
      </c>
      <c r="U71" s="284" t="s">
        <v>149</v>
      </c>
      <c r="W71" s="288">
        <f ca="1">IF(Table1[[#This Row],[Item Description]]="","",IF(Table1[[#This Row],[//]]="",INDIRECT(ADDRESS(ROW()-1,COLUMN())),Table1[[#This Row],[//]]))</f>
        <v>71</v>
      </c>
      <c r="X71" s="288">
        <f ca="1">IF(Table1[[#This Row],[h_id]]="","",COUNTIF(Table1[h_id],Table1[[#This Row],[h_id]]))</f>
        <v>2</v>
      </c>
      <c r="Y71" s="284">
        <f>IF(Table1[Item Description]="","",Table1[[#This Row],[Qty]]*Table1[[#This Row],[Unit Price]])</f>
        <v>7452000</v>
      </c>
      <c r="Z71" s="284">
        <f>IF(Table1[[#This Row],[h_hargasebelumdiskon]]="","",IF(Table1[[#This Row],[Disc 1]]="",0,Table1[[#This Row],[h_hargasebelumdiskon]]*Table1[[#This Row],[Disc 1]]))</f>
        <v>931500</v>
      </c>
      <c r="AA71" s="284">
        <f>IF(Table1[[#This Row],[h_hargasebelumdiskon]]="","",IF(Table1[[#This Row],[Disc 2]]="",0,(Table1[[#This Row],[h_hargasebelumdiskon]]-Table1[[#This Row],[h_disc 1]])*Table1[[#This Row],[Disc 2]]))</f>
        <v>0</v>
      </c>
      <c r="AB71" s="284">
        <f>IF(Table1[Item Description]="","",Table1[[#This Row],[h_disc 1]]+Table1[[#This Row],[h_disc 2]])</f>
        <v>931500</v>
      </c>
      <c r="AC71" s="284">
        <f>IF(Table1[Item Description]="","",Table1[[#This Row],[h_hargasebelumdiskon]]-Table1[[#This Row],[h_diskon]])</f>
        <v>6520500</v>
      </c>
      <c r="AD71" s="284">
        <f ca="1">IF(Table1[//]="","",SUMIF(Table1[h_id],Table1[h_id],Table1[h_hargasetelahdiskon]))</f>
        <v>13324500</v>
      </c>
      <c r="AE71" s="284"/>
      <c r="AF71" s="284" t="str">
        <f>Table1[[#This Row],[Item Description]]&amp;Table1[[#This Row],[Unit]]&amp;Table1[[#This Row],[Unit Price]]</f>
        <v>CORRECTION FLUID JOYKO CF-S209LSN41400</v>
      </c>
    </row>
    <row r="72" spans="1:32" x14ac:dyDescent="0.25">
      <c r="A72" s="288" t="str">
        <f ca="1">IF(Table1[[#This Row],[No. Invoice :]]="","",ROW())</f>
        <v/>
      </c>
      <c r="B72" s="288" t="str">
        <f ca="1">IF(Table1[h_Kode Sales :_1]="","",B$1+COUNT(INDIRECT("B$2:B"&amp;ROW()-1)))</f>
        <v/>
      </c>
      <c r="C72" s="282" t="str">
        <f>IF(Table1[[#This Row],[H_TGL]]="","",Table1[[#This Row],[H_TGL]]+C$1-1)</f>
        <v/>
      </c>
      <c r="H72" s="288" t="str">
        <f ca="1">IF(Table1[[#This Row],[h_No. Invoice :]]="","",CONCATENATE("AM"," ",Table1[[#This Row],[h_No. Invoice :]]))</f>
        <v/>
      </c>
      <c r="I72" s="289" t="str">
        <f>CONCATENATE(UPPER(Table1[[#This Row],[h_Kode Sales :_1]])," ",Table1[[#This Row],[h_Kode Sales :_2]])</f>
        <v xml:space="preserve"> </v>
      </c>
      <c r="J72" s="288" t="str">
        <f>IF(Table1[[#This Row],[h_toko]]="","",INDEX(Table2[e],IF(Table1[[#This Row],[h_toko]]="","",MATCH(Table1[[#This Row],[h_toko]],Table2[a],0)),))</f>
        <v/>
      </c>
      <c r="K72" s="281">
        <v>180</v>
      </c>
      <c r="L72" s="281" t="s">
        <v>142</v>
      </c>
      <c r="M72" s="281">
        <v>5</v>
      </c>
      <c r="N72" s="281" t="s">
        <v>252</v>
      </c>
      <c r="O72" s="288" t="str">
        <f>IF(Table1[[#This Row],[h_Item Description]]="","",INDEX([1]!db[NB PAJAK],MATCH(Table1[[#This Row],[h_Item Description]],[1]!db[kode],0)))</f>
        <v>CORRECTION FLUID JOYKO CF-S210</v>
      </c>
      <c r="P72" s="281" t="s">
        <v>254</v>
      </c>
      <c r="Q72" s="284">
        <v>43200</v>
      </c>
      <c r="R72" s="285">
        <v>0.125</v>
      </c>
      <c r="T72" s="284">
        <f>Table1[[#This Row],[h_hargasetelahdiskon]]</f>
        <v>6804000</v>
      </c>
      <c r="W72" s="288">
        <f ca="1">IF(Table1[[#This Row],[Item Description]]="","",IF(Table1[[#This Row],[//]]="",INDIRECT(ADDRESS(ROW()-1,COLUMN())),Table1[[#This Row],[//]]))</f>
        <v>71</v>
      </c>
      <c r="X72" s="288">
        <f ca="1">IF(Table1[[#This Row],[h_id]]="","",COUNTIF(Table1[h_id],Table1[[#This Row],[h_id]]))</f>
        <v>2</v>
      </c>
      <c r="Y72" s="284">
        <f>IF(Table1[Item Description]="","",Table1[[#This Row],[Qty]]*Table1[[#This Row],[Unit Price]])</f>
        <v>7776000</v>
      </c>
      <c r="Z72" s="284">
        <f>IF(Table1[[#This Row],[h_hargasebelumdiskon]]="","",IF(Table1[[#This Row],[Disc 1]]="",0,Table1[[#This Row],[h_hargasebelumdiskon]]*Table1[[#This Row],[Disc 1]]))</f>
        <v>972000</v>
      </c>
      <c r="AA72" s="284">
        <f>IF(Table1[[#This Row],[h_hargasebelumdiskon]]="","",IF(Table1[[#This Row],[Disc 2]]="",0,(Table1[[#This Row],[h_hargasebelumdiskon]]-Table1[[#This Row],[h_disc 1]])*Table1[[#This Row],[Disc 2]]))</f>
        <v>0</v>
      </c>
      <c r="AB72" s="284">
        <f>IF(Table1[Item Description]="","",Table1[[#This Row],[h_disc 1]]+Table1[[#This Row],[h_disc 2]])</f>
        <v>972000</v>
      </c>
      <c r="AC72" s="284">
        <f>IF(Table1[Item Description]="","",Table1[[#This Row],[h_hargasebelumdiskon]]-Table1[[#This Row],[h_diskon]])</f>
        <v>6804000</v>
      </c>
      <c r="AD72" s="284" t="str">
        <f ca="1">IF(Table1[//]="","",SUMIF(Table1[h_id],Table1[h_id],Table1[h_hargasetelahdiskon]))</f>
        <v/>
      </c>
      <c r="AE72" s="284"/>
      <c r="AF72" s="284" t="str">
        <f>Table1[[#This Row],[Item Description]]&amp;Table1[[#This Row],[Unit]]&amp;Table1[[#This Row],[Unit Price]]</f>
        <v>CORRECTION FLUID JOYKO CF-S210LSN43200</v>
      </c>
    </row>
    <row r="73" spans="1:32" x14ac:dyDescent="0.25">
      <c r="A73" s="288" t="str">
        <f ca="1">IF(Table1[[#This Row],[No. Invoice :]]="","",ROW())</f>
        <v/>
      </c>
      <c r="B73" s="288" t="str">
        <f ca="1">IF(Table1[h_Kode Sales :_1]="","",B$1+COUNT(INDIRECT("B$2:B"&amp;ROW()-1)))</f>
        <v/>
      </c>
      <c r="C73" s="282" t="str">
        <f>IF(Table1[[#This Row],[H_TGL]]="","",Table1[[#This Row],[H_TGL]]+C$1-1)</f>
        <v/>
      </c>
      <c r="H73" s="288" t="str">
        <f ca="1">IF(Table1[[#This Row],[h_No. Invoice :]]="","",CONCATENATE("AM"," ",Table1[[#This Row],[h_No. Invoice :]]))</f>
        <v/>
      </c>
      <c r="I73" s="289" t="str">
        <f>CONCATENATE(UPPER(Table1[[#This Row],[h_Kode Sales :_1]])," ",Table1[[#This Row],[h_Kode Sales :_2]])</f>
        <v xml:space="preserve"> </v>
      </c>
      <c r="J73" s="288" t="str">
        <f>IF(Table1[[#This Row],[h_toko]]="","",INDEX(Table2[e],IF(Table1[[#This Row],[h_toko]]="","",MATCH(Table1[[#This Row],[h_toko]],Table2[a],0)),))</f>
        <v/>
      </c>
      <c r="O73" s="288" t="str">
        <f>IF(Table1[[#This Row],[h_Item Description]]="","",INDEX([1]!db[NB PAJAK],MATCH(Table1[[#This Row],[h_Item Description]],[1]!db[kode],0)))</f>
        <v/>
      </c>
      <c r="Q73" s="284"/>
      <c r="R73" s="285"/>
      <c r="T73" s="284" t="str">
        <f>Table1[[#This Row],[h_hargasetelahdiskon]]</f>
        <v/>
      </c>
      <c r="W73" s="288" t="str">
        <f ca="1">IF(Table1[[#This Row],[Item Description]]="","",IF(Table1[[#This Row],[//]]="",INDIRECT(ADDRESS(ROW()-1,COLUMN())),Table1[[#This Row],[//]]))</f>
        <v/>
      </c>
      <c r="X73" s="288" t="str">
        <f ca="1">IF(Table1[[#This Row],[h_id]]="","",COUNTIF(Table1[h_id],Table1[[#This Row],[h_id]]))</f>
        <v/>
      </c>
      <c r="Y73" s="284" t="str">
        <f>IF(Table1[Item Description]="","",Table1[[#This Row],[Qty]]*Table1[[#This Row],[Unit Price]])</f>
        <v/>
      </c>
      <c r="Z73" s="284" t="str">
        <f>IF(Table1[[#This Row],[h_hargasebelumdiskon]]="","",IF(Table1[[#This Row],[Disc 1]]="",0,Table1[[#This Row],[h_hargasebelumdiskon]]*Table1[[#This Row],[Disc 1]]))</f>
        <v/>
      </c>
      <c r="AA73" s="284" t="str">
        <f>IF(Table1[[#This Row],[h_hargasebelumdiskon]]="","",IF(Table1[[#This Row],[Disc 2]]="",0,(Table1[[#This Row],[h_hargasebelumdiskon]]-Table1[[#This Row],[h_disc 1]])*Table1[[#This Row],[Disc 2]]))</f>
        <v/>
      </c>
      <c r="AB73" s="284" t="str">
        <f>IF(Table1[Item Description]="","",Table1[[#This Row],[h_disc 1]]+Table1[[#This Row],[h_disc 2]])</f>
        <v/>
      </c>
      <c r="AC73" s="284" t="str">
        <f>IF(Table1[Item Description]="","",Table1[[#This Row],[h_hargasebelumdiskon]]-Table1[[#This Row],[h_diskon]])</f>
        <v/>
      </c>
      <c r="AD73" s="284" t="str">
        <f ca="1">IF(Table1[//]="","",SUMIF(Table1[h_id],Table1[h_id],Table1[h_hargasetelahdiskon]))</f>
        <v/>
      </c>
      <c r="AE73" s="284"/>
      <c r="AF73" s="284" t="str">
        <f>Table1[[#This Row],[Item Description]]&amp;Table1[[#This Row],[Unit]]&amp;Table1[[#This Row],[Unit Price]]</f>
        <v/>
      </c>
    </row>
    <row r="74" spans="1:32" x14ac:dyDescent="0.25">
      <c r="A74" s="288">
        <f ca="1">IF(Table1[[#This Row],[No. Invoice :]]="","",ROW())</f>
        <v>74</v>
      </c>
      <c r="B74" s="288">
        <f ca="1">IF(Table1[h_Kode Sales :_1]="","",B$1+COUNT(INDIRECT("B$2:B"&amp;ROW()-1)))</f>
        <v>23070020</v>
      </c>
      <c r="C74" s="282">
        <f>IF(Table1[[#This Row],[H_TGL]]="","",Table1[[#This Row],[H_TGL]]+C$1-1)</f>
        <v>45121</v>
      </c>
      <c r="D74" s="293">
        <v>14</v>
      </c>
      <c r="E74" s="281" t="s">
        <v>122</v>
      </c>
      <c r="F74" s="283" t="s">
        <v>255</v>
      </c>
      <c r="G74" s="281" t="s">
        <v>70</v>
      </c>
      <c r="H74" s="288" t="str">
        <f ca="1">IF(Table1[[#This Row],[h_No. Invoice :]]="","",CONCATENATE("AM"," ",Table1[[#This Row],[h_No. Invoice :]]))</f>
        <v>AM 23070020</v>
      </c>
      <c r="I74" s="289" t="str">
        <f>CONCATENATE(UPPER(Table1[[#This Row],[h_Kode Sales :_1]])," ",Table1[[#This Row],[h_Kode Sales :_2]])</f>
        <v>KO 4980</v>
      </c>
      <c r="J74" s="288" t="str">
        <f>IF(Table1[[#This Row],[h_toko]]="","",INDEX(Table2[e],IF(Table1[[#This Row],[h_toko]]="","",MATCH(Table1[[#This Row],[h_toko]],Table2[a],0)),))</f>
        <v>HARNOYO (BENDAN) PEKALONGAN</v>
      </c>
      <c r="K74" s="281">
        <v>20</v>
      </c>
      <c r="L74" s="281" t="s">
        <v>158</v>
      </c>
      <c r="M74" s="281">
        <v>1</v>
      </c>
      <c r="N74" s="281" t="s">
        <v>195</v>
      </c>
      <c r="O74" s="288" t="str">
        <f>IF(Table1[[#This Row],[h_Item Description]]="","",INDEX([1]!db[NB PAJAK],MATCH(Table1[[#This Row],[h_Item Description]],[1]!db[kode],0)))</f>
        <v>BINDER CLIP KENKO NO. 155</v>
      </c>
      <c r="P74" s="281" t="s">
        <v>199</v>
      </c>
      <c r="Q74" s="284">
        <v>69000</v>
      </c>
      <c r="R74" s="285">
        <v>0.14000000000000001</v>
      </c>
      <c r="T74" s="284">
        <f>Table1[[#This Row],[h_hargasetelahdiskon]]</f>
        <v>1186800</v>
      </c>
      <c r="U74" s="284" t="s">
        <v>149</v>
      </c>
      <c r="W74" s="288">
        <f ca="1">IF(Table1[[#This Row],[Item Description]]="","",IF(Table1[[#This Row],[//]]="",INDIRECT(ADDRESS(ROW()-1,COLUMN())),Table1[[#This Row],[//]]))</f>
        <v>74</v>
      </c>
      <c r="X74" s="288">
        <f ca="1">IF(Table1[[#This Row],[h_id]]="","",COUNTIF(Table1[h_id],Table1[[#This Row],[h_id]]))</f>
        <v>3</v>
      </c>
      <c r="Y74" s="284">
        <f>IF(Table1[Item Description]="","",Table1[[#This Row],[Qty]]*Table1[[#This Row],[Unit Price]])</f>
        <v>1380000</v>
      </c>
      <c r="Z74" s="284">
        <f>IF(Table1[[#This Row],[h_hargasebelumdiskon]]="","",IF(Table1[[#This Row],[Disc 1]]="",0,Table1[[#This Row],[h_hargasebelumdiskon]]*Table1[[#This Row],[Disc 1]]))</f>
        <v>193200.00000000003</v>
      </c>
      <c r="AA74" s="284">
        <f>IF(Table1[[#This Row],[h_hargasebelumdiskon]]="","",IF(Table1[[#This Row],[Disc 2]]="",0,(Table1[[#This Row],[h_hargasebelumdiskon]]-Table1[[#This Row],[h_disc 1]])*Table1[[#This Row],[Disc 2]]))</f>
        <v>0</v>
      </c>
      <c r="AB74" s="284">
        <f>IF(Table1[Item Description]="","",Table1[[#This Row],[h_disc 1]]+Table1[[#This Row],[h_disc 2]])</f>
        <v>193200.00000000003</v>
      </c>
      <c r="AC74" s="284">
        <f>IF(Table1[Item Description]="","",Table1[[#This Row],[h_hargasebelumdiskon]]-Table1[[#This Row],[h_diskon]])</f>
        <v>1186800</v>
      </c>
      <c r="AD74" s="284">
        <f ca="1">IF(Table1[//]="","",SUMIF(Table1[h_id],Table1[h_id],Table1[h_hargasetelahdiskon]))</f>
        <v>4685280</v>
      </c>
      <c r="AE74" s="284"/>
      <c r="AF74" s="284" t="str">
        <f>Table1[[#This Row],[Item Description]]&amp;Table1[[#This Row],[Unit]]&amp;Table1[[#This Row],[Unit Price]]</f>
        <v>BINDER CLIP KENKO NO. 155GRS69000</v>
      </c>
    </row>
    <row r="75" spans="1:32" x14ac:dyDescent="0.25">
      <c r="A75" s="288" t="str">
        <f ca="1">IF(Table1[[#This Row],[No. Invoice :]]="","",ROW())</f>
        <v/>
      </c>
      <c r="B75" s="288" t="str">
        <f ca="1">IF(Table1[h_Kode Sales :_1]="","",B$1+COUNT(INDIRECT("B$2:B"&amp;ROW()-1)))</f>
        <v/>
      </c>
      <c r="C75" s="282" t="str">
        <f>IF(Table1[[#This Row],[H_TGL]]="","",Table1[[#This Row],[H_TGL]]+C$1-1)</f>
        <v/>
      </c>
      <c r="H75" s="288" t="str">
        <f ca="1">IF(Table1[[#This Row],[h_No. Invoice :]]="","",CONCATENATE("AM"," ",Table1[[#This Row],[h_No. Invoice :]]))</f>
        <v/>
      </c>
      <c r="I75" s="289" t="str">
        <f>CONCATENATE(UPPER(Table1[[#This Row],[h_Kode Sales :_1]])," ",Table1[[#This Row],[h_Kode Sales :_2]])</f>
        <v xml:space="preserve"> </v>
      </c>
      <c r="J75" s="288" t="str">
        <f>IF(Table1[[#This Row],[h_toko]]="","",INDEX(Table2[e],IF(Table1[[#This Row],[h_toko]]="","",MATCH(Table1[[#This Row],[h_toko]],Table2[a],0)),))</f>
        <v/>
      </c>
      <c r="K75" s="281">
        <v>30</v>
      </c>
      <c r="L75" s="281" t="s">
        <v>158</v>
      </c>
      <c r="M75" s="281">
        <v>1</v>
      </c>
      <c r="N75" s="281" t="s">
        <v>256</v>
      </c>
      <c r="O75" s="288" t="str">
        <f>IF(Table1[[#This Row],[h_Item Description]]="","",INDEX([1]!db[NB PAJAK],MATCH(Table1[[#This Row],[h_Item Description]],[1]!db[kode],0)))</f>
        <v>BINDER CLIP KENKO NO. 111</v>
      </c>
      <c r="P75" s="281" t="s">
        <v>257</v>
      </c>
      <c r="Q75" s="284">
        <v>49200</v>
      </c>
      <c r="R75" s="285">
        <v>0.14000000000000001</v>
      </c>
      <c r="T75" s="284">
        <f>Table1[[#This Row],[h_hargasetelahdiskon]]</f>
        <v>1269360</v>
      </c>
      <c r="W75" s="288">
        <f ca="1">IF(Table1[[#This Row],[Item Description]]="","",IF(Table1[[#This Row],[//]]="",INDIRECT(ADDRESS(ROW()-1,COLUMN())),Table1[[#This Row],[//]]))</f>
        <v>74</v>
      </c>
      <c r="X75" s="288">
        <f ca="1">IF(Table1[[#This Row],[h_id]]="","",COUNTIF(Table1[h_id],Table1[[#This Row],[h_id]]))</f>
        <v>3</v>
      </c>
      <c r="Y75" s="284">
        <f>IF(Table1[Item Description]="","",Table1[[#This Row],[Qty]]*Table1[[#This Row],[Unit Price]])</f>
        <v>1476000</v>
      </c>
      <c r="Z75" s="284">
        <f>IF(Table1[[#This Row],[h_hargasebelumdiskon]]="","",IF(Table1[[#This Row],[Disc 1]]="",0,Table1[[#This Row],[h_hargasebelumdiskon]]*Table1[[#This Row],[Disc 1]]))</f>
        <v>206640.00000000003</v>
      </c>
      <c r="AA75" s="284">
        <f>IF(Table1[[#This Row],[h_hargasebelumdiskon]]="","",IF(Table1[[#This Row],[Disc 2]]="",0,(Table1[[#This Row],[h_hargasebelumdiskon]]-Table1[[#This Row],[h_disc 1]])*Table1[[#This Row],[Disc 2]]))</f>
        <v>0</v>
      </c>
      <c r="AB75" s="284">
        <f>IF(Table1[Item Description]="","",Table1[[#This Row],[h_disc 1]]+Table1[[#This Row],[h_disc 2]])</f>
        <v>206640.00000000003</v>
      </c>
      <c r="AC75" s="284">
        <f>IF(Table1[Item Description]="","",Table1[[#This Row],[h_hargasebelumdiskon]]-Table1[[#This Row],[h_diskon]])</f>
        <v>1269360</v>
      </c>
      <c r="AD75" s="284" t="str">
        <f ca="1">IF(Table1[//]="","",SUMIF(Table1[h_id],Table1[h_id],Table1[h_hargasetelahdiskon]))</f>
        <v/>
      </c>
      <c r="AE75" s="284"/>
      <c r="AF75" s="284" t="str">
        <f>Table1[[#This Row],[Item Description]]&amp;Table1[[#This Row],[Unit]]&amp;Table1[[#This Row],[Unit Price]]</f>
        <v>BINDER CLIP KENKO NO. 111GRS49200</v>
      </c>
    </row>
    <row r="76" spans="1:32" x14ac:dyDescent="0.25">
      <c r="A76" s="288" t="str">
        <f ca="1">IF(Table1[[#This Row],[No. Invoice :]]="","",ROW())</f>
        <v/>
      </c>
      <c r="B76" s="288" t="str">
        <f ca="1">IF(Table1[h_Kode Sales :_1]="","",B$1+COUNT(INDIRECT("B$2:B"&amp;ROW()-1)))</f>
        <v/>
      </c>
      <c r="C76" s="282" t="str">
        <f>IF(Table1[[#This Row],[H_TGL]]="","",Table1[[#This Row],[H_TGL]]+C$1-1)</f>
        <v/>
      </c>
      <c r="H76" s="288" t="str">
        <f ca="1">IF(Table1[[#This Row],[h_No. Invoice :]]="","",CONCATENATE("AM"," ",Table1[[#This Row],[h_No. Invoice :]]))</f>
        <v/>
      </c>
      <c r="I76" s="289" t="str">
        <f>CONCATENATE(UPPER(Table1[[#This Row],[h_Kode Sales :_1]])," ",Table1[[#This Row],[h_Kode Sales :_2]])</f>
        <v xml:space="preserve"> </v>
      </c>
      <c r="J76" s="288" t="str">
        <f>IF(Table1[[#This Row],[h_toko]]="","",INDEX(Table2[e],IF(Table1[[#This Row],[h_toko]]="","",MATCH(Table1[[#This Row],[h_toko]],Table2[a],0)),))</f>
        <v/>
      </c>
      <c r="K76" s="281">
        <v>36</v>
      </c>
      <c r="L76" s="281" t="s">
        <v>125</v>
      </c>
      <c r="M76" s="281">
        <v>1</v>
      </c>
      <c r="N76" s="281" t="s">
        <v>258</v>
      </c>
      <c r="O76" s="288" t="str">
        <f>IF(Table1[[#This Row],[h_Item Description]]="","",INDEX([1]!db[NB PAJAK],MATCH(Table1[[#This Row],[h_Item Description]],[1]!db[kode],0)))</f>
        <v>LEM STICK KENKO 15 GR (TANGGUNG) isi 20 pc</v>
      </c>
      <c r="P76" s="281" t="s">
        <v>259</v>
      </c>
      <c r="Q76" s="284">
        <v>72000</v>
      </c>
      <c r="R76" s="285">
        <v>0.14000000000000001</v>
      </c>
      <c r="T76" s="284">
        <f>Table1[[#This Row],[h_hargasetelahdiskon]]</f>
        <v>2229120</v>
      </c>
      <c r="W76" s="288">
        <f ca="1">IF(Table1[[#This Row],[Item Description]]="","",IF(Table1[[#This Row],[//]]="",INDIRECT(ADDRESS(ROW()-1,COLUMN())),Table1[[#This Row],[//]]))</f>
        <v>74</v>
      </c>
      <c r="X76" s="288">
        <f ca="1">IF(Table1[[#This Row],[h_id]]="","",COUNTIF(Table1[h_id],Table1[[#This Row],[h_id]]))</f>
        <v>3</v>
      </c>
      <c r="Y76" s="284">
        <f>IF(Table1[Item Description]="","",Table1[[#This Row],[Qty]]*Table1[[#This Row],[Unit Price]])</f>
        <v>2592000</v>
      </c>
      <c r="Z76" s="284">
        <f>IF(Table1[[#This Row],[h_hargasebelumdiskon]]="","",IF(Table1[[#This Row],[Disc 1]]="",0,Table1[[#This Row],[h_hargasebelumdiskon]]*Table1[[#This Row],[Disc 1]]))</f>
        <v>362880.00000000006</v>
      </c>
      <c r="AA76" s="284">
        <f>IF(Table1[[#This Row],[h_hargasebelumdiskon]]="","",IF(Table1[[#This Row],[Disc 2]]="",0,(Table1[[#This Row],[h_hargasebelumdiskon]]-Table1[[#This Row],[h_disc 1]])*Table1[[#This Row],[Disc 2]]))</f>
        <v>0</v>
      </c>
      <c r="AB76" s="284">
        <f>IF(Table1[Item Description]="","",Table1[[#This Row],[h_disc 1]]+Table1[[#This Row],[h_disc 2]])</f>
        <v>362880.00000000006</v>
      </c>
      <c r="AC76" s="284">
        <f>IF(Table1[Item Description]="","",Table1[[#This Row],[h_hargasebelumdiskon]]-Table1[[#This Row],[h_diskon]])</f>
        <v>2229120</v>
      </c>
      <c r="AD76" s="284" t="str">
        <f ca="1">IF(Table1[//]="","",SUMIF(Table1[h_id],Table1[h_id],Table1[h_hargasetelahdiskon]))</f>
        <v/>
      </c>
      <c r="AE76" s="284"/>
      <c r="AF76" s="284" t="str">
        <f>Table1[[#This Row],[Item Description]]&amp;Table1[[#This Row],[Unit]]&amp;Table1[[#This Row],[Unit Price]]</f>
        <v>LEM STICK KENKO 15 GR (TANGGUNG) isi 20 pcBOX72000</v>
      </c>
    </row>
    <row r="77" spans="1:32" x14ac:dyDescent="0.25">
      <c r="A77" s="288" t="str">
        <f ca="1">IF(Table1[[#This Row],[No. Invoice :]]="","",ROW())</f>
        <v/>
      </c>
      <c r="B77" s="288" t="str">
        <f ca="1">IF(Table1[h_Kode Sales :_1]="","",B$1+COUNT(INDIRECT("B$2:B"&amp;ROW()-1)))</f>
        <v/>
      </c>
      <c r="C77" s="282" t="str">
        <f>IF(Table1[[#This Row],[H_TGL]]="","",Table1[[#This Row],[H_TGL]]+C$1-1)</f>
        <v/>
      </c>
      <c r="H77" s="288" t="str">
        <f ca="1">IF(Table1[[#This Row],[h_No. Invoice :]]="","",CONCATENATE("AM"," ",Table1[[#This Row],[h_No. Invoice :]]))</f>
        <v/>
      </c>
      <c r="I77" s="289" t="str">
        <f>CONCATENATE(UPPER(Table1[[#This Row],[h_Kode Sales :_1]])," ",Table1[[#This Row],[h_Kode Sales :_2]])</f>
        <v xml:space="preserve"> </v>
      </c>
      <c r="J77" s="288" t="str">
        <f>IF(Table1[[#This Row],[h_toko]]="","",INDEX(Table2[e],IF(Table1[[#This Row],[h_toko]]="","",MATCH(Table1[[#This Row],[h_toko]],Table2[a],0)),))</f>
        <v/>
      </c>
      <c r="O77" s="288" t="str">
        <f>IF(Table1[[#This Row],[h_Item Description]]="","",INDEX([1]!db[NB PAJAK],MATCH(Table1[[#This Row],[h_Item Description]],[1]!db[kode],0)))</f>
        <v/>
      </c>
      <c r="Q77" s="284"/>
      <c r="R77" s="285"/>
      <c r="T77" s="284" t="str">
        <f>Table1[[#This Row],[h_hargasetelahdiskon]]</f>
        <v/>
      </c>
      <c r="W77" s="288" t="str">
        <f ca="1">IF(Table1[[#This Row],[Item Description]]="","",IF(Table1[[#This Row],[//]]="",INDIRECT(ADDRESS(ROW()-1,COLUMN())),Table1[[#This Row],[//]]))</f>
        <v/>
      </c>
      <c r="X77" s="288" t="str">
        <f ca="1">IF(Table1[[#This Row],[h_id]]="","",COUNTIF(Table1[h_id],Table1[[#This Row],[h_id]]))</f>
        <v/>
      </c>
      <c r="Y77" s="284" t="str">
        <f>IF(Table1[Item Description]="","",Table1[[#This Row],[Qty]]*Table1[[#This Row],[Unit Price]])</f>
        <v/>
      </c>
      <c r="Z77" s="284" t="str">
        <f>IF(Table1[[#This Row],[h_hargasebelumdiskon]]="","",IF(Table1[[#This Row],[Disc 1]]="",0,Table1[[#This Row],[h_hargasebelumdiskon]]*Table1[[#This Row],[Disc 1]]))</f>
        <v/>
      </c>
      <c r="AA77" s="284" t="str">
        <f>IF(Table1[[#This Row],[h_hargasebelumdiskon]]="","",IF(Table1[[#This Row],[Disc 2]]="",0,(Table1[[#This Row],[h_hargasebelumdiskon]]-Table1[[#This Row],[h_disc 1]])*Table1[[#This Row],[Disc 2]]))</f>
        <v/>
      </c>
      <c r="AB77" s="284" t="str">
        <f>IF(Table1[Item Description]="","",Table1[[#This Row],[h_disc 1]]+Table1[[#This Row],[h_disc 2]])</f>
        <v/>
      </c>
      <c r="AC77" s="284" t="str">
        <f>IF(Table1[Item Description]="","",Table1[[#This Row],[h_hargasebelumdiskon]]-Table1[[#This Row],[h_diskon]])</f>
        <v/>
      </c>
      <c r="AD77" s="284" t="str">
        <f ca="1">IF(Table1[//]="","",SUMIF(Table1[h_id],Table1[h_id],Table1[h_hargasetelahdiskon]))</f>
        <v/>
      </c>
      <c r="AE77" s="284"/>
      <c r="AF77" s="284" t="str">
        <f>Table1[[#This Row],[Item Description]]&amp;Table1[[#This Row],[Unit]]&amp;Table1[[#This Row],[Unit Price]]</f>
        <v/>
      </c>
    </row>
    <row r="78" spans="1:32" x14ac:dyDescent="0.25">
      <c r="A78" s="288">
        <f ca="1">IF(Table1[[#This Row],[No. Invoice :]]="","",ROW())</f>
        <v>78</v>
      </c>
      <c r="B78" s="288">
        <f ca="1">IF(Table1[h_Kode Sales :_1]="","",B$1+COUNT(INDIRECT("B$2:B"&amp;ROW()-1)))</f>
        <v>23070021</v>
      </c>
      <c r="C78" s="282">
        <f>IF(Table1[[#This Row],[H_TGL]]="","",Table1[[#This Row],[H_TGL]]+C$1-1)</f>
        <v>45114</v>
      </c>
      <c r="D78" s="293">
        <v>7</v>
      </c>
      <c r="E78" s="281" t="s">
        <v>122</v>
      </c>
      <c r="F78" s="283" t="s">
        <v>260</v>
      </c>
      <c r="G78" s="281" t="s">
        <v>94</v>
      </c>
      <c r="H78" s="288" t="str">
        <f ca="1">IF(Table1[[#This Row],[h_No. Invoice :]]="","",CONCATENATE("AM"," ",Table1[[#This Row],[h_No. Invoice :]]))</f>
        <v>AM 23070021</v>
      </c>
      <c r="I78" s="289" t="str">
        <f>CONCATENATE(UPPER(Table1[[#This Row],[h_Kode Sales :_1]])," ",Table1[[#This Row],[h_Kode Sales :_2]])</f>
        <v>KO 4817</v>
      </c>
      <c r="J78" s="288" t="str">
        <f>IF(Table1[[#This Row],[h_toko]]="","",INDEX(Table2[e],IF(Table1[[#This Row],[h_toko]]="","",MATCH(Table1[[#This Row],[h_toko]],Table2[a],0)),))</f>
        <v>CV LANCAR JAYA SENTOSA MALANG</v>
      </c>
      <c r="K78" s="281">
        <v>288</v>
      </c>
      <c r="L78" s="281" t="s">
        <v>155</v>
      </c>
      <c r="M78" s="281">
        <v>1</v>
      </c>
      <c r="N78" s="281" t="s">
        <v>261</v>
      </c>
      <c r="O78" s="288" t="str">
        <f>IF(Table1[[#This Row],[h_Item Description]]="","",INDEX([1]!db[NB PAJAK],MATCH(Table1[[#This Row],[h_Item Description]],[1]!db[kode],0)))</f>
        <v>GUNTING JOYKO SC-838</v>
      </c>
      <c r="P78" s="281" t="s">
        <v>262</v>
      </c>
      <c r="Q78" s="284">
        <v>6500</v>
      </c>
      <c r="R78" s="285">
        <v>0.125</v>
      </c>
      <c r="T78" s="284">
        <f>Table1[[#This Row],[h_hargasetelahdiskon]]</f>
        <v>1638000</v>
      </c>
      <c r="U78" s="284" t="s">
        <v>149</v>
      </c>
      <c r="W78" s="288">
        <f ca="1">IF(Table1[[#This Row],[Item Description]]="","",IF(Table1[[#This Row],[//]]="",INDIRECT(ADDRESS(ROW()-1,COLUMN())),Table1[[#This Row],[//]]))</f>
        <v>78</v>
      </c>
      <c r="X78" s="288">
        <f ca="1">IF(Table1[[#This Row],[h_id]]="","",COUNTIF(Table1[h_id],Table1[[#This Row],[h_id]]))</f>
        <v>1</v>
      </c>
      <c r="Y78" s="284">
        <f>IF(Table1[Item Description]="","",Table1[[#This Row],[Qty]]*Table1[[#This Row],[Unit Price]])</f>
        <v>1872000</v>
      </c>
      <c r="Z78" s="284">
        <f>IF(Table1[[#This Row],[h_hargasebelumdiskon]]="","",IF(Table1[[#This Row],[Disc 1]]="",0,Table1[[#This Row],[h_hargasebelumdiskon]]*Table1[[#This Row],[Disc 1]]))</f>
        <v>234000</v>
      </c>
      <c r="AA78" s="284">
        <f>IF(Table1[[#This Row],[h_hargasebelumdiskon]]="","",IF(Table1[[#This Row],[Disc 2]]="",0,(Table1[[#This Row],[h_hargasebelumdiskon]]-Table1[[#This Row],[h_disc 1]])*Table1[[#This Row],[Disc 2]]))</f>
        <v>0</v>
      </c>
      <c r="AB78" s="284">
        <f>IF(Table1[Item Description]="","",Table1[[#This Row],[h_disc 1]]+Table1[[#This Row],[h_disc 2]])</f>
        <v>234000</v>
      </c>
      <c r="AC78" s="284">
        <f>IF(Table1[Item Description]="","",Table1[[#This Row],[h_hargasebelumdiskon]]-Table1[[#This Row],[h_diskon]])</f>
        <v>1638000</v>
      </c>
      <c r="AD78" s="284">
        <f ca="1">IF(Table1[//]="","",SUMIF(Table1[h_id],Table1[h_id],Table1[h_hargasetelahdiskon]))</f>
        <v>1638000</v>
      </c>
      <c r="AE78" s="284"/>
      <c r="AF78" s="284" t="str">
        <f>Table1[[#This Row],[Item Description]]&amp;Table1[[#This Row],[Unit]]&amp;Table1[[#This Row],[Unit Price]]</f>
        <v>GUNTING JOYKO SC-838PCS6500</v>
      </c>
    </row>
    <row r="79" spans="1:32" x14ac:dyDescent="0.25">
      <c r="A79" s="288" t="str">
        <f ca="1">IF(Table1[[#This Row],[No. Invoice :]]="","",ROW())</f>
        <v/>
      </c>
      <c r="B79" s="288" t="str">
        <f ca="1">IF(Table1[h_Kode Sales :_1]="","",B$1+COUNT(INDIRECT("B$2:B"&amp;ROW()-1)))</f>
        <v/>
      </c>
      <c r="C79" s="282" t="str">
        <f>IF(Table1[[#This Row],[H_TGL]]="","",Table1[[#This Row],[H_TGL]]+C$1-1)</f>
        <v/>
      </c>
      <c r="H79" s="288" t="str">
        <f ca="1">IF(Table1[[#This Row],[h_No. Invoice :]]="","",CONCATENATE("AM"," ",Table1[[#This Row],[h_No. Invoice :]]))</f>
        <v/>
      </c>
      <c r="I79" s="289" t="str">
        <f>CONCATENATE(UPPER(Table1[[#This Row],[h_Kode Sales :_1]])," ",Table1[[#This Row],[h_Kode Sales :_2]])</f>
        <v xml:space="preserve"> </v>
      </c>
      <c r="J79" s="288" t="str">
        <f>IF(Table1[[#This Row],[h_toko]]="","",INDEX(Table2[e],IF(Table1[[#This Row],[h_toko]]="","",MATCH(Table1[[#This Row],[h_toko]],Table2[a],0)),))</f>
        <v/>
      </c>
      <c r="O79" s="288" t="str">
        <f>IF(Table1[[#This Row],[h_Item Description]]="","",INDEX([1]!db[NB PAJAK],MATCH(Table1[[#This Row],[h_Item Description]],[1]!db[kode],0)))</f>
        <v/>
      </c>
      <c r="Q79" s="284"/>
      <c r="R79" s="285"/>
      <c r="T79" s="284" t="str">
        <f>Table1[[#This Row],[h_hargasetelahdiskon]]</f>
        <v/>
      </c>
      <c r="W79" s="288" t="str">
        <f ca="1">IF(Table1[[#This Row],[Item Description]]="","",IF(Table1[[#This Row],[//]]="",INDIRECT(ADDRESS(ROW()-1,COLUMN())),Table1[[#This Row],[//]]))</f>
        <v/>
      </c>
      <c r="X79" s="288" t="str">
        <f ca="1">IF(Table1[[#This Row],[h_id]]="","",COUNTIF(Table1[h_id],Table1[[#This Row],[h_id]]))</f>
        <v/>
      </c>
      <c r="Y79" s="284" t="str">
        <f>IF(Table1[Item Description]="","",Table1[[#This Row],[Qty]]*Table1[[#This Row],[Unit Price]])</f>
        <v/>
      </c>
      <c r="Z79" s="284" t="str">
        <f>IF(Table1[[#This Row],[h_hargasebelumdiskon]]="","",IF(Table1[[#This Row],[Disc 1]]="",0,Table1[[#This Row],[h_hargasebelumdiskon]]*Table1[[#This Row],[Disc 1]]))</f>
        <v/>
      </c>
      <c r="AA79" s="284" t="str">
        <f>IF(Table1[[#This Row],[h_hargasebelumdiskon]]="","",IF(Table1[[#This Row],[Disc 2]]="",0,(Table1[[#This Row],[h_hargasebelumdiskon]]-Table1[[#This Row],[h_disc 1]])*Table1[[#This Row],[Disc 2]]))</f>
        <v/>
      </c>
      <c r="AB79" s="284" t="str">
        <f>IF(Table1[Item Description]="","",Table1[[#This Row],[h_disc 1]]+Table1[[#This Row],[h_disc 2]])</f>
        <v/>
      </c>
      <c r="AC79" s="284" t="str">
        <f>IF(Table1[Item Description]="","",Table1[[#This Row],[h_hargasebelumdiskon]]-Table1[[#This Row],[h_diskon]])</f>
        <v/>
      </c>
      <c r="AD79" s="284" t="str">
        <f ca="1">IF(Table1[//]="","",SUMIF(Table1[h_id],Table1[h_id],Table1[h_hargasetelahdiskon]))</f>
        <v/>
      </c>
      <c r="AE79" s="284"/>
      <c r="AF79" s="284" t="str">
        <f>Table1[[#This Row],[Item Description]]&amp;Table1[[#This Row],[Unit]]&amp;Table1[[#This Row],[Unit Price]]</f>
        <v/>
      </c>
    </row>
    <row r="80" spans="1:32" x14ac:dyDescent="0.25">
      <c r="A80" s="288">
        <f ca="1">IF(Table1[[#This Row],[No. Invoice :]]="","",ROW())</f>
        <v>80</v>
      </c>
      <c r="B80" s="288">
        <f ca="1">IF(Table1[h_Kode Sales :_1]="","",B$1+COUNT(INDIRECT("B$2:B"&amp;ROW()-1)))</f>
        <v>23070022</v>
      </c>
      <c r="C80" s="282">
        <f>IF(Table1[[#This Row],[H_TGL]]="","",Table1[[#This Row],[H_TGL]]+C$1-1)</f>
        <v>45122</v>
      </c>
      <c r="D80" s="293">
        <v>15</v>
      </c>
      <c r="E80" s="281" t="s">
        <v>129</v>
      </c>
      <c r="F80" s="283" t="s">
        <v>263</v>
      </c>
      <c r="G80" s="281" t="s">
        <v>114</v>
      </c>
      <c r="H80" s="288" t="str">
        <f ca="1">IF(Table1[[#This Row],[h_No. Invoice :]]="","",CONCATENATE("AM"," ",Table1[[#This Row],[h_No. Invoice :]]))</f>
        <v>AM 23070022</v>
      </c>
      <c r="I80" s="289" t="str">
        <f>CONCATENATE(UPPER(Table1[[#This Row],[h_Kode Sales :_1]])," ",Table1[[#This Row],[h_Kode Sales :_2]])</f>
        <v>G 2359</v>
      </c>
      <c r="J80" s="288" t="str">
        <f>IF(Table1[[#This Row],[h_toko]]="","",INDEX(Table2[e],IF(Table1[[#This Row],[h_toko]]="","",MATCH(Table1[[#This Row],[h_toko]],Table2[a],0)),))</f>
        <v>GUNAWAN HARTONO KUSUMA ( NIKI SAE ) TULUNG AGUNG</v>
      </c>
      <c r="K80" s="281">
        <v>432</v>
      </c>
      <c r="L80" s="281" t="s">
        <v>142</v>
      </c>
      <c r="M80" s="281">
        <v>3</v>
      </c>
      <c r="N80" s="281" t="s">
        <v>265</v>
      </c>
      <c r="O80" s="288" t="str">
        <f>IF(Table1[[#This Row],[h_Item Description]]="","",INDEX([1]!db[NB PAJAK],MATCH(Table1[[#This Row],[h_Item Description]],[1]!db[kode],0)))</f>
        <v>GEL PEN KENKO KE-16 DOT N DOT HITAM</v>
      </c>
      <c r="P80" s="281" t="s">
        <v>266</v>
      </c>
      <c r="Q80" s="284">
        <v>26100</v>
      </c>
      <c r="R80" s="285">
        <v>0.125</v>
      </c>
      <c r="T80" s="284">
        <f>Table1[[#This Row],[h_hargasetelahdiskon]]</f>
        <v>9865800</v>
      </c>
      <c r="U80" s="284" t="s">
        <v>149</v>
      </c>
      <c r="W80" s="288">
        <f ca="1">IF(Table1[[#This Row],[Item Description]]="","",IF(Table1[[#This Row],[//]]="",INDIRECT(ADDRESS(ROW()-1,COLUMN())),Table1[[#This Row],[//]]))</f>
        <v>80</v>
      </c>
      <c r="X80" s="288">
        <f ca="1">IF(Table1[[#This Row],[h_id]]="","",COUNTIF(Table1[h_id],Table1[[#This Row],[h_id]]))</f>
        <v>4</v>
      </c>
      <c r="Y80" s="284">
        <f>IF(Table1[Item Description]="","",Table1[[#This Row],[Qty]]*Table1[[#This Row],[Unit Price]])</f>
        <v>11275200</v>
      </c>
      <c r="Z80" s="284">
        <f>IF(Table1[[#This Row],[h_hargasebelumdiskon]]="","",IF(Table1[[#This Row],[Disc 1]]="",0,Table1[[#This Row],[h_hargasebelumdiskon]]*Table1[[#This Row],[Disc 1]]))</f>
        <v>1409400</v>
      </c>
      <c r="AA80" s="284">
        <f>IF(Table1[[#This Row],[h_hargasebelumdiskon]]="","",IF(Table1[[#This Row],[Disc 2]]="",0,(Table1[[#This Row],[h_hargasebelumdiskon]]-Table1[[#This Row],[h_disc 1]])*Table1[[#This Row],[Disc 2]]))</f>
        <v>0</v>
      </c>
      <c r="AB80" s="284">
        <f>IF(Table1[Item Description]="","",Table1[[#This Row],[h_disc 1]]+Table1[[#This Row],[h_disc 2]])</f>
        <v>1409400</v>
      </c>
      <c r="AC80" s="284">
        <f>IF(Table1[Item Description]="","",Table1[[#This Row],[h_hargasebelumdiskon]]-Table1[[#This Row],[h_diskon]])</f>
        <v>9865800</v>
      </c>
      <c r="AD80" s="284">
        <f ca="1">IF(Table1[//]="","",SUMIF(Table1[h_id],Table1[h_id],Table1[h_hargasetelahdiskon]))</f>
        <v>19485900</v>
      </c>
      <c r="AE80" s="284"/>
      <c r="AF80" s="284" t="str">
        <f>Table1[[#This Row],[Item Description]]&amp;Table1[[#This Row],[Unit]]&amp;Table1[[#This Row],[Unit Price]]</f>
        <v>GEL PEN KENKO KE-16 DOT N DOT HITAMLSN26100</v>
      </c>
    </row>
    <row r="81" spans="1:32" x14ac:dyDescent="0.25">
      <c r="A81" s="288" t="str">
        <f ca="1">IF(Table1[[#This Row],[No. Invoice :]]="","",ROW())</f>
        <v/>
      </c>
      <c r="B81" s="288" t="str">
        <f ca="1">IF(Table1[h_Kode Sales :_1]="","",B$1+COUNT(INDIRECT("B$2:B"&amp;ROW()-1)))</f>
        <v/>
      </c>
      <c r="C81" s="282" t="str">
        <f>IF(Table1[[#This Row],[H_TGL]]="","",Table1[[#This Row],[H_TGL]]+C$1-1)</f>
        <v/>
      </c>
      <c r="H81" s="288" t="str">
        <f ca="1">IF(Table1[[#This Row],[h_No. Invoice :]]="","",CONCATENATE("AM"," ",Table1[[#This Row],[h_No. Invoice :]]))</f>
        <v/>
      </c>
      <c r="I81" s="289" t="str">
        <f>CONCATENATE(UPPER(Table1[[#This Row],[h_Kode Sales :_1]])," ",Table1[[#This Row],[h_Kode Sales :_2]])</f>
        <v xml:space="preserve"> </v>
      </c>
      <c r="J81" s="288" t="str">
        <f>IF(Table1[[#This Row],[h_toko]]="","",INDEX(Table2[e],IF(Table1[[#This Row],[h_toko]]="","",MATCH(Table1[[#This Row],[h_toko]],Table2[a],0)),))</f>
        <v/>
      </c>
      <c r="K81" s="281">
        <v>108</v>
      </c>
      <c r="L81" s="281" t="s">
        <v>142</v>
      </c>
      <c r="M81" s="281">
        <v>3</v>
      </c>
      <c r="N81" s="281" t="s">
        <v>243</v>
      </c>
      <c r="O81" s="288" t="str">
        <f>IF(Table1[[#This Row],[h_Item Description]]="","",INDEX([1]!db[NB PAJAK],MATCH(Table1[[#This Row],[h_Item Description]],[1]!db[kode],0)))</f>
        <v>CORRECTION FLUID KENKO KE-107M</v>
      </c>
      <c r="P81" s="281" t="s">
        <v>246</v>
      </c>
      <c r="Q81" s="284">
        <v>55800</v>
      </c>
      <c r="R81" s="285">
        <v>0.125</v>
      </c>
      <c r="T81" s="284">
        <f>Table1[[#This Row],[h_hargasetelahdiskon]]</f>
        <v>5273100</v>
      </c>
      <c r="W81" s="288">
        <f ca="1">IF(Table1[[#This Row],[Item Description]]="","",IF(Table1[[#This Row],[//]]="",INDIRECT(ADDRESS(ROW()-1,COLUMN())),Table1[[#This Row],[//]]))</f>
        <v>80</v>
      </c>
      <c r="X81" s="288">
        <f ca="1">IF(Table1[[#This Row],[h_id]]="","",COUNTIF(Table1[h_id],Table1[[#This Row],[h_id]]))</f>
        <v>4</v>
      </c>
      <c r="Y81" s="284">
        <f>IF(Table1[Item Description]="","",Table1[[#This Row],[Qty]]*Table1[[#This Row],[Unit Price]])</f>
        <v>6026400</v>
      </c>
      <c r="Z81" s="284">
        <f>IF(Table1[[#This Row],[h_hargasebelumdiskon]]="","",IF(Table1[[#This Row],[Disc 1]]="",0,Table1[[#This Row],[h_hargasebelumdiskon]]*Table1[[#This Row],[Disc 1]]))</f>
        <v>753300</v>
      </c>
      <c r="AA81" s="284">
        <f>IF(Table1[[#This Row],[h_hargasebelumdiskon]]="","",IF(Table1[[#This Row],[Disc 2]]="",0,(Table1[[#This Row],[h_hargasebelumdiskon]]-Table1[[#This Row],[h_disc 1]])*Table1[[#This Row],[Disc 2]]))</f>
        <v>0</v>
      </c>
      <c r="AB81" s="284">
        <f>IF(Table1[Item Description]="","",Table1[[#This Row],[h_disc 1]]+Table1[[#This Row],[h_disc 2]])</f>
        <v>753300</v>
      </c>
      <c r="AC81" s="284">
        <f>IF(Table1[Item Description]="","",Table1[[#This Row],[h_hargasebelumdiskon]]-Table1[[#This Row],[h_diskon]])</f>
        <v>5273100</v>
      </c>
      <c r="AD81" s="284" t="str">
        <f ca="1">IF(Table1[//]="","",SUMIF(Table1[h_id],Table1[h_id],Table1[h_hargasetelahdiskon]))</f>
        <v/>
      </c>
      <c r="AE81" s="284"/>
      <c r="AF81" s="284" t="str">
        <f>Table1[[#This Row],[Item Description]]&amp;Table1[[#This Row],[Unit]]&amp;Table1[[#This Row],[Unit Price]]</f>
        <v>CORRECTION FLUID KENKO KE-107MLSN55800</v>
      </c>
    </row>
    <row r="82" spans="1:32" x14ac:dyDescent="0.25">
      <c r="A82" s="288" t="str">
        <f ca="1">IF(Table1[[#This Row],[No. Invoice :]]="","",ROW())</f>
        <v/>
      </c>
      <c r="B82" s="288" t="str">
        <f ca="1">IF(Table1[h_Kode Sales :_1]="","",B$1+COUNT(INDIRECT("B$2:B"&amp;ROW()-1)))</f>
        <v/>
      </c>
      <c r="C82" s="282" t="str">
        <f>IF(Table1[[#This Row],[H_TGL]]="","",Table1[[#This Row],[H_TGL]]+C$1-1)</f>
        <v/>
      </c>
      <c r="H82" s="288" t="str">
        <f ca="1">IF(Table1[[#This Row],[h_No. Invoice :]]="","",CONCATENATE("AM"," ",Table1[[#This Row],[h_No. Invoice :]]))</f>
        <v/>
      </c>
      <c r="I82" s="289" t="str">
        <f>CONCATENATE(UPPER(Table1[[#This Row],[h_Kode Sales :_1]])," ",Table1[[#This Row],[h_Kode Sales :_2]])</f>
        <v xml:space="preserve"> </v>
      </c>
      <c r="J82" s="288" t="str">
        <f>IF(Table1[[#This Row],[h_toko]]="","",INDEX(Table2[e],IF(Table1[[#This Row],[h_toko]]="","",MATCH(Table1[[#This Row],[h_toko]],Table2[a],0)),))</f>
        <v/>
      </c>
      <c r="K82" s="281">
        <v>36</v>
      </c>
      <c r="L82" s="281" t="s">
        <v>125</v>
      </c>
      <c r="M82" s="281">
        <v>1</v>
      </c>
      <c r="N82" s="281" t="s">
        <v>197</v>
      </c>
      <c r="O82" s="288" t="str">
        <f>IF(Table1[[#This Row],[h_Item Description]]="","",INDEX([1]!db[NB PAJAK],MATCH(Table1[[#This Row],[h_Item Description]],[1]!db[kode],0)))</f>
        <v>LEM STICK KENKO 8 GR (KECIL) isi 30 pc</v>
      </c>
      <c r="P82" s="281" t="s">
        <v>201</v>
      </c>
      <c r="Q82" s="284">
        <v>66000</v>
      </c>
      <c r="R82" s="285">
        <v>0.125</v>
      </c>
      <c r="T82" s="284">
        <f>Table1[[#This Row],[h_hargasetelahdiskon]]</f>
        <v>2079000</v>
      </c>
      <c r="W82" s="288">
        <f ca="1">IF(Table1[[#This Row],[Item Description]]="","",IF(Table1[[#This Row],[//]]="",INDIRECT(ADDRESS(ROW()-1,COLUMN())),Table1[[#This Row],[//]]))</f>
        <v>80</v>
      </c>
      <c r="X82" s="288">
        <f ca="1">IF(Table1[[#This Row],[h_id]]="","",COUNTIF(Table1[h_id],Table1[[#This Row],[h_id]]))</f>
        <v>4</v>
      </c>
      <c r="Y82" s="284">
        <f>IF(Table1[Item Description]="","",Table1[[#This Row],[Qty]]*Table1[[#This Row],[Unit Price]])</f>
        <v>2376000</v>
      </c>
      <c r="Z82" s="284">
        <f>IF(Table1[[#This Row],[h_hargasebelumdiskon]]="","",IF(Table1[[#This Row],[Disc 1]]="",0,Table1[[#This Row],[h_hargasebelumdiskon]]*Table1[[#This Row],[Disc 1]]))</f>
        <v>297000</v>
      </c>
      <c r="AA82" s="284">
        <f>IF(Table1[[#This Row],[h_hargasebelumdiskon]]="","",IF(Table1[[#This Row],[Disc 2]]="",0,(Table1[[#This Row],[h_hargasebelumdiskon]]-Table1[[#This Row],[h_disc 1]])*Table1[[#This Row],[Disc 2]]))</f>
        <v>0</v>
      </c>
      <c r="AB82" s="284">
        <f>IF(Table1[Item Description]="","",Table1[[#This Row],[h_disc 1]]+Table1[[#This Row],[h_disc 2]])</f>
        <v>297000</v>
      </c>
      <c r="AC82" s="284">
        <f>IF(Table1[Item Description]="","",Table1[[#This Row],[h_hargasebelumdiskon]]-Table1[[#This Row],[h_diskon]])</f>
        <v>2079000</v>
      </c>
      <c r="AD82" s="284" t="str">
        <f ca="1">IF(Table1[//]="","",SUMIF(Table1[h_id],Table1[h_id],Table1[h_hargasetelahdiskon]))</f>
        <v/>
      </c>
      <c r="AE82" s="284"/>
      <c r="AF82" s="284" t="str">
        <f>Table1[[#This Row],[Item Description]]&amp;Table1[[#This Row],[Unit]]&amp;Table1[[#This Row],[Unit Price]]</f>
        <v>LEM STICK KENKO 8 GR (KECIL) isi 30 pcBOX66000</v>
      </c>
    </row>
    <row r="83" spans="1:32" x14ac:dyDescent="0.25">
      <c r="A83" s="288" t="str">
        <f ca="1">IF(Table1[[#This Row],[No. Invoice :]]="","",ROW())</f>
        <v/>
      </c>
      <c r="B83" s="288" t="str">
        <f ca="1">IF(Table1[h_Kode Sales :_1]="","",B$1+COUNT(INDIRECT("B$2:B"&amp;ROW()-1)))</f>
        <v/>
      </c>
      <c r="C83" s="282" t="str">
        <f>IF(Table1[[#This Row],[H_TGL]]="","",Table1[[#This Row],[H_TGL]]+C$1-1)</f>
        <v/>
      </c>
      <c r="H83" s="288" t="str">
        <f ca="1">IF(Table1[[#This Row],[h_No. Invoice :]]="","",CONCATENATE("AM"," ",Table1[[#This Row],[h_No. Invoice :]]))</f>
        <v/>
      </c>
      <c r="I83" s="289" t="str">
        <f>CONCATENATE(UPPER(Table1[[#This Row],[h_Kode Sales :_1]])," ",Table1[[#This Row],[h_Kode Sales :_2]])</f>
        <v xml:space="preserve"> </v>
      </c>
      <c r="J83" s="288" t="str">
        <f>IF(Table1[[#This Row],[h_toko]]="","",INDEX(Table2[e],IF(Table1[[#This Row],[h_toko]]="","",MATCH(Table1[[#This Row],[h_toko]],Table2[a],0)),))</f>
        <v/>
      </c>
      <c r="K83" s="281">
        <v>36</v>
      </c>
      <c r="L83" s="281" t="s">
        <v>125</v>
      </c>
      <c r="M83" s="281">
        <v>1</v>
      </c>
      <c r="N83" s="281" t="s">
        <v>264</v>
      </c>
      <c r="O83" s="288" t="str">
        <f>IF(Table1[[#This Row],[h_Item Description]]="","",INDEX([1]!db[NB PAJAK],MATCH(Table1[[#This Row],[h_Item Description]],[1]!db[kode],0)))</f>
        <v>LEM STICK KENKO 15 GR (TANGGUNG) isi 20 pc</v>
      </c>
      <c r="P83" s="281" t="s">
        <v>259</v>
      </c>
      <c r="Q83" s="284">
        <v>72000</v>
      </c>
      <c r="R83" s="285">
        <v>0.125</v>
      </c>
      <c r="T83" s="284">
        <f>Table1[[#This Row],[h_hargasetelahdiskon]]</f>
        <v>2268000</v>
      </c>
      <c r="W83" s="288">
        <f ca="1">IF(Table1[[#This Row],[Item Description]]="","",IF(Table1[[#This Row],[//]]="",INDIRECT(ADDRESS(ROW()-1,COLUMN())),Table1[[#This Row],[//]]))</f>
        <v>80</v>
      </c>
      <c r="X83" s="288">
        <f ca="1">IF(Table1[[#This Row],[h_id]]="","",COUNTIF(Table1[h_id],Table1[[#This Row],[h_id]]))</f>
        <v>4</v>
      </c>
      <c r="Y83" s="284">
        <f>IF(Table1[Item Description]="","",Table1[[#This Row],[Qty]]*Table1[[#This Row],[Unit Price]])</f>
        <v>2592000</v>
      </c>
      <c r="Z83" s="284">
        <f>IF(Table1[[#This Row],[h_hargasebelumdiskon]]="","",IF(Table1[[#This Row],[Disc 1]]="",0,Table1[[#This Row],[h_hargasebelumdiskon]]*Table1[[#This Row],[Disc 1]]))</f>
        <v>324000</v>
      </c>
      <c r="AA83" s="284">
        <f>IF(Table1[[#This Row],[h_hargasebelumdiskon]]="","",IF(Table1[[#This Row],[Disc 2]]="",0,(Table1[[#This Row],[h_hargasebelumdiskon]]-Table1[[#This Row],[h_disc 1]])*Table1[[#This Row],[Disc 2]]))</f>
        <v>0</v>
      </c>
      <c r="AB83" s="284">
        <f>IF(Table1[Item Description]="","",Table1[[#This Row],[h_disc 1]]+Table1[[#This Row],[h_disc 2]])</f>
        <v>324000</v>
      </c>
      <c r="AC83" s="284">
        <f>IF(Table1[Item Description]="","",Table1[[#This Row],[h_hargasebelumdiskon]]-Table1[[#This Row],[h_diskon]])</f>
        <v>2268000</v>
      </c>
      <c r="AD83" s="284" t="str">
        <f ca="1">IF(Table1[//]="","",SUMIF(Table1[h_id],Table1[h_id],Table1[h_hargasetelahdiskon]))</f>
        <v/>
      </c>
      <c r="AE83" s="284"/>
      <c r="AF83" s="284" t="str">
        <f>Table1[[#This Row],[Item Description]]&amp;Table1[[#This Row],[Unit]]&amp;Table1[[#This Row],[Unit Price]]</f>
        <v>LEM STICK KENKO 15 GR (TANGGUNG) isi 20 pcBOX72000</v>
      </c>
    </row>
    <row r="84" spans="1:32" x14ac:dyDescent="0.25">
      <c r="A84" s="288" t="str">
        <f ca="1">IF(Table1[[#This Row],[No. Invoice :]]="","",ROW())</f>
        <v/>
      </c>
      <c r="B84" s="288" t="str">
        <f ca="1">IF(Table1[h_Kode Sales :_1]="","",B$1+COUNT(INDIRECT("B$2:B"&amp;ROW()-1)))</f>
        <v/>
      </c>
      <c r="C84" s="282" t="str">
        <f>IF(Table1[[#This Row],[H_TGL]]="","",Table1[[#This Row],[H_TGL]]+C$1-1)</f>
        <v/>
      </c>
      <c r="H84" s="288" t="str">
        <f ca="1">IF(Table1[[#This Row],[h_No. Invoice :]]="","",CONCATENATE("AM"," ",Table1[[#This Row],[h_No. Invoice :]]))</f>
        <v/>
      </c>
      <c r="I84" s="289" t="str">
        <f>CONCATENATE(UPPER(Table1[[#This Row],[h_Kode Sales :_1]])," ",Table1[[#This Row],[h_Kode Sales :_2]])</f>
        <v xml:space="preserve"> </v>
      </c>
      <c r="J84" s="288" t="str">
        <f>IF(Table1[[#This Row],[h_toko]]="","",INDEX(Table2[e],IF(Table1[[#This Row],[h_toko]]="","",MATCH(Table1[[#This Row],[h_toko]],Table2[a],0)),))</f>
        <v/>
      </c>
      <c r="O84" s="288" t="str">
        <f>IF(Table1[[#This Row],[h_Item Description]]="","",INDEX([1]!db[NB PAJAK],MATCH(Table1[[#This Row],[h_Item Description]],[1]!db[kode],0)))</f>
        <v/>
      </c>
      <c r="Q84" s="284"/>
      <c r="R84" s="285"/>
      <c r="T84" s="284" t="str">
        <f>Table1[[#This Row],[h_hargasetelahdiskon]]</f>
        <v/>
      </c>
      <c r="W84" s="288" t="str">
        <f ca="1">IF(Table1[[#This Row],[Item Description]]="","",IF(Table1[[#This Row],[//]]="",INDIRECT(ADDRESS(ROW()-1,COLUMN())),Table1[[#This Row],[//]]))</f>
        <v/>
      </c>
      <c r="X84" s="288" t="str">
        <f ca="1">IF(Table1[[#This Row],[h_id]]="","",COUNTIF(Table1[h_id],Table1[[#This Row],[h_id]]))</f>
        <v/>
      </c>
      <c r="Y84" s="284" t="str">
        <f>IF(Table1[Item Description]="","",Table1[[#This Row],[Qty]]*Table1[[#This Row],[Unit Price]])</f>
        <v/>
      </c>
      <c r="Z84" s="284" t="str">
        <f>IF(Table1[[#This Row],[h_hargasebelumdiskon]]="","",IF(Table1[[#This Row],[Disc 1]]="",0,Table1[[#This Row],[h_hargasebelumdiskon]]*Table1[[#This Row],[Disc 1]]))</f>
        <v/>
      </c>
      <c r="AA84" s="284" t="str">
        <f>IF(Table1[[#This Row],[h_hargasebelumdiskon]]="","",IF(Table1[[#This Row],[Disc 2]]="",0,(Table1[[#This Row],[h_hargasebelumdiskon]]-Table1[[#This Row],[h_disc 1]])*Table1[[#This Row],[Disc 2]]))</f>
        <v/>
      </c>
      <c r="AB84" s="284" t="str">
        <f>IF(Table1[Item Description]="","",Table1[[#This Row],[h_disc 1]]+Table1[[#This Row],[h_disc 2]])</f>
        <v/>
      </c>
      <c r="AC84" s="284" t="str">
        <f>IF(Table1[Item Description]="","",Table1[[#This Row],[h_hargasebelumdiskon]]-Table1[[#This Row],[h_diskon]])</f>
        <v/>
      </c>
      <c r="AD84" s="284" t="str">
        <f ca="1">IF(Table1[//]="","",SUMIF(Table1[h_id],Table1[h_id],Table1[h_hargasetelahdiskon]))</f>
        <v/>
      </c>
      <c r="AE84" s="284"/>
      <c r="AF84" s="284" t="str">
        <f>Table1[[#This Row],[Item Description]]&amp;Table1[[#This Row],[Unit]]&amp;Table1[[#This Row],[Unit Price]]</f>
        <v/>
      </c>
    </row>
    <row r="85" spans="1:32" x14ac:dyDescent="0.25">
      <c r="A85" s="288">
        <f ca="1">IF(Table1[[#This Row],[No. Invoice :]]="","",ROW())</f>
        <v>85</v>
      </c>
      <c r="B85" s="288">
        <f ca="1">IF(Table1[h_Kode Sales :_1]="","",B$1+COUNT(INDIRECT("B$2:B"&amp;ROW()-1)))</f>
        <v>23070023</v>
      </c>
      <c r="C85" s="282">
        <f>IF(Table1[[#This Row],[H_TGL]]="","",Table1[[#This Row],[H_TGL]]+C$1-1)</f>
        <v>45122</v>
      </c>
      <c r="D85" s="293">
        <v>15</v>
      </c>
      <c r="E85" s="281" t="s">
        <v>122</v>
      </c>
      <c r="F85" s="283" t="s">
        <v>267</v>
      </c>
      <c r="G85" s="281" t="s">
        <v>84</v>
      </c>
      <c r="H85" s="288" t="str">
        <f ca="1">IF(Table1[[#This Row],[h_No. Invoice :]]="","",CONCATENATE("AM"," ",Table1[[#This Row],[h_No. Invoice :]]))</f>
        <v>AM 23070023</v>
      </c>
      <c r="I85" s="289" t="str">
        <f>CONCATENATE(UPPER(Table1[[#This Row],[h_Kode Sales :_1]])," ",Table1[[#This Row],[h_Kode Sales :_2]])</f>
        <v>KO 2366</v>
      </c>
      <c r="J85" s="288" t="str">
        <f>IF(Table1[[#This Row],[h_toko]]="","",INDEX(Table2[e],IF(Table1[[#This Row],[h_toko]]="","",MATCH(Table1[[#This Row],[h_toko]],Table2[a],0)),))</f>
        <v>CV PELITA JAYA (ANUGERAH SEJAHTERA) PURWOKERTO</v>
      </c>
      <c r="K85" s="281">
        <v>36</v>
      </c>
      <c r="L85" s="281" t="s">
        <v>125</v>
      </c>
      <c r="M85" s="281">
        <v>1</v>
      </c>
      <c r="N85" s="281" t="s">
        <v>264</v>
      </c>
      <c r="O85" s="288" t="str">
        <f>IF(Table1[[#This Row],[h_Item Description]]="","",INDEX([1]!db[NB PAJAK],MATCH(Table1[[#This Row],[h_Item Description]],[1]!db[kode],0)))</f>
        <v>LEM STICK KENKO 15 GR (TANGGUNG) isi 20 pc</v>
      </c>
      <c r="P85" s="281" t="s">
        <v>259</v>
      </c>
      <c r="Q85" s="284">
        <v>72000</v>
      </c>
      <c r="R85" s="285">
        <v>0.13500000000000001</v>
      </c>
      <c r="T85" s="284">
        <f>Table1[[#This Row],[h_hargasetelahdiskon]]</f>
        <v>2242080</v>
      </c>
      <c r="U85" s="284" t="s">
        <v>149</v>
      </c>
      <c r="W85" s="288">
        <f ca="1">IF(Table1[[#This Row],[Item Description]]="","",IF(Table1[[#This Row],[//]]="",INDIRECT(ADDRESS(ROW()-1,COLUMN())),Table1[[#This Row],[//]]))</f>
        <v>85</v>
      </c>
      <c r="X85" s="288">
        <f ca="1">IF(Table1[[#This Row],[h_id]]="","",COUNTIF(Table1[h_id],Table1[[#This Row],[h_id]]))</f>
        <v>1</v>
      </c>
      <c r="Y85" s="284">
        <f>IF(Table1[Item Description]="","",Table1[[#This Row],[Qty]]*Table1[[#This Row],[Unit Price]])</f>
        <v>2592000</v>
      </c>
      <c r="Z85" s="284">
        <f>IF(Table1[[#This Row],[h_hargasebelumdiskon]]="","",IF(Table1[[#This Row],[Disc 1]]="",0,Table1[[#This Row],[h_hargasebelumdiskon]]*Table1[[#This Row],[Disc 1]]))</f>
        <v>349920</v>
      </c>
      <c r="AA85" s="284">
        <f>IF(Table1[[#This Row],[h_hargasebelumdiskon]]="","",IF(Table1[[#This Row],[Disc 2]]="",0,(Table1[[#This Row],[h_hargasebelumdiskon]]-Table1[[#This Row],[h_disc 1]])*Table1[[#This Row],[Disc 2]]))</f>
        <v>0</v>
      </c>
      <c r="AB85" s="284">
        <f>IF(Table1[Item Description]="","",Table1[[#This Row],[h_disc 1]]+Table1[[#This Row],[h_disc 2]])</f>
        <v>349920</v>
      </c>
      <c r="AC85" s="284">
        <f>IF(Table1[Item Description]="","",Table1[[#This Row],[h_hargasebelumdiskon]]-Table1[[#This Row],[h_diskon]])</f>
        <v>2242080</v>
      </c>
      <c r="AD85" s="284">
        <f ca="1">IF(Table1[//]="","",SUMIF(Table1[h_id],Table1[h_id],Table1[h_hargasetelahdiskon]))</f>
        <v>2242080</v>
      </c>
      <c r="AE85" s="284"/>
      <c r="AF85" s="284" t="str">
        <f>Table1[[#This Row],[Item Description]]&amp;Table1[[#This Row],[Unit]]&amp;Table1[[#This Row],[Unit Price]]</f>
        <v>LEM STICK KENKO 15 GR (TANGGUNG) isi 20 pcBOX72000</v>
      </c>
    </row>
    <row r="86" spans="1:32" x14ac:dyDescent="0.25">
      <c r="A86" s="288" t="str">
        <f ca="1">IF(Table1[[#This Row],[No. Invoice :]]="","",ROW())</f>
        <v/>
      </c>
      <c r="B86" s="288" t="str">
        <f ca="1">IF(Table1[h_Kode Sales :_1]="","",B$1+COUNT(INDIRECT("B$2:B"&amp;ROW()-1)))</f>
        <v/>
      </c>
      <c r="C86" s="282" t="str">
        <f>IF(Table1[[#This Row],[H_TGL]]="","",Table1[[#This Row],[H_TGL]]+C$1-1)</f>
        <v/>
      </c>
      <c r="H86" s="288" t="str">
        <f ca="1">IF(Table1[[#This Row],[h_No. Invoice :]]="","",CONCATENATE("AM"," ",Table1[[#This Row],[h_No. Invoice :]]))</f>
        <v/>
      </c>
      <c r="I86" s="289" t="str">
        <f>CONCATENATE(UPPER(Table1[[#This Row],[h_Kode Sales :_1]])," ",Table1[[#This Row],[h_Kode Sales :_2]])</f>
        <v xml:space="preserve"> </v>
      </c>
      <c r="J86" s="288" t="str">
        <f>IF(Table1[[#This Row],[h_toko]]="","",INDEX(Table2[e],IF(Table1[[#This Row],[h_toko]]="","",MATCH(Table1[[#This Row],[h_toko]],Table2[a],0)),))</f>
        <v/>
      </c>
      <c r="O86" s="288" t="str">
        <f>IF(Table1[[#This Row],[h_Item Description]]="","",INDEX([1]!db[NB PAJAK],MATCH(Table1[[#This Row],[h_Item Description]],[1]!db[kode],0)))</f>
        <v/>
      </c>
      <c r="Q86" s="284"/>
      <c r="R86" s="285"/>
      <c r="T86" s="284" t="str">
        <f>Table1[[#This Row],[h_hargasetelahdiskon]]</f>
        <v/>
      </c>
      <c r="W86" s="288" t="str">
        <f ca="1">IF(Table1[[#This Row],[Item Description]]="","",IF(Table1[[#This Row],[//]]="",INDIRECT(ADDRESS(ROW()-1,COLUMN())),Table1[[#This Row],[//]]))</f>
        <v/>
      </c>
      <c r="X86" s="288" t="str">
        <f ca="1">IF(Table1[[#This Row],[h_id]]="","",COUNTIF(Table1[h_id],Table1[[#This Row],[h_id]]))</f>
        <v/>
      </c>
      <c r="Y86" s="284" t="str">
        <f>IF(Table1[Item Description]="","",Table1[[#This Row],[Qty]]*Table1[[#This Row],[Unit Price]])</f>
        <v/>
      </c>
      <c r="Z86" s="284" t="str">
        <f>IF(Table1[[#This Row],[h_hargasebelumdiskon]]="","",IF(Table1[[#This Row],[Disc 1]]="",0,Table1[[#This Row],[h_hargasebelumdiskon]]*Table1[[#This Row],[Disc 1]]))</f>
        <v/>
      </c>
      <c r="AA86" s="284" t="str">
        <f>IF(Table1[[#This Row],[h_hargasebelumdiskon]]="","",IF(Table1[[#This Row],[Disc 2]]="",0,(Table1[[#This Row],[h_hargasebelumdiskon]]-Table1[[#This Row],[h_disc 1]])*Table1[[#This Row],[Disc 2]]))</f>
        <v/>
      </c>
      <c r="AB86" s="284" t="str">
        <f>IF(Table1[Item Description]="","",Table1[[#This Row],[h_disc 1]]+Table1[[#This Row],[h_disc 2]])</f>
        <v/>
      </c>
      <c r="AC86" s="284" t="str">
        <f>IF(Table1[Item Description]="","",Table1[[#This Row],[h_hargasebelumdiskon]]-Table1[[#This Row],[h_diskon]])</f>
        <v/>
      </c>
      <c r="AD86" s="284" t="str">
        <f ca="1">IF(Table1[//]="","",SUMIF(Table1[h_id],Table1[h_id],Table1[h_hargasetelahdiskon]))</f>
        <v/>
      </c>
      <c r="AE86" s="284"/>
      <c r="AF86" s="284" t="str">
        <f>Table1[[#This Row],[Item Description]]&amp;Table1[[#This Row],[Unit]]&amp;Table1[[#This Row],[Unit Price]]</f>
        <v/>
      </c>
    </row>
    <row r="87" spans="1:32" x14ac:dyDescent="0.25">
      <c r="A87" s="288">
        <f ca="1">IF(Table1[[#This Row],[No. Invoice :]]="","",ROW())</f>
        <v>87</v>
      </c>
      <c r="B87" s="288">
        <f ca="1">IF(Table1[h_Kode Sales :_1]="","",B$1+COUNT(INDIRECT("B$2:B"&amp;ROW()-1)))</f>
        <v>23070024</v>
      </c>
      <c r="C87" s="282">
        <f>IF(Table1[[#This Row],[H_TGL]]="","",Table1[[#This Row],[H_TGL]]+C$1-1)</f>
        <v>45122</v>
      </c>
      <c r="D87" s="293">
        <v>15</v>
      </c>
      <c r="E87" s="281" t="s">
        <v>129</v>
      </c>
      <c r="F87" s="283" t="s">
        <v>268</v>
      </c>
      <c r="G87" s="281" t="s">
        <v>92</v>
      </c>
      <c r="H87" s="288" t="str">
        <f ca="1">IF(Table1[[#This Row],[h_No. Invoice :]]="","",CONCATENATE("AM"," ",Table1[[#This Row],[h_No. Invoice :]]))</f>
        <v>AM 23070024</v>
      </c>
      <c r="I87" s="289" t="str">
        <f>CONCATENATE(UPPER(Table1[[#This Row],[h_Kode Sales :_1]])," ",Table1[[#This Row],[h_Kode Sales :_2]])</f>
        <v>G 4964</v>
      </c>
      <c r="J87" s="288" t="str">
        <f>IF(Table1[[#This Row],[h_toko]]="","",INDEX(Table2[e],IF(Table1[[#This Row],[h_toko]]="","",MATCH(Table1[[#This Row],[h_toko]],Table2[a],0)),))</f>
        <v>CV UTAMA PUTRA TULUNG AGUNG</v>
      </c>
      <c r="K87" s="281">
        <v>144</v>
      </c>
      <c r="L87" s="281" t="s">
        <v>142</v>
      </c>
      <c r="M87" s="281">
        <v>1</v>
      </c>
      <c r="N87" s="281" t="s">
        <v>143</v>
      </c>
      <c r="O87" s="288" t="str">
        <f>IF(Table1[[#This Row],[h_Item Description]]="","",INDEX([1]!db[NB PAJAK],MATCH(Table1[[#This Row],[h_Item Description]],[1]!db[kode],0)))</f>
        <v>GEL PEN KENKO KE-303 T-GEL TRIANGULAR</v>
      </c>
      <c r="P87" s="281" t="s">
        <v>269</v>
      </c>
      <c r="Q87" s="284">
        <v>21600</v>
      </c>
      <c r="R87" s="285">
        <v>0.125</v>
      </c>
      <c r="T87" s="284">
        <f>Table1[[#This Row],[h_hargasetelahdiskon]]</f>
        <v>2721600</v>
      </c>
      <c r="U87" s="284" t="s">
        <v>149</v>
      </c>
      <c r="W87" s="288">
        <f ca="1">IF(Table1[[#This Row],[Item Description]]="","",IF(Table1[[#This Row],[//]]="",INDIRECT(ADDRESS(ROW()-1,COLUMN())),Table1[[#This Row],[//]]))</f>
        <v>87</v>
      </c>
      <c r="X87" s="288">
        <f ca="1">IF(Table1[[#This Row],[h_id]]="","",COUNTIF(Table1[h_id],Table1[[#This Row],[h_id]]))</f>
        <v>1</v>
      </c>
      <c r="Y87" s="284">
        <f>IF(Table1[Item Description]="","",Table1[[#This Row],[Qty]]*Table1[[#This Row],[Unit Price]])</f>
        <v>3110400</v>
      </c>
      <c r="Z87" s="284">
        <f>IF(Table1[[#This Row],[h_hargasebelumdiskon]]="","",IF(Table1[[#This Row],[Disc 1]]="",0,Table1[[#This Row],[h_hargasebelumdiskon]]*Table1[[#This Row],[Disc 1]]))</f>
        <v>388800</v>
      </c>
      <c r="AA87" s="284">
        <f>IF(Table1[[#This Row],[h_hargasebelumdiskon]]="","",IF(Table1[[#This Row],[Disc 2]]="",0,(Table1[[#This Row],[h_hargasebelumdiskon]]-Table1[[#This Row],[h_disc 1]])*Table1[[#This Row],[Disc 2]]))</f>
        <v>0</v>
      </c>
      <c r="AB87" s="284">
        <f>IF(Table1[Item Description]="","",Table1[[#This Row],[h_disc 1]]+Table1[[#This Row],[h_disc 2]])</f>
        <v>388800</v>
      </c>
      <c r="AC87" s="284">
        <f>IF(Table1[Item Description]="","",Table1[[#This Row],[h_hargasebelumdiskon]]-Table1[[#This Row],[h_diskon]])</f>
        <v>2721600</v>
      </c>
      <c r="AD87" s="284">
        <f ca="1">IF(Table1[//]="","",SUMIF(Table1[h_id],Table1[h_id],Table1[h_hargasetelahdiskon]))</f>
        <v>2721600</v>
      </c>
      <c r="AE87" s="284"/>
      <c r="AF87" s="284" t="str">
        <f>Table1[[#This Row],[Item Description]]&amp;Table1[[#This Row],[Unit]]&amp;Table1[[#This Row],[Unit Price]]</f>
        <v>GEL PEN KENKO KE-303 T-GEL TRIANGULAR BIRULSN21600</v>
      </c>
    </row>
    <row r="88" spans="1:32" x14ac:dyDescent="0.25">
      <c r="A88" s="288" t="str">
        <f ca="1">IF(Table1[[#This Row],[No. Invoice :]]="","",ROW())</f>
        <v/>
      </c>
      <c r="B88" s="288" t="str">
        <f ca="1">IF(Table1[h_Kode Sales :_1]="","",B$1+COUNT(INDIRECT("B$2:B"&amp;ROW()-1)))</f>
        <v/>
      </c>
      <c r="C88" s="282" t="str">
        <f>IF(Table1[[#This Row],[H_TGL]]="","",Table1[[#This Row],[H_TGL]]+C$1-1)</f>
        <v/>
      </c>
      <c r="H88" s="288" t="str">
        <f ca="1">IF(Table1[[#This Row],[h_No. Invoice :]]="","",CONCATENATE("AM"," ",Table1[[#This Row],[h_No. Invoice :]]))</f>
        <v/>
      </c>
      <c r="I88" s="289" t="str">
        <f>CONCATENATE(UPPER(Table1[[#This Row],[h_Kode Sales :_1]])," ",Table1[[#This Row],[h_Kode Sales :_2]])</f>
        <v xml:space="preserve"> </v>
      </c>
      <c r="J88" s="288" t="str">
        <f>IF(Table1[[#This Row],[h_toko]]="","",INDEX(Table2[e],IF(Table1[[#This Row],[h_toko]]="","",MATCH(Table1[[#This Row],[h_toko]],Table2[a],0)),))</f>
        <v/>
      </c>
      <c r="O88" s="288" t="str">
        <f>IF(Table1[[#This Row],[h_Item Description]]="","",INDEX([1]!db[NB PAJAK],MATCH(Table1[[#This Row],[h_Item Description]],[1]!db[kode],0)))</f>
        <v/>
      </c>
      <c r="Q88" s="284"/>
      <c r="R88" s="285"/>
      <c r="T88" s="284" t="str">
        <f>Table1[[#This Row],[h_hargasetelahdiskon]]</f>
        <v/>
      </c>
      <c r="W88" s="288" t="str">
        <f ca="1">IF(Table1[[#This Row],[Item Description]]="","",IF(Table1[[#This Row],[//]]="",INDIRECT(ADDRESS(ROW()-1,COLUMN())),Table1[[#This Row],[//]]))</f>
        <v/>
      </c>
      <c r="X88" s="288" t="str">
        <f ca="1">IF(Table1[[#This Row],[h_id]]="","",COUNTIF(Table1[h_id],Table1[[#This Row],[h_id]]))</f>
        <v/>
      </c>
      <c r="Y88" s="284" t="str">
        <f>IF(Table1[Item Description]="","",Table1[[#This Row],[Qty]]*Table1[[#This Row],[Unit Price]])</f>
        <v/>
      </c>
      <c r="Z88" s="284" t="str">
        <f>IF(Table1[[#This Row],[h_hargasebelumdiskon]]="","",IF(Table1[[#This Row],[Disc 1]]="",0,Table1[[#This Row],[h_hargasebelumdiskon]]*Table1[[#This Row],[Disc 1]]))</f>
        <v/>
      </c>
      <c r="AA88" s="284" t="str">
        <f>IF(Table1[[#This Row],[h_hargasebelumdiskon]]="","",IF(Table1[[#This Row],[Disc 2]]="",0,(Table1[[#This Row],[h_hargasebelumdiskon]]-Table1[[#This Row],[h_disc 1]])*Table1[[#This Row],[Disc 2]]))</f>
        <v/>
      </c>
      <c r="AB88" s="284" t="str">
        <f>IF(Table1[Item Description]="","",Table1[[#This Row],[h_disc 1]]+Table1[[#This Row],[h_disc 2]])</f>
        <v/>
      </c>
      <c r="AC88" s="284" t="str">
        <f>IF(Table1[Item Description]="","",Table1[[#This Row],[h_hargasebelumdiskon]]-Table1[[#This Row],[h_diskon]])</f>
        <v/>
      </c>
      <c r="AD88" s="284" t="str">
        <f ca="1">IF(Table1[//]="","",SUMIF(Table1[h_id],Table1[h_id],Table1[h_hargasetelahdiskon]))</f>
        <v/>
      </c>
      <c r="AE88" s="284"/>
      <c r="AF88" s="284" t="str">
        <f>Table1[[#This Row],[Item Description]]&amp;Table1[[#This Row],[Unit]]&amp;Table1[[#This Row],[Unit Price]]</f>
        <v/>
      </c>
    </row>
    <row r="89" spans="1:32" x14ac:dyDescent="0.25">
      <c r="A89" s="288">
        <f ca="1">IF(Table1[[#This Row],[No. Invoice :]]="","",ROW())</f>
        <v>89</v>
      </c>
      <c r="B89" s="288">
        <f ca="1">IF(Table1[h_Kode Sales :_1]="","",B$1+COUNT(INDIRECT("B$2:B"&amp;ROW()-1)))</f>
        <v>23070025</v>
      </c>
      <c r="C89" s="282">
        <f>IF(Table1[[#This Row],[H_TGL]]="","",Table1[[#This Row],[H_TGL]]+C$1-1)</f>
        <v>45124</v>
      </c>
      <c r="D89" s="293">
        <v>17</v>
      </c>
      <c r="E89" s="281" t="s">
        <v>122</v>
      </c>
      <c r="F89" s="283" t="s">
        <v>289</v>
      </c>
      <c r="G89" s="281" t="s">
        <v>84</v>
      </c>
      <c r="H89" s="288" t="str">
        <f ca="1">IF(Table1[[#This Row],[h_No. Invoice :]]="","",CONCATENATE("AM"," ",Table1[[#This Row],[h_No. Invoice :]]))</f>
        <v>AM 23070025</v>
      </c>
      <c r="I89" s="289" t="str">
        <f>CONCATENATE(UPPER(Table1[[#This Row],[h_Kode Sales :_1]])," ",Table1[[#This Row],[h_Kode Sales :_2]])</f>
        <v>KO 4993</v>
      </c>
      <c r="J89" s="288" t="str">
        <f>IF(Table1[[#This Row],[h_toko]]="","",INDEX(Table2[e],IF(Table1[[#This Row],[h_toko]]="","",MATCH(Table1[[#This Row],[h_toko]],Table2[a],0)),))</f>
        <v>CV PELITA JAYA (ANUGERAH SEJAHTERA) PURWOKERTO</v>
      </c>
      <c r="K89" s="281">
        <v>20</v>
      </c>
      <c r="L89" s="281" t="s">
        <v>142</v>
      </c>
      <c r="M89" s="281">
        <v>1</v>
      </c>
      <c r="N89" s="281" t="s">
        <v>290</v>
      </c>
      <c r="O89" s="288" t="str">
        <f>IF(Table1[[#This Row],[h_Item Description]]="","",INDEX([1]!db[NB PAJAK],MATCH(Table1[[#This Row],[h_Item Description]],[1]!db[kode],0)))</f>
        <v>STAPLER SDI 1123</v>
      </c>
      <c r="P89" s="281" t="s">
        <v>291</v>
      </c>
      <c r="Q89" s="284">
        <v>300000</v>
      </c>
      <c r="R89" s="285">
        <v>0.125</v>
      </c>
      <c r="T89" s="284">
        <f>Table1[[#This Row],[h_hargasetelahdiskon]]</f>
        <v>5250000</v>
      </c>
      <c r="U89" s="284" t="s">
        <v>134</v>
      </c>
      <c r="W89" s="288">
        <f ca="1">IF(Table1[[#This Row],[Item Description]]="","",IF(Table1[[#This Row],[//]]="",INDIRECT(ADDRESS(ROW()-1,COLUMN())),Table1[[#This Row],[//]]))</f>
        <v>89</v>
      </c>
      <c r="X89" s="288">
        <f ca="1">IF(Table1[[#This Row],[h_id]]="","",COUNTIF(Table1[h_id],Table1[[#This Row],[h_id]]))</f>
        <v>2</v>
      </c>
      <c r="Y89" s="284">
        <f>IF(Table1[Item Description]="","",Table1[[#This Row],[Qty]]*Table1[[#This Row],[Unit Price]])</f>
        <v>6000000</v>
      </c>
      <c r="Z89" s="284">
        <f>IF(Table1[[#This Row],[h_hargasebelumdiskon]]="","",IF(Table1[[#This Row],[Disc 1]]="",0,Table1[[#This Row],[h_hargasebelumdiskon]]*Table1[[#This Row],[Disc 1]]))</f>
        <v>750000</v>
      </c>
      <c r="AA89" s="284">
        <f>IF(Table1[[#This Row],[h_hargasebelumdiskon]]="","",IF(Table1[[#This Row],[Disc 2]]="",0,(Table1[[#This Row],[h_hargasebelumdiskon]]-Table1[[#This Row],[h_disc 1]])*Table1[[#This Row],[Disc 2]]))</f>
        <v>0</v>
      </c>
      <c r="AB89" s="284">
        <f>IF(Table1[Item Description]="","",Table1[[#This Row],[h_disc 1]]+Table1[[#This Row],[h_disc 2]])</f>
        <v>750000</v>
      </c>
      <c r="AC89" s="284">
        <f>IF(Table1[Item Description]="","",Table1[[#This Row],[h_hargasebelumdiskon]]-Table1[[#This Row],[h_diskon]])</f>
        <v>5250000</v>
      </c>
      <c r="AD89" s="284">
        <f ca="1">IF(Table1[//]="","",SUMIF(Table1[h_id],Table1[h_id],Table1[h_hargasetelahdiskon]))</f>
        <v>8217300</v>
      </c>
      <c r="AE89" s="284"/>
      <c r="AF89" s="284" t="str">
        <f>Table1[[#This Row],[Item Description]]&amp;Table1[[#This Row],[Unit]]&amp;Table1[[#This Row],[Unit Price]]</f>
        <v>STAPLER SDI 1123LSN300000</v>
      </c>
    </row>
    <row r="90" spans="1:32" x14ac:dyDescent="0.25">
      <c r="A90" s="288" t="str">
        <f ca="1">IF(Table1[[#This Row],[No. Invoice :]]="","",ROW())</f>
        <v/>
      </c>
      <c r="B90" s="288" t="str">
        <f ca="1">IF(Table1[h_Kode Sales :_1]="","",B$1+COUNT(INDIRECT("B$2:B"&amp;ROW()-1)))</f>
        <v/>
      </c>
      <c r="C90" s="282" t="str">
        <f>IF(Table1[[#This Row],[H_TGL]]="","",Table1[[#This Row],[H_TGL]]+C$1-1)</f>
        <v/>
      </c>
      <c r="H90" s="288" t="str">
        <f ca="1">IF(Table1[[#This Row],[h_No. Invoice :]]="","",CONCATENATE("AM"," ",Table1[[#This Row],[h_No. Invoice :]]))</f>
        <v/>
      </c>
      <c r="I90" s="289" t="str">
        <f>CONCATENATE(UPPER(Table1[[#This Row],[h_Kode Sales :_1]])," ",Table1[[#This Row],[h_Kode Sales :_2]])</f>
        <v xml:space="preserve"> </v>
      </c>
      <c r="J90" s="288" t="str">
        <f>IF(Table1[[#This Row],[h_toko]]="","",INDEX(Table2[e],IF(Table1[[#This Row],[h_toko]]="","",MATCH(Table1[[#This Row],[h_toko]],Table2[a],0)),))</f>
        <v/>
      </c>
      <c r="K90" s="281">
        <v>72</v>
      </c>
      <c r="L90" s="281" t="s">
        <v>142</v>
      </c>
      <c r="M90" s="281">
        <v>1</v>
      </c>
      <c r="N90" s="281" t="s">
        <v>292</v>
      </c>
      <c r="O90" s="288" t="str">
        <f>IF(Table1[[#This Row],[h_Item Description]]="","",INDEX([1]!db[NB PAJAK],MATCH(Table1[[#This Row],[h_Item Description]],[1]!db[kode],0)))</f>
        <v>CORRECTION FLUID KENKO KE-108</v>
      </c>
      <c r="P90" s="281" t="s">
        <v>293</v>
      </c>
      <c r="Q90" s="284">
        <v>47100</v>
      </c>
      <c r="R90" s="285">
        <v>0.125</v>
      </c>
      <c r="T90" s="284">
        <f>Table1[[#This Row],[h_hargasetelahdiskon]]</f>
        <v>2967300</v>
      </c>
      <c r="W90" s="288">
        <f ca="1">IF(Table1[[#This Row],[Item Description]]="","",IF(Table1[[#This Row],[//]]="",INDIRECT(ADDRESS(ROW()-1,COLUMN())),Table1[[#This Row],[//]]))</f>
        <v>89</v>
      </c>
      <c r="X90" s="288">
        <f ca="1">IF(Table1[[#This Row],[h_id]]="","",COUNTIF(Table1[h_id],Table1[[#This Row],[h_id]]))</f>
        <v>2</v>
      </c>
      <c r="Y90" s="284">
        <f>IF(Table1[Item Description]="","",Table1[[#This Row],[Qty]]*Table1[[#This Row],[Unit Price]])</f>
        <v>3391200</v>
      </c>
      <c r="Z90" s="284">
        <f>IF(Table1[[#This Row],[h_hargasebelumdiskon]]="","",IF(Table1[[#This Row],[Disc 1]]="",0,Table1[[#This Row],[h_hargasebelumdiskon]]*Table1[[#This Row],[Disc 1]]))</f>
        <v>423900</v>
      </c>
      <c r="AA90" s="284">
        <f>IF(Table1[[#This Row],[h_hargasebelumdiskon]]="","",IF(Table1[[#This Row],[Disc 2]]="",0,(Table1[[#This Row],[h_hargasebelumdiskon]]-Table1[[#This Row],[h_disc 1]])*Table1[[#This Row],[Disc 2]]))</f>
        <v>0</v>
      </c>
      <c r="AB90" s="284">
        <f>IF(Table1[Item Description]="","",Table1[[#This Row],[h_disc 1]]+Table1[[#This Row],[h_disc 2]])</f>
        <v>423900</v>
      </c>
      <c r="AC90" s="284">
        <f>IF(Table1[Item Description]="","",Table1[[#This Row],[h_hargasebelumdiskon]]-Table1[[#This Row],[h_diskon]])</f>
        <v>2967300</v>
      </c>
      <c r="AD90" s="284" t="str">
        <f ca="1">IF(Table1[//]="","",SUMIF(Table1[h_id],Table1[h_id],Table1[h_hargasetelahdiskon]))</f>
        <v/>
      </c>
      <c r="AE90" s="284"/>
      <c r="AF90" s="284" t="str">
        <f>Table1[[#This Row],[Item Description]]&amp;Table1[[#This Row],[Unit]]&amp;Table1[[#This Row],[Unit Price]]</f>
        <v>CORRECTION FLUID KENKO KE-108LSN47100</v>
      </c>
    </row>
    <row r="91" spans="1:32" x14ac:dyDescent="0.25">
      <c r="A91" s="288" t="str">
        <f ca="1">IF(Table1[[#This Row],[No. Invoice :]]="","",ROW())</f>
        <v/>
      </c>
      <c r="B91" s="288" t="str">
        <f ca="1">IF(Table1[h_Kode Sales :_1]="","",B$1+COUNT(INDIRECT("B$2:B"&amp;ROW()-1)))</f>
        <v/>
      </c>
      <c r="C91" s="282" t="str">
        <f>IF(Table1[[#This Row],[H_TGL]]="","",Table1[[#This Row],[H_TGL]]+C$1-1)</f>
        <v/>
      </c>
      <c r="H91" s="288" t="str">
        <f ca="1">IF(Table1[[#This Row],[h_No. Invoice :]]="","",CONCATENATE("AM"," ",Table1[[#This Row],[h_No. Invoice :]]))</f>
        <v/>
      </c>
      <c r="I91" s="289" t="str">
        <f>CONCATENATE(UPPER(Table1[[#This Row],[h_Kode Sales :_1]])," ",Table1[[#This Row],[h_Kode Sales :_2]])</f>
        <v xml:space="preserve"> </v>
      </c>
      <c r="J91" s="288" t="str">
        <f>IF(Table1[[#This Row],[h_toko]]="","",INDEX(Table2[e],IF(Table1[[#This Row],[h_toko]]="","",MATCH(Table1[[#This Row],[h_toko]],Table2[a],0)),))</f>
        <v/>
      </c>
      <c r="O91" s="288" t="str">
        <f>IF(Table1[[#This Row],[h_Item Description]]="","",INDEX([1]!db[NB PAJAK],MATCH(Table1[[#This Row],[h_Item Description]],[1]!db[kode],0)))</f>
        <v/>
      </c>
      <c r="Q91" s="284"/>
      <c r="R91" s="285"/>
      <c r="T91" s="284" t="str">
        <f>Table1[[#This Row],[h_hargasetelahdiskon]]</f>
        <v/>
      </c>
      <c r="W91" s="288" t="str">
        <f ca="1">IF(Table1[[#This Row],[Item Description]]="","",IF(Table1[[#This Row],[//]]="",INDIRECT(ADDRESS(ROW()-1,COLUMN())),Table1[[#This Row],[//]]))</f>
        <v/>
      </c>
      <c r="X91" s="288" t="str">
        <f ca="1">IF(Table1[[#This Row],[h_id]]="","",COUNTIF(Table1[h_id],Table1[[#This Row],[h_id]]))</f>
        <v/>
      </c>
      <c r="Y91" s="284" t="str">
        <f>IF(Table1[Item Description]="","",Table1[[#This Row],[Qty]]*Table1[[#This Row],[Unit Price]])</f>
        <v/>
      </c>
      <c r="Z91" s="284" t="str">
        <f>IF(Table1[[#This Row],[h_hargasebelumdiskon]]="","",IF(Table1[[#This Row],[Disc 1]]="",0,Table1[[#This Row],[h_hargasebelumdiskon]]*Table1[[#This Row],[Disc 1]]))</f>
        <v/>
      </c>
      <c r="AA91" s="284" t="str">
        <f>IF(Table1[[#This Row],[h_hargasebelumdiskon]]="","",IF(Table1[[#This Row],[Disc 2]]="",0,(Table1[[#This Row],[h_hargasebelumdiskon]]-Table1[[#This Row],[h_disc 1]])*Table1[[#This Row],[Disc 2]]))</f>
        <v/>
      </c>
      <c r="AB91" s="284" t="str">
        <f>IF(Table1[Item Description]="","",Table1[[#This Row],[h_disc 1]]+Table1[[#This Row],[h_disc 2]])</f>
        <v/>
      </c>
      <c r="AC91" s="284" t="str">
        <f>IF(Table1[Item Description]="","",Table1[[#This Row],[h_hargasebelumdiskon]]-Table1[[#This Row],[h_diskon]])</f>
        <v/>
      </c>
      <c r="AD91" s="284" t="str">
        <f ca="1">IF(Table1[//]="","",SUMIF(Table1[h_id],Table1[h_id],Table1[h_hargasetelahdiskon]))</f>
        <v/>
      </c>
      <c r="AE91" s="284"/>
      <c r="AF91" s="284" t="str">
        <f>Table1[[#This Row],[Item Description]]&amp;Table1[[#This Row],[Unit]]&amp;Table1[[#This Row],[Unit Price]]</f>
        <v/>
      </c>
    </row>
    <row r="92" spans="1:32" x14ac:dyDescent="0.25">
      <c r="A92" s="288">
        <f ca="1">IF(Table1[[#This Row],[No. Invoice :]]="","",ROW())</f>
        <v>92</v>
      </c>
      <c r="B92" s="288">
        <f ca="1">IF(Table1[h_Kode Sales :_1]="","",B$1+COUNT(INDIRECT("B$2:B"&amp;ROW()-1)))</f>
        <v>23070026</v>
      </c>
      <c r="C92" s="282">
        <f>IF(Table1[[#This Row],[H_TGL]]="","",Table1[[#This Row],[H_TGL]]+C$1-1)</f>
        <v>45127</v>
      </c>
      <c r="D92" s="293">
        <v>20</v>
      </c>
      <c r="E92" s="281" t="s">
        <v>129</v>
      </c>
      <c r="F92" s="283" t="s">
        <v>270</v>
      </c>
      <c r="G92" s="281" t="s">
        <v>93</v>
      </c>
      <c r="H92" s="288" t="str">
        <f ca="1">IF(Table1[[#This Row],[h_No. Invoice :]]="","",CONCATENATE("AM"," ",Table1[[#This Row],[h_No. Invoice :]]))</f>
        <v>AM 23070026</v>
      </c>
      <c r="I92" s="289" t="str">
        <f>CONCATENATE(UPPER(Table1[[#This Row],[h_Kode Sales :_1]])," ",Table1[[#This Row],[h_Kode Sales :_2]])</f>
        <v>G 2378</v>
      </c>
      <c r="J92" s="288" t="str">
        <f>IF(Table1[[#This Row],[h_toko]]="","",INDEX(Table2[e],IF(Table1[[#This Row],[h_toko]]="","",MATCH(Table1[[#This Row],[h_toko]],Table2[a],0)),))</f>
        <v>LILY JULIAWATI (REJO AGUNG) JOMBANG</v>
      </c>
      <c r="K92" s="281">
        <v>300</v>
      </c>
      <c r="L92" s="281" t="s">
        <v>158</v>
      </c>
      <c r="M92" s="281">
        <v>10</v>
      </c>
      <c r="N92" s="281" t="s">
        <v>232</v>
      </c>
      <c r="O92" s="288" t="str">
        <f>IF(Table1[[#This Row],[h_Item Description]]="","",INDEX([1]!db[NB PAJAK],MATCH(Table1[[#This Row],[h_Item Description]],[1]!db[kode],0)))</f>
        <v>PENSIL JOYKO 2B P-88</v>
      </c>
      <c r="P92" s="281" t="s">
        <v>237</v>
      </c>
      <c r="Q92" s="284">
        <v>104400</v>
      </c>
      <c r="R92" s="285">
        <v>0.125</v>
      </c>
      <c r="T92" s="284">
        <f>Table1[[#This Row],[h_hargasetelahdiskon]]</f>
        <v>27405000</v>
      </c>
      <c r="U92" s="284" t="s">
        <v>149</v>
      </c>
      <c r="W92" s="288">
        <f ca="1">IF(Table1[[#This Row],[Item Description]]="","",IF(Table1[[#This Row],[//]]="",INDIRECT(ADDRESS(ROW()-1,COLUMN())),Table1[[#This Row],[//]]))</f>
        <v>92</v>
      </c>
      <c r="X92" s="288">
        <f ca="1">IF(Table1[[#This Row],[h_id]]="","",COUNTIF(Table1[h_id],Table1[[#This Row],[h_id]]))</f>
        <v>2</v>
      </c>
      <c r="Y92" s="284">
        <f>IF(Table1[Item Description]="","",Table1[[#This Row],[Qty]]*Table1[[#This Row],[Unit Price]])</f>
        <v>31320000</v>
      </c>
      <c r="Z92" s="284">
        <f>IF(Table1[[#This Row],[h_hargasebelumdiskon]]="","",IF(Table1[[#This Row],[Disc 1]]="",0,Table1[[#This Row],[h_hargasebelumdiskon]]*Table1[[#This Row],[Disc 1]]))</f>
        <v>3915000</v>
      </c>
      <c r="AA92" s="284">
        <f>IF(Table1[[#This Row],[h_hargasebelumdiskon]]="","",IF(Table1[[#This Row],[Disc 2]]="",0,(Table1[[#This Row],[h_hargasebelumdiskon]]-Table1[[#This Row],[h_disc 1]])*Table1[[#This Row],[Disc 2]]))</f>
        <v>0</v>
      </c>
      <c r="AB92" s="284">
        <f>IF(Table1[Item Description]="","",Table1[[#This Row],[h_disc 1]]+Table1[[#This Row],[h_disc 2]])</f>
        <v>3915000</v>
      </c>
      <c r="AC92" s="284">
        <f>IF(Table1[Item Description]="","",Table1[[#This Row],[h_hargasebelumdiskon]]-Table1[[#This Row],[h_diskon]])</f>
        <v>27405000</v>
      </c>
      <c r="AD92" s="284">
        <f ca="1">IF(Table1[//]="","",SUMIF(Table1[h_id],Table1[h_id],Table1[h_hargasetelahdiskon]))</f>
        <v>28113750</v>
      </c>
      <c r="AE92" s="284"/>
      <c r="AF92" s="284" t="str">
        <f>Table1[[#This Row],[Item Description]]&amp;Table1[[#This Row],[Unit]]&amp;Table1[[#This Row],[Unit Price]]</f>
        <v>PENSIL JOYKO 2B P-88GRS104400</v>
      </c>
    </row>
    <row r="93" spans="1:32" x14ac:dyDescent="0.25">
      <c r="A93" s="288" t="str">
        <f ca="1">IF(Table1[[#This Row],[No. Invoice :]]="","",ROW())</f>
        <v/>
      </c>
      <c r="B93" s="288" t="str">
        <f ca="1">IF(Table1[h_Kode Sales :_1]="","",B$1+COUNT(INDIRECT("B$2:B"&amp;ROW()-1)))</f>
        <v/>
      </c>
      <c r="C93" s="282" t="str">
        <f>IF(Table1[[#This Row],[H_TGL]]="","",Table1[[#This Row],[H_TGL]]+C$1-1)</f>
        <v/>
      </c>
      <c r="H93" s="288" t="str">
        <f ca="1">IF(Table1[[#This Row],[h_No. Invoice :]]="","",CONCATENATE("AM"," ",Table1[[#This Row],[h_No. Invoice :]]))</f>
        <v/>
      </c>
      <c r="I93" s="289" t="str">
        <f>CONCATENATE(UPPER(Table1[[#This Row],[h_Kode Sales :_1]])," ",Table1[[#This Row],[h_Kode Sales :_2]])</f>
        <v xml:space="preserve"> </v>
      </c>
      <c r="J93" s="288" t="str">
        <f>IF(Table1[[#This Row],[h_toko]]="","",INDEX(Table2[e],IF(Table1[[#This Row],[h_toko]]="","",MATCH(Table1[[#This Row],[h_toko]],Table2[a],0)),))</f>
        <v/>
      </c>
      <c r="K93" s="281">
        <v>20</v>
      </c>
      <c r="L93" s="281" t="s">
        <v>155</v>
      </c>
      <c r="M93" s="281">
        <v>1</v>
      </c>
      <c r="N93" s="281" t="s">
        <v>271</v>
      </c>
      <c r="O93" s="288" t="str">
        <f>IF(Table1[[#This Row],[h_Item Description]]="","",INDEX([1]!db[NB PAJAK],MATCH(Table1[[#This Row],[h_Item Description]],[1]!db[kode],0)))</f>
        <v>MESIN LABEL HARGA JOYKO MX-5500M (8 DIGITS, 1 LINE)</v>
      </c>
      <c r="P93" s="281" t="s">
        <v>272</v>
      </c>
      <c r="Q93" s="284">
        <v>40500</v>
      </c>
      <c r="R93" s="285">
        <v>0.125</v>
      </c>
      <c r="T93" s="284">
        <f>Table1[[#This Row],[h_hargasetelahdiskon]]</f>
        <v>708750</v>
      </c>
      <c r="W93" s="288">
        <f ca="1">IF(Table1[[#This Row],[Item Description]]="","",IF(Table1[[#This Row],[//]]="",INDIRECT(ADDRESS(ROW()-1,COLUMN())),Table1[[#This Row],[//]]))</f>
        <v>92</v>
      </c>
      <c r="X93" s="288">
        <f ca="1">IF(Table1[[#This Row],[h_id]]="","",COUNTIF(Table1[h_id],Table1[[#This Row],[h_id]]))</f>
        <v>2</v>
      </c>
      <c r="Y93" s="284">
        <f>IF(Table1[Item Description]="","",Table1[[#This Row],[Qty]]*Table1[[#This Row],[Unit Price]])</f>
        <v>810000</v>
      </c>
      <c r="Z93" s="284">
        <f>IF(Table1[[#This Row],[h_hargasebelumdiskon]]="","",IF(Table1[[#This Row],[Disc 1]]="",0,Table1[[#This Row],[h_hargasebelumdiskon]]*Table1[[#This Row],[Disc 1]]))</f>
        <v>101250</v>
      </c>
      <c r="AA93" s="284">
        <f>IF(Table1[[#This Row],[h_hargasebelumdiskon]]="","",IF(Table1[[#This Row],[Disc 2]]="",0,(Table1[[#This Row],[h_hargasebelumdiskon]]-Table1[[#This Row],[h_disc 1]])*Table1[[#This Row],[Disc 2]]))</f>
        <v>0</v>
      </c>
      <c r="AB93" s="284">
        <f>IF(Table1[Item Description]="","",Table1[[#This Row],[h_disc 1]]+Table1[[#This Row],[h_disc 2]])</f>
        <v>101250</v>
      </c>
      <c r="AC93" s="284">
        <f>IF(Table1[Item Description]="","",Table1[[#This Row],[h_hargasebelumdiskon]]-Table1[[#This Row],[h_diskon]])</f>
        <v>708750</v>
      </c>
      <c r="AD93" s="284" t="str">
        <f ca="1">IF(Table1[//]="","",SUMIF(Table1[h_id],Table1[h_id],Table1[h_hargasetelahdiskon]))</f>
        <v/>
      </c>
      <c r="AE93" s="284"/>
      <c r="AF93" s="284" t="str">
        <f>Table1[[#This Row],[Item Description]]&amp;Table1[[#This Row],[Unit]]&amp;Table1[[#This Row],[Unit Price]]</f>
        <v>MESIN LABEL HARGA JOYKO MX-5500M (8 DIGITS, 1 LINE)PCS40500</v>
      </c>
    </row>
    <row r="94" spans="1:32" x14ac:dyDescent="0.25">
      <c r="A94" s="288" t="str">
        <f ca="1">IF(Table1[[#This Row],[No. Invoice :]]="","",ROW())</f>
        <v/>
      </c>
      <c r="B94" s="288" t="str">
        <f ca="1">IF(Table1[h_Kode Sales :_1]="","",B$1+COUNT(INDIRECT("B$2:B"&amp;ROW()-1)))</f>
        <v/>
      </c>
      <c r="C94" s="282" t="str">
        <f>IF(Table1[[#This Row],[H_TGL]]="","",Table1[[#This Row],[H_TGL]]+C$1-1)</f>
        <v/>
      </c>
      <c r="H94" s="288" t="str">
        <f ca="1">IF(Table1[[#This Row],[h_No. Invoice :]]="","",CONCATENATE("AM"," ",Table1[[#This Row],[h_No. Invoice :]]))</f>
        <v/>
      </c>
      <c r="I94" s="289" t="str">
        <f>CONCATENATE(UPPER(Table1[[#This Row],[h_Kode Sales :_1]])," ",Table1[[#This Row],[h_Kode Sales :_2]])</f>
        <v xml:space="preserve"> </v>
      </c>
      <c r="J94" s="288" t="str">
        <f>IF(Table1[[#This Row],[h_toko]]="","",INDEX(Table2[e],IF(Table1[[#This Row],[h_toko]]="","",MATCH(Table1[[#This Row],[h_toko]],Table2[a],0)),))</f>
        <v/>
      </c>
      <c r="O94" s="288" t="str">
        <f>IF(Table1[[#This Row],[h_Item Description]]="","",INDEX([1]!db[NB PAJAK],MATCH(Table1[[#This Row],[h_Item Description]],[1]!db[kode],0)))</f>
        <v/>
      </c>
      <c r="Q94" s="284"/>
      <c r="R94" s="285"/>
      <c r="T94" s="284" t="str">
        <f>Table1[[#This Row],[h_hargasetelahdiskon]]</f>
        <v/>
      </c>
      <c r="W94" s="288" t="str">
        <f ca="1">IF(Table1[[#This Row],[Item Description]]="","",IF(Table1[[#This Row],[//]]="",INDIRECT(ADDRESS(ROW()-1,COLUMN())),Table1[[#This Row],[//]]))</f>
        <v/>
      </c>
      <c r="X94" s="288" t="str">
        <f ca="1">IF(Table1[[#This Row],[h_id]]="","",COUNTIF(Table1[h_id],Table1[[#This Row],[h_id]]))</f>
        <v/>
      </c>
      <c r="Y94" s="284" t="str">
        <f>IF(Table1[Item Description]="","",Table1[[#This Row],[Qty]]*Table1[[#This Row],[Unit Price]])</f>
        <v/>
      </c>
      <c r="Z94" s="284" t="str">
        <f>IF(Table1[[#This Row],[h_hargasebelumdiskon]]="","",IF(Table1[[#This Row],[Disc 1]]="",0,Table1[[#This Row],[h_hargasebelumdiskon]]*Table1[[#This Row],[Disc 1]]))</f>
        <v/>
      </c>
      <c r="AA94" s="284" t="str">
        <f>IF(Table1[[#This Row],[h_hargasebelumdiskon]]="","",IF(Table1[[#This Row],[Disc 2]]="",0,(Table1[[#This Row],[h_hargasebelumdiskon]]-Table1[[#This Row],[h_disc 1]])*Table1[[#This Row],[Disc 2]]))</f>
        <v/>
      </c>
      <c r="AB94" s="284" t="str">
        <f>IF(Table1[Item Description]="","",Table1[[#This Row],[h_disc 1]]+Table1[[#This Row],[h_disc 2]])</f>
        <v/>
      </c>
      <c r="AC94" s="284" t="str">
        <f>IF(Table1[Item Description]="","",Table1[[#This Row],[h_hargasebelumdiskon]]-Table1[[#This Row],[h_diskon]])</f>
        <v/>
      </c>
      <c r="AD94" s="284" t="str">
        <f ca="1">IF(Table1[//]="","",SUMIF(Table1[h_id],Table1[h_id],Table1[h_hargasetelahdiskon]))</f>
        <v/>
      </c>
      <c r="AE94" s="284"/>
      <c r="AF94" s="284" t="str">
        <f>Table1[[#This Row],[Item Description]]&amp;Table1[[#This Row],[Unit]]&amp;Table1[[#This Row],[Unit Price]]</f>
        <v/>
      </c>
    </row>
    <row r="95" spans="1:32" x14ac:dyDescent="0.25">
      <c r="A95" s="288">
        <f ca="1">IF(Table1[[#This Row],[No. Invoice :]]="","",ROW())</f>
        <v>95</v>
      </c>
      <c r="B95" s="288">
        <f ca="1">IF(Table1[h_Kode Sales :_1]="","",B$1+COUNT(INDIRECT("B$2:B"&amp;ROW()-1)))</f>
        <v>23070027</v>
      </c>
      <c r="C95" s="282">
        <f>IF(Table1[[#This Row],[H_TGL]]="","",Table1[[#This Row],[H_TGL]]+C$1-1)</f>
        <v>45127</v>
      </c>
      <c r="D95" s="293">
        <v>20</v>
      </c>
      <c r="E95" s="281" t="s">
        <v>122</v>
      </c>
      <c r="F95" s="283" t="s">
        <v>273</v>
      </c>
      <c r="G95" s="281" t="s">
        <v>94</v>
      </c>
      <c r="H95" s="288" t="str">
        <f ca="1">IF(Table1[[#This Row],[h_No. Invoice :]]="","",CONCATENATE("AM"," ",Table1[[#This Row],[h_No. Invoice :]]))</f>
        <v>AM 23070027</v>
      </c>
      <c r="I95" s="289" t="str">
        <f>CONCATENATE(UPPER(Table1[[#This Row],[h_Kode Sales :_1]])," ",Table1[[#This Row],[h_Kode Sales :_2]])</f>
        <v>KO 4835</v>
      </c>
      <c r="J95" s="288" t="str">
        <f>IF(Table1[[#This Row],[h_toko]]="","",INDEX(Table2[e],IF(Table1[[#This Row],[h_toko]]="","",MATCH(Table1[[#This Row],[h_toko]],Table2[a],0)),))</f>
        <v>CV LANCAR JAYA SENTOSA MALANG</v>
      </c>
      <c r="K95" s="281">
        <v>1200</v>
      </c>
      <c r="L95" s="281" t="s">
        <v>155</v>
      </c>
      <c r="M95" s="281">
        <v>5</v>
      </c>
      <c r="N95" s="281" t="s">
        <v>274</v>
      </c>
      <c r="O95" s="288" t="str">
        <f>IF(Table1[[#This Row],[h_Item Description]]="","",INDEX([1]!db[NB PAJAK],MATCH(Table1[[#This Row],[h_Item Description]],[1]!db[kode],0)))</f>
        <v>STAPLER JOYKO HD-10CL</v>
      </c>
      <c r="P95" s="281" t="s">
        <v>276</v>
      </c>
      <c r="Q95" s="284">
        <v>7000</v>
      </c>
      <c r="R95" s="285">
        <v>0.125</v>
      </c>
      <c r="T95" s="284">
        <f>Table1[[#This Row],[h_hargasetelahdiskon]]</f>
        <v>7350000</v>
      </c>
      <c r="U95" s="284" t="s">
        <v>149</v>
      </c>
      <c r="W95" s="288">
        <f ca="1">IF(Table1[[#This Row],[Item Description]]="","",IF(Table1[[#This Row],[//]]="",INDIRECT(ADDRESS(ROW()-1,COLUMN())),Table1[[#This Row],[//]]))</f>
        <v>95</v>
      </c>
      <c r="X95" s="288">
        <f ca="1">IF(Table1[[#This Row],[h_id]]="","",COUNTIF(Table1[h_id],Table1[[#This Row],[h_id]]))</f>
        <v>2</v>
      </c>
      <c r="Y95" s="284">
        <f>IF(Table1[Item Description]="","",Table1[[#This Row],[Qty]]*Table1[[#This Row],[Unit Price]])</f>
        <v>8400000</v>
      </c>
      <c r="Z95" s="284">
        <f>IF(Table1[[#This Row],[h_hargasebelumdiskon]]="","",IF(Table1[[#This Row],[Disc 1]]="",0,Table1[[#This Row],[h_hargasebelumdiskon]]*Table1[[#This Row],[Disc 1]]))</f>
        <v>1050000</v>
      </c>
      <c r="AA95" s="284">
        <f>IF(Table1[[#This Row],[h_hargasebelumdiskon]]="","",IF(Table1[[#This Row],[Disc 2]]="",0,(Table1[[#This Row],[h_hargasebelumdiskon]]-Table1[[#This Row],[h_disc 1]])*Table1[[#This Row],[Disc 2]]))</f>
        <v>0</v>
      </c>
      <c r="AB95" s="284">
        <f>IF(Table1[Item Description]="","",Table1[[#This Row],[h_disc 1]]+Table1[[#This Row],[h_disc 2]])</f>
        <v>1050000</v>
      </c>
      <c r="AC95" s="284">
        <f>IF(Table1[Item Description]="","",Table1[[#This Row],[h_hargasebelumdiskon]]-Table1[[#This Row],[h_diskon]])</f>
        <v>7350000</v>
      </c>
      <c r="AD95" s="284">
        <f ca="1">IF(Table1[//]="","",SUMIF(Table1[h_id],Table1[h_id],Table1[h_hargasetelahdiskon]))</f>
        <v>8578500</v>
      </c>
      <c r="AE95" s="284"/>
      <c r="AF95" s="284" t="str">
        <f>Table1[[#This Row],[Item Description]]&amp;Table1[[#This Row],[Unit]]&amp;Table1[[#This Row],[Unit Price]]</f>
        <v>STAPLER JOYKO HD-10CLPCS7000</v>
      </c>
    </row>
    <row r="96" spans="1:32" x14ac:dyDescent="0.25">
      <c r="A96" s="288" t="str">
        <f ca="1">IF(Table1[[#This Row],[No. Invoice :]]="","",ROW())</f>
        <v/>
      </c>
      <c r="B96" s="288" t="str">
        <f ca="1">IF(Table1[h_Kode Sales :_1]="","",B$1+COUNT(INDIRECT("B$2:B"&amp;ROW()-1)))</f>
        <v/>
      </c>
      <c r="C96" s="282" t="str">
        <f>IF(Table1[[#This Row],[H_TGL]]="","",Table1[[#This Row],[H_TGL]]+C$1-1)</f>
        <v/>
      </c>
      <c r="H96" s="288" t="str">
        <f ca="1">IF(Table1[[#This Row],[h_No. Invoice :]]="","",CONCATENATE("AM"," ",Table1[[#This Row],[h_No. Invoice :]]))</f>
        <v/>
      </c>
      <c r="I96" s="289" t="str">
        <f>CONCATENATE(UPPER(Table1[[#This Row],[h_Kode Sales :_1]])," ",Table1[[#This Row],[h_Kode Sales :_2]])</f>
        <v xml:space="preserve"> </v>
      </c>
      <c r="J96" s="288" t="str">
        <f>IF(Table1[[#This Row],[h_toko]]="","",INDEX(Table2[e],IF(Table1[[#This Row],[h_toko]]="","",MATCH(Table1[[#This Row],[h_toko]],Table2[a],0)),))</f>
        <v/>
      </c>
      <c r="K96" s="281">
        <v>144</v>
      </c>
      <c r="L96" s="281" t="s">
        <v>155</v>
      </c>
      <c r="M96" s="281">
        <v>1</v>
      </c>
      <c r="N96" s="281" t="s">
        <v>275</v>
      </c>
      <c r="O96" s="288" t="str">
        <f>IF(Table1[[#This Row],[h_Item Description]]="","",INDEX([1]!db[NB PAJAK],MATCH(Table1[[#This Row],[h_Item Description]],[1]!db[kode],0)))</f>
        <v>GUNTING JOYKO SC-848</v>
      </c>
      <c r="P96" s="281" t="s">
        <v>277</v>
      </c>
      <c r="Q96" s="284">
        <v>9750</v>
      </c>
      <c r="R96" s="285">
        <v>0.125</v>
      </c>
      <c r="T96" s="284">
        <f>Table1[[#This Row],[h_hargasetelahdiskon]]</f>
        <v>1228500</v>
      </c>
      <c r="W96" s="288">
        <f ca="1">IF(Table1[[#This Row],[Item Description]]="","",IF(Table1[[#This Row],[//]]="",INDIRECT(ADDRESS(ROW()-1,COLUMN())),Table1[[#This Row],[//]]))</f>
        <v>95</v>
      </c>
      <c r="X96" s="288">
        <f ca="1">IF(Table1[[#This Row],[h_id]]="","",COUNTIF(Table1[h_id],Table1[[#This Row],[h_id]]))</f>
        <v>2</v>
      </c>
      <c r="Y96" s="284">
        <f>IF(Table1[Item Description]="","",Table1[[#This Row],[Qty]]*Table1[[#This Row],[Unit Price]])</f>
        <v>1404000</v>
      </c>
      <c r="Z96" s="284">
        <f>IF(Table1[[#This Row],[h_hargasebelumdiskon]]="","",IF(Table1[[#This Row],[Disc 1]]="",0,Table1[[#This Row],[h_hargasebelumdiskon]]*Table1[[#This Row],[Disc 1]]))</f>
        <v>175500</v>
      </c>
      <c r="AA96" s="284">
        <f>IF(Table1[[#This Row],[h_hargasebelumdiskon]]="","",IF(Table1[[#This Row],[Disc 2]]="",0,(Table1[[#This Row],[h_hargasebelumdiskon]]-Table1[[#This Row],[h_disc 1]])*Table1[[#This Row],[Disc 2]]))</f>
        <v>0</v>
      </c>
      <c r="AB96" s="284">
        <f>IF(Table1[Item Description]="","",Table1[[#This Row],[h_disc 1]]+Table1[[#This Row],[h_disc 2]])</f>
        <v>175500</v>
      </c>
      <c r="AC96" s="284">
        <f>IF(Table1[Item Description]="","",Table1[[#This Row],[h_hargasebelumdiskon]]-Table1[[#This Row],[h_diskon]])</f>
        <v>1228500</v>
      </c>
      <c r="AD96" s="284" t="str">
        <f ca="1">IF(Table1[//]="","",SUMIF(Table1[h_id],Table1[h_id],Table1[h_hargasetelahdiskon]))</f>
        <v/>
      </c>
      <c r="AE96" s="284"/>
      <c r="AF96" s="284" t="str">
        <f>Table1[[#This Row],[Item Description]]&amp;Table1[[#This Row],[Unit]]&amp;Table1[[#This Row],[Unit Price]]</f>
        <v>GUNTING JOYKO SC-848PCS9750</v>
      </c>
    </row>
    <row r="97" spans="1:32" x14ac:dyDescent="0.25">
      <c r="A97" s="288" t="str">
        <f ca="1">IF(Table1[[#This Row],[No. Invoice :]]="","",ROW())</f>
        <v/>
      </c>
      <c r="B97" s="288" t="str">
        <f ca="1">IF(Table1[h_Kode Sales :_1]="","",B$1+COUNT(INDIRECT("B$2:B"&amp;ROW()-1)))</f>
        <v/>
      </c>
      <c r="C97" s="282" t="str">
        <f>IF(Table1[[#This Row],[H_TGL]]="","",Table1[[#This Row],[H_TGL]]+C$1-1)</f>
        <v/>
      </c>
      <c r="H97" s="288" t="str">
        <f ca="1">IF(Table1[[#This Row],[h_No. Invoice :]]="","",CONCATENATE("AM"," ",Table1[[#This Row],[h_No. Invoice :]]))</f>
        <v/>
      </c>
      <c r="I97" s="289" t="str">
        <f>CONCATENATE(UPPER(Table1[[#This Row],[h_Kode Sales :_1]])," ",Table1[[#This Row],[h_Kode Sales :_2]])</f>
        <v xml:space="preserve"> </v>
      </c>
      <c r="J97" s="288" t="str">
        <f>IF(Table1[[#This Row],[h_toko]]="","",INDEX(Table2[e],IF(Table1[[#This Row],[h_toko]]="","",MATCH(Table1[[#This Row],[h_toko]],Table2[a],0)),))</f>
        <v/>
      </c>
      <c r="O97" s="288" t="str">
        <f>IF(Table1[[#This Row],[h_Item Description]]="","",INDEX([1]!db[NB PAJAK],MATCH(Table1[[#This Row],[h_Item Description]],[1]!db[kode],0)))</f>
        <v/>
      </c>
      <c r="Q97" s="284"/>
      <c r="R97" s="285"/>
      <c r="T97" s="284" t="str">
        <f>Table1[[#This Row],[h_hargasetelahdiskon]]</f>
        <v/>
      </c>
      <c r="W97" s="288" t="str">
        <f ca="1">IF(Table1[[#This Row],[Item Description]]="","",IF(Table1[[#This Row],[//]]="",INDIRECT(ADDRESS(ROW()-1,COLUMN())),Table1[[#This Row],[//]]))</f>
        <v/>
      </c>
      <c r="X97" s="288" t="str">
        <f ca="1">IF(Table1[[#This Row],[h_id]]="","",COUNTIF(Table1[h_id],Table1[[#This Row],[h_id]]))</f>
        <v/>
      </c>
      <c r="Y97" s="284" t="str">
        <f>IF(Table1[Item Description]="","",Table1[[#This Row],[Qty]]*Table1[[#This Row],[Unit Price]])</f>
        <v/>
      </c>
      <c r="Z97" s="284" t="str">
        <f>IF(Table1[[#This Row],[h_hargasebelumdiskon]]="","",IF(Table1[[#This Row],[Disc 1]]="",0,Table1[[#This Row],[h_hargasebelumdiskon]]*Table1[[#This Row],[Disc 1]]))</f>
        <v/>
      </c>
      <c r="AA97" s="284" t="str">
        <f>IF(Table1[[#This Row],[h_hargasebelumdiskon]]="","",IF(Table1[[#This Row],[Disc 2]]="",0,(Table1[[#This Row],[h_hargasebelumdiskon]]-Table1[[#This Row],[h_disc 1]])*Table1[[#This Row],[Disc 2]]))</f>
        <v/>
      </c>
      <c r="AB97" s="284" t="str">
        <f>IF(Table1[Item Description]="","",Table1[[#This Row],[h_disc 1]]+Table1[[#This Row],[h_disc 2]])</f>
        <v/>
      </c>
      <c r="AC97" s="284" t="str">
        <f>IF(Table1[Item Description]="","",Table1[[#This Row],[h_hargasebelumdiskon]]-Table1[[#This Row],[h_diskon]])</f>
        <v/>
      </c>
      <c r="AD97" s="284" t="str">
        <f ca="1">IF(Table1[//]="","",SUMIF(Table1[h_id],Table1[h_id],Table1[h_hargasetelahdiskon]))</f>
        <v/>
      </c>
      <c r="AE97" s="284"/>
      <c r="AF97" s="284" t="str">
        <f>Table1[[#This Row],[Item Description]]&amp;Table1[[#This Row],[Unit]]&amp;Table1[[#This Row],[Unit Price]]</f>
        <v/>
      </c>
    </row>
    <row r="98" spans="1:32" x14ac:dyDescent="0.25">
      <c r="A98" s="288">
        <f ca="1">IF(Table1[[#This Row],[No. Invoice :]]="","",ROW())</f>
        <v>98</v>
      </c>
      <c r="B98" s="288">
        <f ca="1">IF(Table1[h_Kode Sales :_1]="","",B$1+COUNT(INDIRECT("B$2:B"&amp;ROW()-1)))</f>
        <v>23070028</v>
      </c>
      <c r="C98" s="282">
        <f>IF(Table1[[#This Row],[H_TGL]]="","",Table1[[#This Row],[H_TGL]]+C$1-1)</f>
        <v>45128</v>
      </c>
      <c r="D98" s="293">
        <v>21</v>
      </c>
      <c r="E98" s="281" t="s">
        <v>122</v>
      </c>
      <c r="F98" s="283" t="s">
        <v>278</v>
      </c>
      <c r="G98" s="281" t="s">
        <v>84</v>
      </c>
      <c r="H98" s="288" t="str">
        <f ca="1">IF(Table1[[#This Row],[h_No. Invoice :]]="","",CONCATENATE("AM"," ",Table1[[#This Row],[h_No. Invoice :]]))</f>
        <v>AM 23070028</v>
      </c>
      <c r="I98" s="289" t="str">
        <f>CONCATENATE(UPPER(Table1[[#This Row],[h_Kode Sales :_1]])," ",Table1[[#This Row],[h_Kode Sales :_2]])</f>
        <v>KO 2380</v>
      </c>
      <c r="J98" s="288" t="str">
        <f>IF(Table1[[#This Row],[h_toko]]="","",INDEX(Table2[e],IF(Table1[[#This Row],[h_toko]]="","",MATCH(Table1[[#This Row],[h_toko]],Table2[a],0)),))</f>
        <v>CV PELITA JAYA (ANUGERAH SEJAHTERA) PURWOKERTO</v>
      </c>
      <c r="K98" s="281">
        <v>20</v>
      </c>
      <c r="L98" s="281" t="s">
        <v>142</v>
      </c>
      <c r="M98" s="281">
        <v>2</v>
      </c>
      <c r="N98" s="281" t="s">
        <v>171</v>
      </c>
      <c r="O98" s="288" t="str">
        <f>IF(Table1[[#This Row],[h_Item Description]]="","",INDEX([1]!db[NB PAJAK],MATCH(Table1[[#This Row],[h_Item Description]],[1]!db[kode],0)))</f>
        <v>STAPLER KENKO HD-50</v>
      </c>
      <c r="P98" s="281" t="s">
        <v>175</v>
      </c>
      <c r="Q98" s="284">
        <v>228000</v>
      </c>
      <c r="R98" s="285">
        <v>0.13500000000000001</v>
      </c>
      <c r="T98" s="284">
        <f>Table1[[#This Row],[h_hargasetelahdiskon]]</f>
        <v>3944400</v>
      </c>
      <c r="U98" s="284" t="s">
        <v>149</v>
      </c>
      <c r="W98" s="288">
        <f ca="1">IF(Table1[[#This Row],[Item Description]]="","",IF(Table1[[#This Row],[//]]="",INDIRECT(ADDRESS(ROW()-1,COLUMN())),Table1[[#This Row],[//]]))</f>
        <v>98</v>
      </c>
      <c r="X98" s="288">
        <f ca="1">IF(Table1[[#This Row],[h_id]]="","",COUNTIF(Table1[h_id],Table1[[#This Row],[h_id]]))</f>
        <v>1</v>
      </c>
      <c r="Y98" s="284">
        <f>IF(Table1[Item Description]="","",Table1[[#This Row],[Qty]]*Table1[[#This Row],[Unit Price]])</f>
        <v>4560000</v>
      </c>
      <c r="Z98" s="284">
        <f>IF(Table1[[#This Row],[h_hargasebelumdiskon]]="","",IF(Table1[[#This Row],[Disc 1]]="",0,Table1[[#This Row],[h_hargasebelumdiskon]]*Table1[[#This Row],[Disc 1]]))</f>
        <v>615600</v>
      </c>
      <c r="AA98" s="284">
        <f>IF(Table1[[#This Row],[h_hargasebelumdiskon]]="","",IF(Table1[[#This Row],[Disc 2]]="",0,(Table1[[#This Row],[h_hargasebelumdiskon]]-Table1[[#This Row],[h_disc 1]])*Table1[[#This Row],[Disc 2]]))</f>
        <v>0</v>
      </c>
      <c r="AB98" s="284">
        <f>IF(Table1[Item Description]="","",Table1[[#This Row],[h_disc 1]]+Table1[[#This Row],[h_disc 2]])</f>
        <v>615600</v>
      </c>
      <c r="AC98" s="284">
        <f>IF(Table1[Item Description]="","",Table1[[#This Row],[h_hargasebelumdiskon]]-Table1[[#This Row],[h_diskon]])</f>
        <v>3944400</v>
      </c>
      <c r="AD98" s="284">
        <f ca="1">IF(Table1[//]="","",SUMIF(Table1[h_id],Table1[h_id],Table1[h_hargasetelahdiskon]))</f>
        <v>3944400</v>
      </c>
      <c r="AE98" s="284"/>
      <c r="AF98" s="284" t="str">
        <f>Table1[[#This Row],[Item Description]]&amp;Table1[[#This Row],[Unit]]&amp;Table1[[#This Row],[Unit Price]]</f>
        <v>STAPLER KENKO HD-50LSN228000</v>
      </c>
    </row>
    <row r="99" spans="1:32" x14ac:dyDescent="0.25">
      <c r="A99" s="288" t="str">
        <f ca="1">IF(Table1[[#This Row],[No. Invoice :]]="","",ROW())</f>
        <v/>
      </c>
      <c r="B99" s="288" t="str">
        <f ca="1">IF(Table1[h_Kode Sales :_1]="","",B$1+COUNT(INDIRECT("B$2:B"&amp;ROW()-1)))</f>
        <v/>
      </c>
      <c r="C99" s="282" t="str">
        <f>IF(Table1[[#This Row],[H_TGL]]="","",Table1[[#This Row],[H_TGL]]+C$1-1)</f>
        <v/>
      </c>
      <c r="H99" s="288" t="str">
        <f ca="1">IF(Table1[[#This Row],[h_No. Invoice :]]="","",CONCATENATE("AM"," ",Table1[[#This Row],[h_No. Invoice :]]))</f>
        <v/>
      </c>
      <c r="I99" s="289" t="str">
        <f>CONCATENATE(UPPER(Table1[[#This Row],[h_Kode Sales :_1]])," ",Table1[[#This Row],[h_Kode Sales :_2]])</f>
        <v xml:space="preserve"> </v>
      </c>
      <c r="J99" s="288" t="str">
        <f>IF(Table1[[#This Row],[h_toko]]="","",INDEX(Table2[e],IF(Table1[[#This Row],[h_toko]]="","",MATCH(Table1[[#This Row],[h_toko]],Table2[a],0)),))</f>
        <v/>
      </c>
      <c r="O99" s="288" t="str">
        <f>IF(Table1[[#This Row],[h_Item Description]]="","",INDEX([1]!db[NB PAJAK],MATCH(Table1[[#This Row],[h_Item Description]],[1]!db[kode],0)))</f>
        <v/>
      </c>
      <c r="Q99" s="284"/>
      <c r="R99" s="285"/>
      <c r="T99" s="284" t="str">
        <f>Table1[[#This Row],[h_hargasetelahdiskon]]</f>
        <v/>
      </c>
      <c r="W99" s="288" t="str">
        <f ca="1">IF(Table1[[#This Row],[Item Description]]="","",IF(Table1[[#This Row],[//]]="",INDIRECT(ADDRESS(ROW()-1,COLUMN())),Table1[[#This Row],[//]]))</f>
        <v/>
      </c>
      <c r="X99" s="288" t="str">
        <f ca="1">IF(Table1[[#This Row],[h_id]]="","",COUNTIF(Table1[h_id],Table1[[#This Row],[h_id]]))</f>
        <v/>
      </c>
      <c r="Y99" s="284" t="str">
        <f>IF(Table1[Item Description]="","",Table1[[#This Row],[Qty]]*Table1[[#This Row],[Unit Price]])</f>
        <v/>
      </c>
      <c r="Z99" s="284" t="str">
        <f>IF(Table1[[#This Row],[h_hargasebelumdiskon]]="","",IF(Table1[[#This Row],[Disc 1]]="",0,Table1[[#This Row],[h_hargasebelumdiskon]]*Table1[[#This Row],[Disc 1]]))</f>
        <v/>
      </c>
      <c r="AA99" s="284" t="str">
        <f>IF(Table1[[#This Row],[h_hargasebelumdiskon]]="","",IF(Table1[[#This Row],[Disc 2]]="",0,(Table1[[#This Row],[h_hargasebelumdiskon]]-Table1[[#This Row],[h_disc 1]])*Table1[[#This Row],[Disc 2]]))</f>
        <v/>
      </c>
      <c r="AB99" s="284" t="str">
        <f>IF(Table1[Item Description]="","",Table1[[#This Row],[h_disc 1]]+Table1[[#This Row],[h_disc 2]])</f>
        <v/>
      </c>
      <c r="AC99" s="284" t="str">
        <f>IF(Table1[Item Description]="","",Table1[[#This Row],[h_hargasebelumdiskon]]-Table1[[#This Row],[h_diskon]])</f>
        <v/>
      </c>
      <c r="AD99" s="284" t="str">
        <f ca="1">IF(Table1[//]="","",SUMIF(Table1[h_id],Table1[h_id],Table1[h_hargasetelahdiskon]))</f>
        <v/>
      </c>
      <c r="AE99" s="284"/>
      <c r="AF99" s="284" t="str">
        <f>Table1[[#This Row],[Item Description]]&amp;Table1[[#This Row],[Unit]]&amp;Table1[[#This Row],[Unit Price]]</f>
        <v/>
      </c>
    </row>
    <row r="100" spans="1:32" x14ac:dyDescent="0.25">
      <c r="A100" s="288">
        <f ca="1">IF(Table1[[#This Row],[No. Invoice :]]="","",ROW())</f>
        <v>100</v>
      </c>
      <c r="B100" s="288">
        <f ca="1">IF(Table1[h_Kode Sales :_1]="","",B$1+COUNT(INDIRECT("B$2:B"&amp;ROW()-1)))</f>
        <v>23070029</v>
      </c>
      <c r="C100" s="282">
        <f>IF(Table1[[#This Row],[H_TGL]]="","",Table1[[#This Row],[H_TGL]]+C$1-1)</f>
        <v>45129</v>
      </c>
      <c r="D100" s="293">
        <v>22</v>
      </c>
      <c r="E100" s="281" t="s">
        <v>122</v>
      </c>
      <c r="F100" s="283" t="s">
        <v>284</v>
      </c>
      <c r="G100" s="281" t="s">
        <v>70</v>
      </c>
      <c r="H100" s="288" t="str">
        <f ca="1">IF(Table1[[#This Row],[h_No. Invoice :]]="","",CONCATENATE("AM"," ",Table1[[#This Row],[h_No. Invoice :]]))</f>
        <v>AM 23070029</v>
      </c>
      <c r="I100" s="289" t="str">
        <f>CONCATENATE(UPPER(Table1[[#This Row],[h_Kode Sales :_1]])," ",Table1[[#This Row],[h_Kode Sales :_2]])</f>
        <v>KO 2388</v>
      </c>
      <c r="J100" s="288" t="str">
        <f>IF(Table1[[#This Row],[h_toko]]="","",INDEX(Table2[e],IF(Table1[[#This Row],[h_toko]]="","",MATCH(Table1[[#This Row],[h_toko]],Table2[a],0)),))</f>
        <v>HARNOYO (BENDAN) PEKALONGAN</v>
      </c>
      <c r="K100" s="281">
        <v>36</v>
      </c>
      <c r="L100" s="281" t="s">
        <v>142</v>
      </c>
      <c r="M100" s="281">
        <v>1</v>
      </c>
      <c r="N100" s="281" t="s">
        <v>285</v>
      </c>
      <c r="O100" s="288" t="str">
        <f>IF(Table1[[#This Row],[h_Item Description]]="","",INDEX([1]!db[NB PAJAK],MATCH(Table1[[#This Row],[h_Item Description]],[1]!db[kode],0)))</f>
        <v>CORRECTION FLUID KENKO KE-01</v>
      </c>
      <c r="P100" s="281" t="s">
        <v>286</v>
      </c>
      <c r="Q100" s="284">
        <v>54300</v>
      </c>
      <c r="R100" s="285">
        <v>0.14000000000000001</v>
      </c>
      <c r="T100" s="284">
        <f>Table1[[#This Row],[h_hargasetelahdiskon]]</f>
        <v>1681128</v>
      </c>
      <c r="U100" s="284" t="s">
        <v>149</v>
      </c>
      <c r="W100" s="288">
        <f ca="1">IF(Table1[[#This Row],[Item Description]]="","",IF(Table1[[#This Row],[//]]="",INDIRECT(ADDRESS(ROW()-1,COLUMN())),Table1[[#This Row],[//]]))</f>
        <v>100</v>
      </c>
      <c r="X100" s="288">
        <f ca="1">IF(Table1[[#This Row],[h_id]]="","",COUNTIF(Table1[h_id],Table1[[#This Row],[h_id]]))</f>
        <v>2</v>
      </c>
      <c r="Y100" s="284">
        <f>IF(Table1[Item Description]="","",Table1[[#This Row],[Qty]]*Table1[[#This Row],[Unit Price]])</f>
        <v>1954800</v>
      </c>
      <c r="Z100" s="284">
        <f>IF(Table1[[#This Row],[h_hargasebelumdiskon]]="","",IF(Table1[[#This Row],[Disc 1]]="",0,Table1[[#This Row],[h_hargasebelumdiskon]]*Table1[[#This Row],[Disc 1]]))</f>
        <v>273672</v>
      </c>
      <c r="AA100" s="284">
        <f>IF(Table1[[#This Row],[h_hargasebelumdiskon]]="","",IF(Table1[[#This Row],[Disc 2]]="",0,(Table1[[#This Row],[h_hargasebelumdiskon]]-Table1[[#This Row],[h_disc 1]])*Table1[[#This Row],[Disc 2]]))</f>
        <v>0</v>
      </c>
      <c r="AB100" s="284">
        <f>IF(Table1[Item Description]="","",Table1[[#This Row],[h_disc 1]]+Table1[[#This Row],[h_disc 2]])</f>
        <v>273672</v>
      </c>
      <c r="AC100" s="284">
        <f>IF(Table1[Item Description]="","",Table1[[#This Row],[h_hargasebelumdiskon]]-Table1[[#This Row],[h_diskon]])</f>
        <v>1681128</v>
      </c>
      <c r="AD100" s="284">
        <f ca="1">IF(Table1[//]="","",SUMIF(Table1[h_id],Table1[h_id],Table1[h_hargasetelahdiskon]))</f>
        <v>6585192</v>
      </c>
      <c r="AE100" s="284"/>
      <c r="AF100" s="284" t="str">
        <f>Table1[[#This Row],[Item Description]]&amp;Table1[[#This Row],[Unit]]&amp;Table1[[#This Row],[Unit Price]]</f>
        <v>CORRECTION FLUID KENKO KE-01LSN54300</v>
      </c>
    </row>
    <row r="101" spans="1:32" x14ac:dyDescent="0.25">
      <c r="A101" s="288" t="str">
        <f ca="1">IF(Table1[[#This Row],[No. Invoice :]]="","",ROW())</f>
        <v/>
      </c>
      <c r="B101" s="288" t="str">
        <f ca="1">IF(Table1[h_Kode Sales :_1]="","",B$1+COUNT(INDIRECT("B$2:B"&amp;ROW()-1)))</f>
        <v/>
      </c>
      <c r="C101" s="282" t="str">
        <f>IF(Table1[[#This Row],[H_TGL]]="","",Table1[[#This Row],[H_TGL]]+C$1-1)</f>
        <v/>
      </c>
      <c r="H101" s="288" t="str">
        <f ca="1">IF(Table1[[#This Row],[h_No. Invoice :]]="","",CONCATENATE("AM"," ",Table1[[#This Row],[h_No. Invoice :]]))</f>
        <v/>
      </c>
      <c r="I101" s="289" t="str">
        <f>CONCATENATE(UPPER(Table1[[#This Row],[h_Kode Sales :_1]])," ",Table1[[#This Row],[h_Kode Sales :_2]])</f>
        <v xml:space="preserve"> </v>
      </c>
      <c r="J101" s="288" t="str">
        <f>IF(Table1[[#This Row],[h_toko]]="","",INDEX(Table2[e],IF(Table1[[#This Row],[h_toko]]="","",MATCH(Table1[[#This Row],[h_toko]],Table2[a],0)),))</f>
        <v/>
      </c>
      <c r="K101" s="281">
        <v>144</v>
      </c>
      <c r="L101" s="281" t="s">
        <v>142</v>
      </c>
      <c r="M101" s="281">
        <v>1</v>
      </c>
      <c r="N101" s="281" t="s">
        <v>287</v>
      </c>
      <c r="O101" s="288" t="str">
        <f>IF(Table1[[#This Row],[h_Item Description]]="","",INDEX([1]!db[NB PAJAK],MATCH(Table1[[#This Row],[h_Item Description]],[1]!db[kode],0)))</f>
        <v>GEL PEN KENKO K-1 HITAM</v>
      </c>
      <c r="P101" s="281" t="s">
        <v>288</v>
      </c>
      <c r="Q101" s="284">
        <v>39600</v>
      </c>
      <c r="R101" s="285">
        <v>0.14000000000000001</v>
      </c>
      <c r="T101" s="284">
        <f>Table1[[#This Row],[h_hargasetelahdiskon]]</f>
        <v>4904064</v>
      </c>
      <c r="W101" s="288">
        <f ca="1">IF(Table1[[#This Row],[Item Description]]="","",IF(Table1[[#This Row],[//]]="",INDIRECT(ADDRESS(ROW()-1,COLUMN())),Table1[[#This Row],[//]]))</f>
        <v>100</v>
      </c>
      <c r="X101" s="288">
        <f ca="1">IF(Table1[[#This Row],[h_id]]="","",COUNTIF(Table1[h_id],Table1[[#This Row],[h_id]]))</f>
        <v>2</v>
      </c>
      <c r="Y101" s="284">
        <f>IF(Table1[Item Description]="","",Table1[[#This Row],[Qty]]*Table1[[#This Row],[Unit Price]])</f>
        <v>5702400</v>
      </c>
      <c r="Z101" s="284">
        <f>IF(Table1[[#This Row],[h_hargasebelumdiskon]]="","",IF(Table1[[#This Row],[Disc 1]]="",0,Table1[[#This Row],[h_hargasebelumdiskon]]*Table1[[#This Row],[Disc 1]]))</f>
        <v>798336.00000000012</v>
      </c>
      <c r="AA101" s="284">
        <f>IF(Table1[[#This Row],[h_hargasebelumdiskon]]="","",IF(Table1[[#This Row],[Disc 2]]="",0,(Table1[[#This Row],[h_hargasebelumdiskon]]-Table1[[#This Row],[h_disc 1]])*Table1[[#This Row],[Disc 2]]))</f>
        <v>0</v>
      </c>
      <c r="AB101" s="284">
        <f>IF(Table1[Item Description]="","",Table1[[#This Row],[h_disc 1]]+Table1[[#This Row],[h_disc 2]])</f>
        <v>798336.00000000012</v>
      </c>
      <c r="AC101" s="284">
        <f>IF(Table1[Item Description]="","",Table1[[#This Row],[h_hargasebelumdiskon]]-Table1[[#This Row],[h_diskon]])</f>
        <v>4904064</v>
      </c>
      <c r="AD101" s="284" t="str">
        <f ca="1">IF(Table1[//]="","",SUMIF(Table1[h_id],Table1[h_id],Table1[h_hargasetelahdiskon]))</f>
        <v/>
      </c>
      <c r="AE101" s="284"/>
      <c r="AF101" s="284" t="str">
        <f>Table1[[#This Row],[Item Description]]&amp;Table1[[#This Row],[Unit]]&amp;Table1[[#This Row],[Unit Price]]</f>
        <v>GEL PEN KENKO K-1 HITAMLSN39600</v>
      </c>
    </row>
    <row r="102" spans="1:32" x14ac:dyDescent="0.25">
      <c r="A102" s="288" t="str">
        <f ca="1">IF(Table1[[#This Row],[No. Invoice :]]="","",ROW())</f>
        <v/>
      </c>
      <c r="B102" s="288" t="str">
        <f ca="1">IF(Table1[h_Kode Sales :_1]="","",B$1+COUNT(INDIRECT("B$2:B"&amp;ROW()-1)))</f>
        <v/>
      </c>
      <c r="C102" s="282" t="str">
        <f>IF(Table1[[#This Row],[H_TGL]]="","",Table1[[#This Row],[H_TGL]]+C$1-1)</f>
        <v/>
      </c>
      <c r="H102" s="288" t="str">
        <f ca="1">IF(Table1[[#This Row],[h_No. Invoice :]]="","",CONCATENATE("AM"," ",Table1[[#This Row],[h_No. Invoice :]]))</f>
        <v/>
      </c>
      <c r="I102" s="289" t="str">
        <f>CONCATENATE(UPPER(Table1[[#This Row],[h_Kode Sales :_1]])," ",Table1[[#This Row],[h_Kode Sales :_2]])</f>
        <v xml:space="preserve"> </v>
      </c>
      <c r="J102" s="288" t="str">
        <f>IF(Table1[[#This Row],[h_toko]]="","",INDEX(Table2[e],IF(Table1[[#This Row],[h_toko]]="","",MATCH(Table1[[#This Row],[h_toko]],Table2[a],0)),))</f>
        <v/>
      </c>
      <c r="O102" s="288" t="str">
        <f>IF(Table1[[#This Row],[h_Item Description]]="","",INDEX([1]!db[NB PAJAK],MATCH(Table1[[#This Row],[h_Item Description]],[1]!db[kode],0)))</f>
        <v/>
      </c>
      <c r="Q102" s="284"/>
      <c r="R102" s="285"/>
      <c r="T102" s="284" t="str">
        <f>Table1[[#This Row],[h_hargasetelahdiskon]]</f>
        <v/>
      </c>
      <c r="W102" s="288" t="str">
        <f ca="1">IF(Table1[[#This Row],[Item Description]]="","",IF(Table1[[#This Row],[//]]="",INDIRECT(ADDRESS(ROW()-1,COLUMN())),Table1[[#This Row],[//]]))</f>
        <v/>
      </c>
      <c r="X102" s="288" t="str">
        <f ca="1">IF(Table1[[#This Row],[h_id]]="","",COUNTIF(Table1[h_id],Table1[[#This Row],[h_id]]))</f>
        <v/>
      </c>
      <c r="Y102" s="284" t="str">
        <f>IF(Table1[Item Description]="","",Table1[[#This Row],[Qty]]*Table1[[#This Row],[Unit Price]])</f>
        <v/>
      </c>
      <c r="Z102" s="284" t="str">
        <f>IF(Table1[[#This Row],[h_hargasebelumdiskon]]="","",IF(Table1[[#This Row],[Disc 1]]="",0,Table1[[#This Row],[h_hargasebelumdiskon]]*Table1[[#This Row],[Disc 1]]))</f>
        <v/>
      </c>
      <c r="AA102" s="284" t="str">
        <f>IF(Table1[[#This Row],[h_hargasebelumdiskon]]="","",IF(Table1[[#This Row],[Disc 2]]="",0,(Table1[[#This Row],[h_hargasebelumdiskon]]-Table1[[#This Row],[h_disc 1]])*Table1[[#This Row],[Disc 2]]))</f>
        <v/>
      </c>
      <c r="AB102" s="284" t="str">
        <f>IF(Table1[Item Description]="","",Table1[[#This Row],[h_disc 1]]+Table1[[#This Row],[h_disc 2]])</f>
        <v/>
      </c>
      <c r="AC102" s="284" t="str">
        <f>IF(Table1[Item Description]="","",Table1[[#This Row],[h_hargasebelumdiskon]]-Table1[[#This Row],[h_diskon]])</f>
        <v/>
      </c>
      <c r="AD102" s="284" t="str">
        <f ca="1">IF(Table1[//]="","",SUMIF(Table1[h_id],Table1[h_id],Table1[h_hargasetelahdiskon]))</f>
        <v/>
      </c>
      <c r="AE102" s="284"/>
      <c r="AF102" s="284" t="str">
        <f>Table1[[#This Row],[Item Description]]&amp;Table1[[#This Row],[Unit]]&amp;Table1[[#This Row],[Unit Price]]</f>
        <v/>
      </c>
    </row>
    <row r="103" spans="1:32" x14ac:dyDescent="0.25">
      <c r="A103" s="288" t="str">
        <f ca="1">IF(Table1[[#This Row],[No. Invoice :]]="","",ROW())</f>
        <v/>
      </c>
      <c r="B103" s="288" t="str">
        <f ca="1">IF(Table1[h_Kode Sales :_1]="","",B$1+COUNT(INDIRECT("B$2:B"&amp;ROW()-1)))</f>
        <v/>
      </c>
      <c r="C103" s="282" t="str">
        <f>IF(Table1[[#This Row],[H_TGL]]="","",Table1[[#This Row],[H_TGL]]+C$1-1)</f>
        <v/>
      </c>
      <c r="H103" s="288" t="str">
        <f ca="1">IF(Table1[[#This Row],[h_No. Invoice :]]="","",CONCATENATE("AM"," ",Table1[[#This Row],[h_No. Invoice :]]))</f>
        <v/>
      </c>
      <c r="I103" s="289" t="str">
        <f>CONCATENATE(UPPER(Table1[[#This Row],[h_Kode Sales :_1]])," ",Table1[[#This Row],[h_Kode Sales :_2]])</f>
        <v xml:space="preserve"> </v>
      </c>
      <c r="J103" s="288" t="str">
        <f>IF(Table1[[#This Row],[h_toko]]="","",INDEX(Table2[e],IF(Table1[[#This Row],[h_toko]]="","",MATCH(Table1[[#This Row],[h_toko]],Table2[a],0)),))</f>
        <v/>
      </c>
      <c r="O103" s="288" t="str">
        <f>IF(Table1[[#This Row],[h_Item Description]]="","",INDEX([1]!db[NB PAJAK],MATCH(Table1[[#This Row],[h_Item Description]],[1]!db[kode],0)))</f>
        <v/>
      </c>
      <c r="Q103" s="284"/>
      <c r="R103" s="285"/>
      <c r="T103" s="284" t="str">
        <f>Table1[[#This Row],[h_hargasetelahdiskon]]</f>
        <v/>
      </c>
      <c r="W103" s="288" t="str">
        <f ca="1">IF(Table1[[#This Row],[Item Description]]="","",IF(Table1[[#This Row],[//]]="",INDIRECT(ADDRESS(ROW()-1,COLUMN())),Table1[[#This Row],[//]]))</f>
        <v/>
      </c>
      <c r="X103" s="288" t="str">
        <f ca="1">IF(Table1[[#This Row],[h_id]]="","",COUNTIF(Table1[h_id],Table1[[#This Row],[h_id]]))</f>
        <v/>
      </c>
      <c r="Y103" s="284" t="str">
        <f>IF(Table1[Item Description]="","",Table1[[#This Row],[Qty]]*Table1[[#This Row],[Unit Price]])</f>
        <v/>
      </c>
      <c r="Z103" s="284" t="str">
        <f>IF(Table1[[#This Row],[h_hargasebelumdiskon]]="","",IF(Table1[[#This Row],[Disc 1]]="",0,Table1[[#This Row],[h_hargasebelumdiskon]]*Table1[[#This Row],[Disc 1]]))</f>
        <v/>
      </c>
      <c r="AA103" s="284" t="str">
        <f>IF(Table1[[#This Row],[h_hargasebelumdiskon]]="","",IF(Table1[[#This Row],[Disc 2]]="",0,(Table1[[#This Row],[h_hargasebelumdiskon]]-Table1[[#This Row],[h_disc 1]])*Table1[[#This Row],[Disc 2]]))</f>
        <v/>
      </c>
      <c r="AB103" s="284" t="str">
        <f>IF(Table1[Item Description]="","",Table1[[#This Row],[h_disc 1]]+Table1[[#This Row],[h_disc 2]])</f>
        <v/>
      </c>
      <c r="AC103" s="284" t="str">
        <f>IF(Table1[Item Description]="","",Table1[[#This Row],[h_hargasebelumdiskon]]-Table1[[#This Row],[h_diskon]])</f>
        <v/>
      </c>
      <c r="AD103" s="284" t="str">
        <f ca="1">IF(Table1[//]="","",SUMIF(Table1[h_id],Table1[h_id],Table1[h_hargasetelahdiskon]))</f>
        <v/>
      </c>
      <c r="AE103" s="284"/>
      <c r="AF103" s="284" t="str">
        <f>Table1[[#This Row],[Item Description]]&amp;Table1[[#This Row],[Unit]]&amp;Table1[[#This Row],[Unit Price]]</f>
        <v/>
      </c>
    </row>
    <row r="104" spans="1:32" x14ac:dyDescent="0.25">
      <c r="A104" s="288">
        <f ca="1">IF(Table1[[#This Row],[No. Invoice :]]="","",ROW())</f>
        <v>104</v>
      </c>
      <c r="B104" s="288">
        <f ca="1">IF(Table1[h_Kode Sales :_1]="","",B$1+COUNT(INDIRECT("B$2:B"&amp;ROW()-1)))</f>
        <v>23070030</v>
      </c>
      <c r="C104" s="282">
        <f>IF(Table1[[#This Row],[H_TGL]]="","",Table1[[#This Row],[H_TGL]]+C$1-1)</f>
        <v>45131</v>
      </c>
      <c r="D104" s="293">
        <v>24</v>
      </c>
      <c r="E104" s="281" t="s">
        <v>122</v>
      </c>
      <c r="F104" s="283" t="s">
        <v>279</v>
      </c>
      <c r="G104" s="281" t="s">
        <v>94</v>
      </c>
      <c r="H104" s="288" t="str">
        <f ca="1">IF(Table1[[#This Row],[h_No. Invoice :]]="","",CONCATENATE("AM"," ",Table1[[#This Row],[h_No. Invoice :]]))</f>
        <v>AM 23070030</v>
      </c>
      <c r="I104" s="289" t="str">
        <f>CONCATENATE(UPPER(Table1[[#This Row],[h_Kode Sales :_1]])," ",Table1[[#This Row],[h_Kode Sales :_2]])</f>
        <v>KO 4840</v>
      </c>
      <c r="J104" s="288" t="str">
        <f>IF(Table1[[#This Row],[h_toko]]="","",INDEX(Table2[e],IF(Table1[[#This Row],[h_toko]]="","",MATCH(Table1[[#This Row],[h_toko]],Table2[a],0)),))</f>
        <v>CV LANCAR JAYA SENTOSA MALANG</v>
      </c>
      <c r="K104" s="281">
        <v>144</v>
      </c>
      <c r="L104" s="281" t="s">
        <v>142</v>
      </c>
      <c r="M104" s="281">
        <v>2</v>
      </c>
      <c r="N104" s="281" t="s">
        <v>280</v>
      </c>
      <c r="O104" s="288" t="str">
        <f>IF(Table1[[#This Row],[h_Item Description]]="","",INDEX([1]!db[NB PAJAK],MATCH(Table1[[#This Row],[h_Item Description]],[1]!db[kode],0)))</f>
        <v>ISI PENSIL 2B 2.0 MM JOYKO PL-11</v>
      </c>
      <c r="P104" s="281" t="s">
        <v>281</v>
      </c>
      <c r="Q104" s="284">
        <v>37200</v>
      </c>
      <c r="R104" s="285">
        <v>0.125</v>
      </c>
      <c r="T104" s="284">
        <f>Table1[[#This Row],[h_hargasetelahdiskon]]</f>
        <v>4687200</v>
      </c>
      <c r="U104" s="284" t="s">
        <v>149</v>
      </c>
      <c r="W104" s="288">
        <f ca="1">IF(Table1[[#This Row],[Item Description]]="","",IF(Table1[[#This Row],[//]]="",INDIRECT(ADDRESS(ROW()-1,COLUMN())),Table1[[#This Row],[//]]))</f>
        <v>104</v>
      </c>
      <c r="X104" s="288">
        <f ca="1">IF(Table1[[#This Row],[h_id]]="","",COUNTIF(Table1[h_id],Table1[[#This Row],[h_id]]))</f>
        <v>2</v>
      </c>
      <c r="Y104" s="284">
        <f>IF(Table1[Item Description]="","",Table1[[#This Row],[Qty]]*Table1[[#This Row],[Unit Price]])</f>
        <v>5356800</v>
      </c>
      <c r="Z104" s="284">
        <f>IF(Table1[[#This Row],[h_hargasebelumdiskon]]="","",IF(Table1[[#This Row],[Disc 1]]="",0,Table1[[#This Row],[h_hargasebelumdiskon]]*Table1[[#This Row],[Disc 1]]))</f>
        <v>669600</v>
      </c>
      <c r="AA104" s="284">
        <f>IF(Table1[[#This Row],[h_hargasebelumdiskon]]="","",IF(Table1[[#This Row],[Disc 2]]="",0,(Table1[[#This Row],[h_hargasebelumdiskon]]-Table1[[#This Row],[h_disc 1]])*Table1[[#This Row],[Disc 2]]))</f>
        <v>0</v>
      </c>
      <c r="AB104" s="284">
        <f>IF(Table1[Item Description]="","",Table1[[#This Row],[h_disc 1]]+Table1[[#This Row],[h_disc 2]])</f>
        <v>669600</v>
      </c>
      <c r="AC104" s="284">
        <f>IF(Table1[Item Description]="","",Table1[[#This Row],[h_hargasebelumdiskon]]-Table1[[#This Row],[h_diskon]])</f>
        <v>4687200</v>
      </c>
      <c r="AD104" s="284">
        <f ca="1">IF(Table1[//]="","",SUMIF(Table1[h_id],Table1[h_id],Table1[h_hargasetelahdiskon]))</f>
        <v>7182000</v>
      </c>
      <c r="AE104" s="284"/>
      <c r="AF104" s="284" t="str">
        <f>Table1[[#This Row],[Item Description]]&amp;Table1[[#This Row],[Unit]]&amp;Table1[[#This Row],[Unit Price]]</f>
        <v>ISI PENSIL 2B 2.0 MM JOYKO PL-11LSN37200</v>
      </c>
    </row>
    <row r="105" spans="1:32" x14ac:dyDescent="0.25">
      <c r="A105" s="288" t="str">
        <f ca="1">IF(Table1[[#This Row],[No. Invoice :]]="","",ROW())</f>
        <v/>
      </c>
      <c r="B105" s="288" t="str">
        <f ca="1">IF(Table1[h_Kode Sales :_1]="","",B$1+COUNT(INDIRECT("B$2:B"&amp;ROW()-1)))</f>
        <v/>
      </c>
      <c r="C105" s="282" t="str">
        <f>IF(Table1[[#This Row],[H_TGL]]="","",Table1[[#This Row],[H_TGL]]+C$1-1)</f>
        <v/>
      </c>
      <c r="H105" s="288" t="str">
        <f ca="1">IF(Table1[[#This Row],[h_No. Invoice :]]="","",CONCATENATE("AM"," ",Table1[[#This Row],[h_No. Invoice :]]))</f>
        <v/>
      </c>
      <c r="I105" s="289" t="str">
        <f>CONCATENATE(UPPER(Table1[[#This Row],[h_Kode Sales :_1]])," ",Table1[[#This Row],[h_Kode Sales :_2]])</f>
        <v xml:space="preserve"> </v>
      </c>
      <c r="J105" s="288" t="str">
        <f>IF(Table1[[#This Row],[h_toko]]="","",INDEX(Table2[e],IF(Table1[[#This Row],[h_toko]]="","",MATCH(Table1[[#This Row],[h_toko]],Table2[a],0)),))</f>
        <v/>
      </c>
      <c r="K105" s="281">
        <v>144</v>
      </c>
      <c r="L105" s="281" t="s">
        <v>142</v>
      </c>
      <c r="M105" s="281">
        <v>1</v>
      </c>
      <c r="N105" s="281" t="s">
        <v>282</v>
      </c>
      <c r="O105" s="288" t="str">
        <f>IF(Table1[[#This Row],[h_Item Description]]="","",INDEX([1]!db[NB PAJAK],MATCH(Table1[[#This Row],[h_Item Description]],[1]!db[kode],0)))</f>
        <v>ISI PENSIL 2B 2.0 MM JOYKO PL-10</v>
      </c>
      <c r="P105" s="288" t="s">
        <v>283</v>
      </c>
      <c r="Q105" s="284">
        <v>19800</v>
      </c>
      <c r="R105" s="285">
        <v>0.125</v>
      </c>
      <c r="T105" s="284">
        <f>Table1[[#This Row],[h_hargasetelahdiskon]]</f>
        <v>2494800</v>
      </c>
      <c r="W105" s="288">
        <f ca="1">IF(Table1[[#This Row],[Item Description]]="","",IF(Table1[[#This Row],[//]]="",INDIRECT(ADDRESS(ROW()-1,COLUMN())),Table1[[#This Row],[//]]))</f>
        <v>104</v>
      </c>
      <c r="X105" s="288">
        <f ca="1">IF(Table1[[#This Row],[h_id]]="","",COUNTIF(Table1[h_id],Table1[[#This Row],[h_id]]))</f>
        <v>2</v>
      </c>
      <c r="Y105" s="284">
        <f>IF(Table1[Item Description]="","",Table1[[#This Row],[Qty]]*Table1[[#This Row],[Unit Price]])</f>
        <v>2851200</v>
      </c>
      <c r="Z105" s="284">
        <f>IF(Table1[[#This Row],[h_hargasebelumdiskon]]="","",IF(Table1[[#This Row],[Disc 1]]="",0,Table1[[#This Row],[h_hargasebelumdiskon]]*Table1[[#This Row],[Disc 1]]))</f>
        <v>356400</v>
      </c>
      <c r="AA105" s="284">
        <f>IF(Table1[[#This Row],[h_hargasebelumdiskon]]="","",IF(Table1[[#This Row],[Disc 2]]="",0,(Table1[[#This Row],[h_hargasebelumdiskon]]-Table1[[#This Row],[h_disc 1]])*Table1[[#This Row],[Disc 2]]))</f>
        <v>0</v>
      </c>
      <c r="AB105" s="284">
        <f>IF(Table1[Item Description]="","",Table1[[#This Row],[h_disc 1]]+Table1[[#This Row],[h_disc 2]])</f>
        <v>356400</v>
      </c>
      <c r="AC105" s="284">
        <f>IF(Table1[Item Description]="","",Table1[[#This Row],[h_hargasebelumdiskon]]-Table1[[#This Row],[h_diskon]])</f>
        <v>2494800</v>
      </c>
      <c r="AD105" s="284" t="str">
        <f ca="1">IF(Table1[//]="","",SUMIF(Table1[h_id],Table1[h_id],Table1[h_hargasetelahdiskon]))</f>
        <v/>
      </c>
      <c r="AE105" s="284"/>
      <c r="AF105" s="284" t="str">
        <f>Table1[[#This Row],[Item Description]]&amp;Table1[[#This Row],[Unit]]&amp;Table1[[#This Row],[Unit Price]]</f>
        <v>ISI PENSIL 2B 2.0 MM JOYKO PL-10LSN19800</v>
      </c>
    </row>
    <row r="106" spans="1:32" x14ac:dyDescent="0.25">
      <c r="A106" s="288" t="str">
        <f ca="1">IF(Table1[[#This Row],[No. Invoice :]]="","",ROW())</f>
        <v/>
      </c>
      <c r="B106" s="288" t="str">
        <f ca="1">IF(Table1[h_Kode Sales :_1]="","",B$1+COUNT(INDIRECT("B$2:B"&amp;ROW()-1)))</f>
        <v/>
      </c>
      <c r="C106" s="282" t="str">
        <f>IF(Table1[[#This Row],[H_TGL]]="","",Table1[[#This Row],[H_TGL]]+C$1-1)</f>
        <v/>
      </c>
      <c r="H106" s="288" t="str">
        <f ca="1">IF(Table1[[#This Row],[h_No. Invoice :]]="","",CONCATENATE("AM"," ",Table1[[#This Row],[h_No. Invoice :]]))</f>
        <v/>
      </c>
      <c r="I106" s="289" t="str">
        <f>CONCATENATE(UPPER(Table1[[#This Row],[h_Kode Sales :_1]])," ",Table1[[#This Row],[h_Kode Sales :_2]])</f>
        <v xml:space="preserve"> </v>
      </c>
      <c r="J106" s="288" t="str">
        <f>IF(Table1[[#This Row],[h_toko]]="","",INDEX(Table2[e],IF(Table1[[#This Row],[h_toko]]="","",MATCH(Table1[[#This Row],[h_toko]],Table2[a],0)),))</f>
        <v/>
      </c>
      <c r="O106" s="288" t="str">
        <f>IF(Table1[[#This Row],[h_Item Description]]="","",INDEX([1]!db[NB PAJAK],MATCH(Table1[[#This Row],[h_Item Description]],[1]!db[kode],0)))</f>
        <v/>
      </c>
      <c r="Q106" s="284"/>
      <c r="R106" s="285"/>
      <c r="T106" s="284" t="str">
        <f>Table1[[#This Row],[h_hargasetelahdiskon]]</f>
        <v/>
      </c>
      <c r="W106" s="288" t="str">
        <f ca="1">IF(Table1[[#This Row],[Item Description]]="","",IF(Table1[[#This Row],[//]]="",INDIRECT(ADDRESS(ROW()-1,COLUMN())),Table1[[#This Row],[//]]))</f>
        <v/>
      </c>
      <c r="X106" s="288" t="str">
        <f ca="1">IF(Table1[[#This Row],[h_id]]="","",COUNTIF(Table1[h_id],Table1[[#This Row],[h_id]]))</f>
        <v/>
      </c>
      <c r="Y106" s="284" t="str">
        <f>IF(Table1[Item Description]="","",Table1[[#This Row],[Qty]]*Table1[[#This Row],[Unit Price]])</f>
        <v/>
      </c>
      <c r="Z106" s="284" t="str">
        <f>IF(Table1[[#This Row],[h_hargasebelumdiskon]]="","",IF(Table1[[#This Row],[Disc 1]]="",0,Table1[[#This Row],[h_hargasebelumdiskon]]*Table1[[#This Row],[Disc 1]]))</f>
        <v/>
      </c>
      <c r="AA106" s="284" t="str">
        <f>IF(Table1[[#This Row],[h_hargasebelumdiskon]]="","",IF(Table1[[#This Row],[Disc 2]]="",0,(Table1[[#This Row],[h_hargasebelumdiskon]]-Table1[[#This Row],[h_disc 1]])*Table1[[#This Row],[Disc 2]]))</f>
        <v/>
      </c>
      <c r="AB106" s="284" t="str">
        <f>IF(Table1[Item Description]="","",Table1[[#This Row],[h_disc 1]]+Table1[[#This Row],[h_disc 2]])</f>
        <v/>
      </c>
      <c r="AC106" s="284" t="str">
        <f>IF(Table1[Item Description]="","",Table1[[#This Row],[h_hargasebelumdiskon]]-Table1[[#This Row],[h_diskon]])</f>
        <v/>
      </c>
      <c r="AD106" s="284" t="str">
        <f ca="1">IF(Table1[//]="","",SUMIF(Table1[h_id],Table1[h_id],Table1[h_hargasetelahdiskon]))</f>
        <v/>
      </c>
      <c r="AE106" s="284"/>
      <c r="AF106" s="284" t="str">
        <f>Table1[[#This Row],[Item Description]]&amp;Table1[[#This Row],[Unit]]&amp;Table1[[#This Row],[Unit Price]]</f>
        <v/>
      </c>
    </row>
    <row r="107" spans="1:32" x14ac:dyDescent="0.25">
      <c r="A107" s="288">
        <f ca="1">IF(Table1[[#This Row],[No. Invoice :]]="","",ROW())</f>
        <v>107</v>
      </c>
      <c r="B107" s="288">
        <f ca="1">IF(Table1[h_Kode Sales :_1]="","",B$1+COUNT(INDIRECT("B$2:B"&amp;ROW()-1)))</f>
        <v>23070031</v>
      </c>
      <c r="C107" s="282">
        <f>IF(Table1[[#This Row],[H_TGL]]="","",Table1[[#This Row],[H_TGL]]+C$1-1)</f>
        <v>45131</v>
      </c>
      <c r="D107" s="293">
        <v>24</v>
      </c>
      <c r="E107" s="281" t="s">
        <v>129</v>
      </c>
      <c r="F107" s="283" t="s">
        <v>296</v>
      </c>
      <c r="G107" s="281" t="s">
        <v>93</v>
      </c>
      <c r="H107" s="288" t="str">
        <f ca="1">IF(Table1[[#This Row],[h_No. Invoice :]]="","",CONCATENATE("AM"," ",Table1[[#This Row],[h_No. Invoice :]]))</f>
        <v>AM 23070031</v>
      </c>
      <c r="I107" s="289" t="str">
        <f>CONCATENATE(UPPER(Table1[[#This Row],[h_Kode Sales :_1]])," ",Table1[[#This Row],[h_Kode Sales :_2]])</f>
        <v>G 2397</v>
      </c>
      <c r="J107" s="288" t="str">
        <f>IF(Table1[[#This Row],[h_toko]]="","",INDEX(Table2[e],IF(Table1[[#This Row],[h_toko]]="","",MATCH(Table1[[#This Row],[h_toko]],Table2[a],0)),))</f>
        <v>LILY JULIAWATI (REJO AGUNG) JOMBANG</v>
      </c>
      <c r="K107" s="281">
        <v>7776</v>
      </c>
      <c r="L107" s="281" t="s">
        <v>155</v>
      </c>
      <c r="M107" s="281">
        <v>9</v>
      </c>
      <c r="N107" s="281" t="s">
        <v>294</v>
      </c>
      <c r="O107" s="288" t="str">
        <f>IF(Table1[[#This Row],[h_Item Description]]="","",INDEX([1]!db[NB PAJAK],MATCH(Table1[[#This Row],[h_Item Description]],[1]!db[kode],0)))</f>
        <v>LEM STICK JOYKO 15 GR GS-104 TG (ANIMAL KINGDOM) isi 24 pc</v>
      </c>
      <c r="P107" s="281" t="s">
        <v>295</v>
      </c>
      <c r="Q107" s="284">
        <v>2450</v>
      </c>
      <c r="R107" s="285">
        <v>0.125</v>
      </c>
      <c r="T107" s="284">
        <f>Table1[[#This Row],[h_hargasetelahdiskon]]</f>
        <v>16669800</v>
      </c>
      <c r="U107" s="284" t="s">
        <v>149</v>
      </c>
      <c r="W107" s="288">
        <f ca="1">IF(Table1[[#This Row],[Item Description]]="","",IF(Table1[[#This Row],[//]]="",INDIRECT(ADDRESS(ROW()-1,COLUMN())),Table1[[#This Row],[//]]))</f>
        <v>107</v>
      </c>
      <c r="X107" s="288">
        <f ca="1">IF(Table1[[#This Row],[h_id]]="","",COUNTIF(Table1[h_id],Table1[[#This Row],[h_id]]))</f>
        <v>2</v>
      </c>
      <c r="Y107" s="284">
        <f>IF(Table1[Item Description]="","",Table1[[#This Row],[Qty]]*Table1[[#This Row],[Unit Price]])</f>
        <v>19051200</v>
      </c>
      <c r="Z107" s="284">
        <f>IF(Table1[[#This Row],[h_hargasebelumdiskon]]="","",IF(Table1[[#This Row],[Disc 1]]="",0,Table1[[#This Row],[h_hargasebelumdiskon]]*Table1[[#This Row],[Disc 1]]))</f>
        <v>2381400</v>
      </c>
      <c r="AA107" s="284">
        <f>IF(Table1[[#This Row],[h_hargasebelumdiskon]]="","",IF(Table1[[#This Row],[Disc 2]]="",0,(Table1[[#This Row],[h_hargasebelumdiskon]]-Table1[[#This Row],[h_disc 1]])*Table1[[#This Row],[Disc 2]]))</f>
        <v>0</v>
      </c>
      <c r="AB107" s="284">
        <f>IF(Table1[Item Description]="","",Table1[[#This Row],[h_disc 1]]+Table1[[#This Row],[h_disc 2]])</f>
        <v>2381400</v>
      </c>
      <c r="AC107" s="284">
        <f>IF(Table1[Item Description]="","",Table1[[#This Row],[h_hargasebelumdiskon]]-Table1[[#This Row],[h_diskon]])</f>
        <v>16669800</v>
      </c>
      <c r="AD107" s="284">
        <f ca="1">IF(Table1[//]="","",SUMIF(Table1[h_id],Table1[h_id],Table1[h_hargasetelahdiskon]))</f>
        <v>18463550</v>
      </c>
      <c r="AE107" s="284"/>
      <c r="AF107" s="284" t="str">
        <f>Table1[[#This Row],[Item Description]]&amp;Table1[[#This Row],[Unit]]&amp;Table1[[#This Row],[Unit Price]]</f>
        <v>LEM STICK JOYKO 15 GR GS-104 TG (ANIMAL KINGDOM) isi 24 pcPCS2450</v>
      </c>
    </row>
    <row r="108" spans="1:32" x14ac:dyDescent="0.25">
      <c r="A108" s="288" t="str">
        <f ca="1">IF(Table1[[#This Row],[No. Invoice :]]="","",ROW())</f>
        <v/>
      </c>
      <c r="B108" s="288" t="str">
        <f ca="1">IF(Table1[h_Kode Sales :_1]="","",B$1+COUNT(INDIRECT("B$2:B"&amp;ROW()-1)))</f>
        <v/>
      </c>
      <c r="C108" s="282" t="str">
        <f>IF(Table1[[#This Row],[H_TGL]]="","",Table1[[#This Row],[H_TGL]]+C$1-1)</f>
        <v/>
      </c>
      <c r="H108" s="288" t="str">
        <f ca="1">IF(Table1[[#This Row],[h_No. Invoice :]]="","",CONCATENATE("AM"," ",Table1[[#This Row],[h_No. Invoice :]]))</f>
        <v/>
      </c>
      <c r="I108" s="289" t="str">
        <f>CONCATENATE(UPPER(Table1[[#This Row],[h_Kode Sales :_1]])," ",Table1[[#This Row],[h_Kode Sales :_2]])</f>
        <v xml:space="preserve"> </v>
      </c>
      <c r="J108" s="288" t="str">
        <f>IF(Table1[[#This Row],[h_toko]]="","",INDEX(Table2[e],IF(Table1[[#This Row],[h_toko]]="","",MATCH(Table1[[#This Row],[h_toko]],Table2[a],0)),))</f>
        <v/>
      </c>
      <c r="K108" s="281">
        <v>1000</v>
      </c>
      <c r="L108" s="281" t="s">
        <v>155</v>
      </c>
      <c r="M108" s="281">
        <v>1</v>
      </c>
      <c r="N108" s="281" t="s">
        <v>153</v>
      </c>
      <c r="O108" s="288" t="str">
        <f>IF(Table1[[#This Row],[h_Item Description]]="","",INDEX([1]!db[NB PAJAK],MATCH(Table1[[#This Row],[h_Item Description]],[1]!db[kode],0)))</f>
        <v>LABEL HARGA JOYKO LB-2RL (1 LINE PUTIH)</v>
      </c>
      <c r="P108" s="281" t="s">
        <v>162</v>
      </c>
      <c r="Q108" s="284">
        <v>2050</v>
      </c>
      <c r="R108" s="285">
        <v>0.125</v>
      </c>
      <c r="T108" s="284">
        <f>Table1[[#This Row],[h_hargasetelahdiskon]]</f>
        <v>1793750</v>
      </c>
      <c r="W108" s="288">
        <f ca="1">IF(Table1[[#This Row],[Item Description]]="","",IF(Table1[[#This Row],[//]]="",INDIRECT(ADDRESS(ROW()-1,COLUMN())),Table1[[#This Row],[//]]))</f>
        <v>107</v>
      </c>
      <c r="X108" s="288">
        <f ca="1">IF(Table1[[#This Row],[h_id]]="","",COUNTIF(Table1[h_id],Table1[[#This Row],[h_id]]))</f>
        <v>2</v>
      </c>
      <c r="Y108" s="284">
        <f>IF(Table1[Item Description]="","",Table1[[#This Row],[Qty]]*Table1[[#This Row],[Unit Price]])</f>
        <v>2050000</v>
      </c>
      <c r="Z108" s="284">
        <f>IF(Table1[[#This Row],[h_hargasebelumdiskon]]="","",IF(Table1[[#This Row],[Disc 1]]="",0,Table1[[#This Row],[h_hargasebelumdiskon]]*Table1[[#This Row],[Disc 1]]))</f>
        <v>256250</v>
      </c>
      <c r="AA108" s="284">
        <f>IF(Table1[[#This Row],[h_hargasebelumdiskon]]="","",IF(Table1[[#This Row],[Disc 2]]="",0,(Table1[[#This Row],[h_hargasebelumdiskon]]-Table1[[#This Row],[h_disc 1]])*Table1[[#This Row],[Disc 2]]))</f>
        <v>0</v>
      </c>
      <c r="AB108" s="284">
        <f>IF(Table1[Item Description]="","",Table1[[#This Row],[h_disc 1]]+Table1[[#This Row],[h_disc 2]])</f>
        <v>256250</v>
      </c>
      <c r="AC108" s="284">
        <f>IF(Table1[Item Description]="","",Table1[[#This Row],[h_hargasebelumdiskon]]-Table1[[#This Row],[h_diskon]])</f>
        <v>1793750</v>
      </c>
      <c r="AD108" s="284" t="str">
        <f ca="1">IF(Table1[//]="","",SUMIF(Table1[h_id],Table1[h_id],Table1[h_hargasetelahdiskon]))</f>
        <v/>
      </c>
      <c r="AE108" s="284"/>
      <c r="AF108" s="284" t="str">
        <f>Table1[[#This Row],[Item Description]]&amp;Table1[[#This Row],[Unit]]&amp;Table1[[#This Row],[Unit Price]]</f>
        <v>LABEL HARGA JOYKO LB-2RL (1 LINE PUTIH)PCS2050</v>
      </c>
    </row>
    <row r="109" spans="1:32" x14ac:dyDescent="0.25">
      <c r="A109" s="288" t="str">
        <f ca="1">IF(Table1[[#This Row],[No. Invoice :]]="","",ROW())</f>
        <v/>
      </c>
      <c r="B109" s="288" t="str">
        <f ca="1">IF(Table1[h_Kode Sales :_1]="","",B$1+COUNT(INDIRECT("B$2:B"&amp;ROW()-1)))</f>
        <v/>
      </c>
      <c r="C109" s="282" t="str">
        <f>IF(Table1[[#This Row],[H_TGL]]="","",Table1[[#This Row],[H_TGL]]+C$1-1)</f>
        <v/>
      </c>
      <c r="H109" s="288" t="str">
        <f ca="1">IF(Table1[[#This Row],[h_No. Invoice :]]="","",CONCATENATE("AM"," ",Table1[[#This Row],[h_No. Invoice :]]))</f>
        <v/>
      </c>
      <c r="I109" s="289" t="str">
        <f>CONCATENATE(UPPER(Table1[[#This Row],[h_Kode Sales :_1]])," ",Table1[[#This Row],[h_Kode Sales :_2]])</f>
        <v xml:space="preserve"> </v>
      </c>
      <c r="J109" s="288" t="str">
        <f>IF(Table1[[#This Row],[h_toko]]="","",INDEX(Table2[e],IF(Table1[[#This Row],[h_toko]]="","",MATCH(Table1[[#This Row],[h_toko]],Table2[a],0)),))</f>
        <v/>
      </c>
      <c r="O109" s="288" t="str">
        <f>IF(Table1[[#This Row],[h_Item Description]]="","",INDEX([1]!db[NB PAJAK],MATCH(Table1[[#This Row],[h_Item Description]],[1]!db[kode],0)))</f>
        <v/>
      </c>
      <c r="Q109" s="284"/>
      <c r="R109" s="285"/>
      <c r="T109" s="284" t="str">
        <f>Table1[[#This Row],[h_hargasetelahdiskon]]</f>
        <v/>
      </c>
      <c r="W109" s="288" t="str">
        <f ca="1">IF(Table1[[#This Row],[Item Description]]="","",IF(Table1[[#This Row],[//]]="",INDIRECT(ADDRESS(ROW()-1,COLUMN())),Table1[[#This Row],[//]]))</f>
        <v/>
      </c>
      <c r="X109" s="288" t="str">
        <f ca="1">IF(Table1[[#This Row],[h_id]]="","",COUNTIF(Table1[h_id],Table1[[#This Row],[h_id]]))</f>
        <v/>
      </c>
      <c r="Y109" s="284" t="str">
        <f>IF(Table1[Item Description]="","",Table1[[#This Row],[Qty]]*Table1[[#This Row],[Unit Price]])</f>
        <v/>
      </c>
      <c r="Z109" s="284" t="str">
        <f>IF(Table1[[#This Row],[h_hargasebelumdiskon]]="","",IF(Table1[[#This Row],[Disc 1]]="",0,Table1[[#This Row],[h_hargasebelumdiskon]]*Table1[[#This Row],[Disc 1]]))</f>
        <v/>
      </c>
      <c r="AA109" s="284" t="str">
        <f>IF(Table1[[#This Row],[h_hargasebelumdiskon]]="","",IF(Table1[[#This Row],[Disc 2]]="",0,(Table1[[#This Row],[h_hargasebelumdiskon]]-Table1[[#This Row],[h_disc 1]])*Table1[[#This Row],[Disc 2]]))</f>
        <v/>
      </c>
      <c r="AB109" s="284" t="str">
        <f>IF(Table1[Item Description]="","",Table1[[#This Row],[h_disc 1]]+Table1[[#This Row],[h_disc 2]])</f>
        <v/>
      </c>
      <c r="AC109" s="284" t="str">
        <f>IF(Table1[Item Description]="","",Table1[[#This Row],[h_hargasebelumdiskon]]-Table1[[#This Row],[h_diskon]])</f>
        <v/>
      </c>
      <c r="AD109" s="284" t="str">
        <f ca="1">IF(Table1[//]="","",SUMIF(Table1[h_id],Table1[h_id],Table1[h_hargasetelahdiskon]))</f>
        <v/>
      </c>
      <c r="AE109" s="284"/>
      <c r="AF109" s="284" t="str">
        <f>Table1[[#This Row],[Item Description]]&amp;Table1[[#This Row],[Unit]]&amp;Table1[[#This Row],[Unit Price]]</f>
        <v/>
      </c>
    </row>
    <row r="110" spans="1:32" x14ac:dyDescent="0.25">
      <c r="A110" s="288">
        <f ca="1">IF(Table1[[#This Row],[No. Invoice :]]="","",ROW())</f>
        <v>110</v>
      </c>
      <c r="B110" s="288">
        <f ca="1">IF(Table1[h_Kode Sales :_1]="","",B$1+COUNT(INDIRECT("B$2:B"&amp;ROW()-1)))</f>
        <v>23070032</v>
      </c>
      <c r="C110" s="282">
        <f>IF(Table1[[#This Row],[H_TGL]]="","",Table1[[#This Row],[H_TGL]]+C$1-1)</f>
        <v>45131</v>
      </c>
      <c r="D110" s="293">
        <v>24</v>
      </c>
      <c r="E110" s="281" t="s">
        <v>129</v>
      </c>
      <c r="F110" s="283" t="s">
        <v>297</v>
      </c>
      <c r="G110" s="281" t="s">
        <v>183</v>
      </c>
      <c r="H110" s="288" t="str">
        <f ca="1">IF(Table1[[#This Row],[h_No. Invoice :]]="","",CONCATENATE("AM"," ",Table1[[#This Row],[h_No. Invoice :]]))</f>
        <v>AM 23070032</v>
      </c>
      <c r="I110" s="289" t="str">
        <f>CONCATENATE(UPPER(Table1[[#This Row],[h_Kode Sales :_1]])," ",Table1[[#This Row],[h_Kode Sales :_2]])</f>
        <v>G 2653</v>
      </c>
      <c r="J110" s="288" t="str">
        <f>IF(Table1[[#This Row],[h_toko]]="","",INDEX(Table2[e],IF(Table1[[#This Row],[h_toko]]="","",MATCH(Table1[[#This Row],[h_toko]],Table2[a],0)),))</f>
        <v>GUNAWAN HARTONO KUSUMA ( NIKI SAE ) TULUNG AGUNG</v>
      </c>
      <c r="K110" s="281">
        <v>144</v>
      </c>
      <c r="L110" s="281" t="s">
        <v>142</v>
      </c>
      <c r="M110" s="281">
        <v>1</v>
      </c>
      <c r="N110" s="281" t="s">
        <v>298</v>
      </c>
      <c r="O110" s="288" t="str">
        <f>IF(Table1[[#This Row],[h_Item Description]]="","",INDEX([1]!db[NB PAJAK],MATCH(Table1[[#This Row],[h_Item Description]],[1]!db[kode],0)))</f>
        <v>GEL PEN JOYKO GP-212 I-DIAMOND</v>
      </c>
      <c r="P110" s="281" t="s">
        <v>299</v>
      </c>
      <c r="Q110" s="284">
        <v>21600</v>
      </c>
      <c r="R110" s="285">
        <v>0.125</v>
      </c>
      <c r="T110" s="284">
        <f>Table1[[#This Row],[h_hargasetelahdiskon]]</f>
        <v>2721600</v>
      </c>
      <c r="U110" s="284" t="s">
        <v>149</v>
      </c>
      <c r="W110" s="288">
        <f ca="1">IF(Table1[[#This Row],[Item Description]]="","",IF(Table1[[#This Row],[//]]="",INDIRECT(ADDRESS(ROW()-1,COLUMN())),Table1[[#This Row],[//]]))</f>
        <v>110</v>
      </c>
      <c r="X110" s="288">
        <f ca="1">IF(Table1[[#This Row],[h_id]]="","",COUNTIF(Table1[h_id],Table1[[#This Row],[h_id]]))</f>
        <v>2</v>
      </c>
      <c r="Y110" s="284">
        <f>IF(Table1[Item Description]="","",Table1[[#This Row],[Qty]]*Table1[[#This Row],[Unit Price]])</f>
        <v>3110400</v>
      </c>
      <c r="Z110" s="284">
        <f>IF(Table1[[#This Row],[h_hargasebelumdiskon]]="","",IF(Table1[[#This Row],[Disc 1]]="",0,Table1[[#This Row],[h_hargasebelumdiskon]]*Table1[[#This Row],[Disc 1]]))</f>
        <v>388800</v>
      </c>
      <c r="AA110" s="284">
        <f>IF(Table1[[#This Row],[h_hargasebelumdiskon]]="","",IF(Table1[[#This Row],[Disc 2]]="",0,(Table1[[#This Row],[h_hargasebelumdiskon]]-Table1[[#This Row],[h_disc 1]])*Table1[[#This Row],[Disc 2]]))</f>
        <v>0</v>
      </c>
      <c r="AB110" s="284">
        <f>IF(Table1[Item Description]="","",Table1[[#This Row],[h_disc 1]]+Table1[[#This Row],[h_disc 2]])</f>
        <v>388800</v>
      </c>
      <c r="AC110" s="284">
        <f>IF(Table1[Item Description]="","",Table1[[#This Row],[h_hargasebelumdiskon]]-Table1[[#This Row],[h_diskon]])</f>
        <v>2721600</v>
      </c>
      <c r="AD110" s="284">
        <f ca="1">IF(Table1[//]="","",SUMIF(Table1[h_id],Table1[h_id],Table1[h_hargasetelahdiskon]))</f>
        <v>7172550</v>
      </c>
      <c r="AE110" s="284"/>
      <c r="AF110" s="284" t="str">
        <f>Table1[[#This Row],[Item Description]]&amp;Table1[[#This Row],[Unit]]&amp;Table1[[#This Row],[Unit Price]]</f>
        <v>GEL PEN JOYKO GP-212 I-DIAMONDLSN21600</v>
      </c>
    </row>
    <row r="111" spans="1:32" x14ac:dyDescent="0.25">
      <c r="A111" s="288" t="str">
        <f ca="1">IF(Table1[[#This Row],[No. Invoice :]]="","",ROW())</f>
        <v/>
      </c>
      <c r="B111" s="288" t="str">
        <f ca="1">IF(Table1[h_Kode Sales :_1]="","",B$1+COUNT(INDIRECT("B$2:B"&amp;ROW()-1)))</f>
        <v/>
      </c>
      <c r="C111" s="282" t="str">
        <f>IF(Table1[[#This Row],[H_TGL]]="","",Table1[[#This Row],[H_TGL]]+C$1-1)</f>
        <v/>
      </c>
      <c r="H111" s="288" t="str">
        <f ca="1">IF(Table1[[#This Row],[h_No. Invoice :]]="","",CONCATENATE("AM"," ",Table1[[#This Row],[h_No. Invoice :]]))</f>
        <v/>
      </c>
      <c r="I111" s="289" t="str">
        <f>CONCATENATE(UPPER(Table1[[#This Row],[h_Kode Sales :_1]])," ",Table1[[#This Row],[h_Kode Sales :_2]])</f>
        <v xml:space="preserve"> </v>
      </c>
      <c r="J111" s="288" t="str">
        <f>IF(Table1[[#This Row],[h_toko]]="","",INDEX(Table2[e],IF(Table1[[#This Row],[h_toko]]="","",MATCH(Table1[[#This Row],[h_toko]],Table2[a],0)),))</f>
        <v/>
      </c>
      <c r="K111" s="281">
        <v>108</v>
      </c>
      <c r="L111" s="281" t="s">
        <v>142</v>
      </c>
      <c r="M111" s="281">
        <v>3</v>
      </c>
      <c r="N111" s="281" t="s">
        <v>292</v>
      </c>
      <c r="O111" s="288" t="str">
        <f>IF(Table1[[#This Row],[h_Item Description]]="","",INDEX([1]!db[NB PAJAK],MATCH(Table1[[#This Row],[h_Item Description]],[1]!db[kode],0)))</f>
        <v>CORRECTION FLUID KENKO KE-108</v>
      </c>
      <c r="P111" s="281" t="s">
        <v>293</v>
      </c>
      <c r="Q111" s="284">
        <v>47100</v>
      </c>
      <c r="R111" s="285">
        <v>0.125</v>
      </c>
      <c r="T111" s="284">
        <f>Table1[[#This Row],[h_hargasetelahdiskon]]</f>
        <v>4450950</v>
      </c>
      <c r="W111" s="288">
        <f ca="1">IF(Table1[[#This Row],[Item Description]]="","",IF(Table1[[#This Row],[//]]="",INDIRECT(ADDRESS(ROW()-1,COLUMN())),Table1[[#This Row],[//]]))</f>
        <v>110</v>
      </c>
      <c r="X111" s="288">
        <f ca="1">IF(Table1[[#This Row],[h_id]]="","",COUNTIF(Table1[h_id],Table1[[#This Row],[h_id]]))</f>
        <v>2</v>
      </c>
      <c r="Y111" s="284">
        <f>IF(Table1[Item Description]="","",Table1[[#This Row],[Qty]]*Table1[[#This Row],[Unit Price]])</f>
        <v>5086800</v>
      </c>
      <c r="Z111" s="284">
        <f>IF(Table1[[#This Row],[h_hargasebelumdiskon]]="","",IF(Table1[[#This Row],[Disc 1]]="",0,Table1[[#This Row],[h_hargasebelumdiskon]]*Table1[[#This Row],[Disc 1]]))</f>
        <v>635850</v>
      </c>
      <c r="AA111" s="284">
        <f>IF(Table1[[#This Row],[h_hargasebelumdiskon]]="","",IF(Table1[[#This Row],[Disc 2]]="",0,(Table1[[#This Row],[h_hargasebelumdiskon]]-Table1[[#This Row],[h_disc 1]])*Table1[[#This Row],[Disc 2]]))</f>
        <v>0</v>
      </c>
      <c r="AB111" s="284">
        <f>IF(Table1[Item Description]="","",Table1[[#This Row],[h_disc 1]]+Table1[[#This Row],[h_disc 2]])</f>
        <v>635850</v>
      </c>
      <c r="AC111" s="284">
        <f>IF(Table1[Item Description]="","",Table1[[#This Row],[h_hargasebelumdiskon]]-Table1[[#This Row],[h_diskon]])</f>
        <v>4450950</v>
      </c>
      <c r="AD111" s="284" t="str">
        <f ca="1">IF(Table1[//]="","",SUMIF(Table1[h_id],Table1[h_id],Table1[h_hargasetelahdiskon]))</f>
        <v/>
      </c>
      <c r="AE111" s="284"/>
      <c r="AF111" s="284" t="str">
        <f>Table1[[#This Row],[Item Description]]&amp;Table1[[#This Row],[Unit]]&amp;Table1[[#This Row],[Unit Price]]</f>
        <v>CORRECTION FLUID KENKO KE-108LSN47100</v>
      </c>
    </row>
    <row r="112" spans="1:32" x14ac:dyDescent="0.25">
      <c r="A112" s="288" t="str">
        <f ca="1">IF(Table1[[#This Row],[No. Invoice :]]="","",ROW())</f>
        <v/>
      </c>
      <c r="B112" s="288" t="str">
        <f ca="1">IF(Table1[h_Kode Sales :_1]="","",B$1+COUNT(INDIRECT("B$2:B"&amp;ROW()-1)))</f>
        <v/>
      </c>
      <c r="C112" s="282" t="str">
        <f>IF(Table1[[#This Row],[H_TGL]]="","",Table1[[#This Row],[H_TGL]]+C$1-1)</f>
        <v/>
      </c>
      <c r="H112" s="288" t="str">
        <f ca="1">IF(Table1[[#This Row],[h_No. Invoice :]]="","",CONCATENATE("AM"," ",Table1[[#This Row],[h_No. Invoice :]]))</f>
        <v/>
      </c>
      <c r="I112" s="289" t="str">
        <f>CONCATENATE(UPPER(Table1[[#This Row],[h_Kode Sales :_1]])," ",Table1[[#This Row],[h_Kode Sales :_2]])</f>
        <v xml:space="preserve"> </v>
      </c>
      <c r="J112" s="288" t="str">
        <f>IF(Table1[[#This Row],[h_toko]]="","",INDEX(Table2[e],IF(Table1[[#This Row],[h_toko]]="","",MATCH(Table1[[#This Row],[h_toko]],Table2[a],0)),))</f>
        <v/>
      </c>
      <c r="O112" s="288" t="str">
        <f>IF(Table1[[#This Row],[h_Item Description]]="","",INDEX([1]!db[NB PAJAK],MATCH(Table1[[#This Row],[h_Item Description]],[1]!db[kode],0)))</f>
        <v/>
      </c>
      <c r="Q112" s="284"/>
      <c r="R112" s="285"/>
      <c r="T112" s="284" t="str">
        <f>Table1[[#This Row],[h_hargasetelahdiskon]]</f>
        <v/>
      </c>
      <c r="W112" s="288" t="str">
        <f ca="1">IF(Table1[[#This Row],[Item Description]]="","",IF(Table1[[#This Row],[//]]="",INDIRECT(ADDRESS(ROW()-1,COLUMN())),Table1[[#This Row],[//]]))</f>
        <v/>
      </c>
      <c r="X112" s="288" t="str">
        <f ca="1">IF(Table1[[#This Row],[h_id]]="","",COUNTIF(Table1[h_id],Table1[[#This Row],[h_id]]))</f>
        <v/>
      </c>
      <c r="Y112" s="284" t="str">
        <f>IF(Table1[Item Description]="","",Table1[[#This Row],[Qty]]*Table1[[#This Row],[Unit Price]])</f>
        <v/>
      </c>
      <c r="Z112" s="284" t="str">
        <f>IF(Table1[[#This Row],[h_hargasebelumdiskon]]="","",IF(Table1[[#This Row],[Disc 1]]="",0,Table1[[#This Row],[h_hargasebelumdiskon]]*Table1[[#This Row],[Disc 1]]))</f>
        <v/>
      </c>
      <c r="AA112" s="284" t="str">
        <f>IF(Table1[[#This Row],[h_hargasebelumdiskon]]="","",IF(Table1[[#This Row],[Disc 2]]="",0,(Table1[[#This Row],[h_hargasebelumdiskon]]-Table1[[#This Row],[h_disc 1]])*Table1[[#This Row],[Disc 2]]))</f>
        <v/>
      </c>
      <c r="AB112" s="284" t="str">
        <f>IF(Table1[Item Description]="","",Table1[[#This Row],[h_disc 1]]+Table1[[#This Row],[h_disc 2]])</f>
        <v/>
      </c>
      <c r="AC112" s="284" t="str">
        <f>IF(Table1[Item Description]="","",Table1[[#This Row],[h_hargasebelumdiskon]]-Table1[[#This Row],[h_diskon]])</f>
        <v/>
      </c>
      <c r="AD112" s="284" t="str">
        <f ca="1">IF(Table1[//]="","",SUMIF(Table1[h_id],Table1[h_id],Table1[h_hargasetelahdiskon]))</f>
        <v/>
      </c>
      <c r="AE112" s="284"/>
      <c r="AF112" s="284" t="str">
        <f>Table1[[#This Row],[Item Description]]&amp;Table1[[#This Row],[Unit]]&amp;Table1[[#This Row],[Unit Price]]</f>
        <v/>
      </c>
    </row>
    <row r="113" spans="1:32" x14ac:dyDescent="0.25">
      <c r="A113" s="288">
        <f ca="1">IF(Table1[[#This Row],[No. Invoice :]]="","",ROW())</f>
        <v>113</v>
      </c>
      <c r="B113" s="288">
        <f ca="1">IF(Table1[h_Kode Sales :_1]="","",B$1+COUNT(INDIRECT("B$2:B"&amp;ROW()-1)))</f>
        <v>23070033</v>
      </c>
      <c r="C113" s="282">
        <f>IF(Table1[[#This Row],[H_TGL]]="","",Table1[[#This Row],[H_TGL]]+C$1-1)</f>
        <v>45131</v>
      </c>
      <c r="D113" s="293">
        <v>24</v>
      </c>
      <c r="E113" s="281" t="s">
        <v>122</v>
      </c>
      <c r="F113" s="283" t="s">
        <v>300</v>
      </c>
      <c r="G113" s="281" t="s">
        <v>84</v>
      </c>
      <c r="H113" s="288" t="str">
        <f ca="1">IF(Table1[[#This Row],[h_No. Invoice :]]="","",CONCATENATE("AM"," ",Table1[[#This Row],[h_No. Invoice :]]))</f>
        <v>AM 23070033</v>
      </c>
      <c r="I113" s="289" t="str">
        <f>CONCATENATE(UPPER(Table1[[#This Row],[h_Kode Sales :_1]])," ",Table1[[#This Row],[h_Kode Sales :_2]])</f>
        <v>KO 2655</v>
      </c>
      <c r="J113" s="288" t="str">
        <f>IF(Table1[[#This Row],[h_toko]]="","",INDEX(Table2[e],IF(Table1[[#This Row],[h_toko]]="","",MATCH(Table1[[#This Row],[h_toko]],Table2[a],0)),))</f>
        <v>CV PELITA JAYA (ANUGERAH SEJAHTERA) PURWOKERTO</v>
      </c>
      <c r="K113" s="281">
        <v>432</v>
      </c>
      <c r="L113" s="281" t="s">
        <v>142</v>
      </c>
      <c r="M113" s="281">
        <v>3</v>
      </c>
      <c r="N113" s="281" t="s">
        <v>230</v>
      </c>
      <c r="O113" s="288" t="str">
        <f>IF(Table1[[#This Row],[h_Item Description]]="","",INDEX([1]!db[NB PAJAK],MATCH(Table1[[#This Row],[h_Item Description]],[1]!db[kode],0)))</f>
        <v>PENSIL WARNA JOYKO CP-12PB (PANJANG)</v>
      </c>
      <c r="P113" s="281" t="s">
        <v>235</v>
      </c>
      <c r="Q113" s="284">
        <v>10600</v>
      </c>
      <c r="R113" s="285">
        <v>0.13500000000000001</v>
      </c>
      <c r="T113" s="284">
        <f>Table1[[#This Row],[h_hargasetelahdiskon]]</f>
        <v>3961008</v>
      </c>
      <c r="U113" s="284" t="s">
        <v>149</v>
      </c>
      <c r="W113" s="288">
        <f ca="1">IF(Table1[[#This Row],[Item Description]]="","",IF(Table1[[#This Row],[//]]="",INDIRECT(ADDRESS(ROW()-1,COLUMN())),Table1[[#This Row],[//]]))</f>
        <v>113</v>
      </c>
      <c r="X113" s="288">
        <f ca="1">IF(Table1[[#This Row],[h_id]]="","",COUNTIF(Table1[h_id],Table1[[#This Row],[h_id]]))</f>
        <v>6</v>
      </c>
      <c r="Y113" s="284">
        <f>IF(Table1[Item Description]="","",Table1[[#This Row],[Qty]]*Table1[[#This Row],[Unit Price]])</f>
        <v>4579200</v>
      </c>
      <c r="Z113" s="284">
        <f>IF(Table1[[#This Row],[h_hargasebelumdiskon]]="","",IF(Table1[[#This Row],[Disc 1]]="",0,Table1[[#This Row],[h_hargasebelumdiskon]]*Table1[[#This Row],[Disc 1]]))</f>
        <v>618192</v>
      </c>
      <c r="AA113" s="284">
        <f>IF(Table1[[#This Row],[h_hargasebelumdiskon]]="","",IF(Table1[[#This Row],[Disc 2]]="",0,(Table1[[#This Row],[h_hargasebelumdiskon]]-Table1[[#This Row],[h_disc 1]])*Table1[[#This Row],[Disc 2]]))</f>
        <v>0</v>
      </c>
      <c r="AB113" s="284">
        <f>IF(Table1[Item Description]="","",Table1[[#This Row],[h_disc 1]]+Table1[[#This Row],[h_disc 2]])</f>
        <v>618192</v>
      </c>
      <c r="AC113" s="284">
        <f>IF(Table1[Item Description]="","",Table1[[#This Row],[h_hargasebelumdiskon]]-Table1[[#This Row],[h_diskon]])</f>
        <v>3961008</v>
      </c>
      <c r="AD113" s="284">
        <f ca="1">IF(Table1[//]="","",SUMIF(Table1[h_id],Table1[h_id],Table1[h_hargasetelahdiskon]))</f>
        <v>26192892</v>
      </c>
      <c r="AE113" s="284"/>
      <c r="AF113" s="284" t="str">
        <f>Table1[[#This Row],[Item Description]]&amp;Table1[[#This Row],[Unit]]&amp;Table1[[#This Row],[Unit Price]]</f>
        <v>PENSIL WARNA JOYKO CP-12PB (PANJANG)LSN10600</v>
      </c>
    </row>
    <row r="114" spans="1:32" x14ac:dyDescent="0.25">
      <c r="A114" s="288" t="str">
        <f ca="1">IF(Table1[[#This Row],[No. Invoice :]]="","",ROW())</f>
        <v/>
      </c>
      <c r="B114" s="288" t="str">
        <f ca="1">IF(Table1[h_Kode Sales :_1]="","",B$1+COUNT(INDIRECT("B$2:B"&amp;ROW()-1)))</f>
        <v/>
      </c>
      <c r="C114" s="282" t="str">
        <f>IF(Table1[[#This Row],[H_TGL]]="","",Table1[[#This Row],[H_TGL]]+C$1-1)</f>
        <v/>
      </c>
      <c r="H114" s="288" t="str">
        <f ca="1">IF(Table1[[#This Row],[h_No. Invoice :]]="","",CONCATENATE("AM"," ",Table1[[#This Row],[h_No. Invoice :]]))</f>
        <v/>
      </c>
      <c r="I114" s="289" t="str">
        <f>CONCATENATE(UPPER(Table1[[#This Row],[h_Kode Sales :_1]])," ",Table1[[#This Row],[h_Kode Sales :_2]])</f>
        <v xml:space="preserve"> </v>
      </c>
      <c r="J114" s="288" t="str">
        <f>IF(Table1[[#This Row],[h_toko]]="","",INDEX(Table2[e],IF(Table1[[#This Row],[h_toko]]="","",MATCH(Table1[[#This Row],[h_toko]],Table2[a],0)),))</f>
        <v/>
      </c>
      <c r="K114" s="281">
        <v>100</v>
      </c>
      <c r="L114" s="281" t="s">
        <v>142</v>
      </c>
      <c r="M114" s="281">
        <v>5</v>
      </c>
      <c r="N114" s="281" t="s">
        <v>301</v>
      </c>
      <c r="O114" s="288" t="str">
        <f>IF(Table1[[#This Row],[h_Item Description]]="","",INDEX([1]!db[NB PAJAK],MATCH(Table1[[#This Row],[h_Item Description]],[1]!db[kode],0)))</f>
        <v>STAPLER KENKO HD-10</v>
      </c>
      <c r="P114" s="281" t="s">
        <v>302</v>
      </c>
      <c r="Q114" s="284">
        <v>93000</v>
      </c>
      <c r="R114" s="285">
        <v>0.13500000000000001</v>
      </c>
      <c r="T114" s="284">
        <f>Table1[[#This Row],[h_hargasetelahdiskon]]</f>
        <v>8044500</v>
      </c>
      <c r="W114" s="288">
        <f ca="1">IF(Table1[[#This Row],[Item Description]]="","",IF(Table1[[#This Row],[//]]="",INDIRECT(ADDRESS(ROW()-1,COLUMN())),Table1[[#This Row],[//]]))</f>
        <v>113</v>
      </c>
      <c r="X114" s="288">
        <f ca="1">IF(Table1[[#This Row],[h_id]]="","",COUNTIF(Table1[h_id],Table1[[#This Row],[h_id]]))</f>
        <v>6</v>
      </c>
      <c r="Y114" s="284">
        <f>IF(Table1[Item Description]="","",Table1[[#This Row],[Qty]]*Table1[[#This Row],[Unit Price]])</f>
        <v>9300000</v>
      </c>
      <c r="Z114" s="284">
        <f>IF(Table1[[#This Row],[h_hargasebelumdiskon]]="","",IF(Table1[[#This Row],[Disc 1]]="",0,Table1[[#This Row],[h_hargasebelumdiskon]]*Table1[[#This Row],[Disc 1]]))</f>
        <v>1255500</v>
      </c>
      <c r="AA114" s="284">
        <f>IF(Table1[[#This Row],[h_hargasebelumdiskon]]="","",IF(Table1[[#This Row],[Disc 2]]="",0,(Table1[[#This Row],[h_hargasebelumdiskon]]-Table1[[#This Row],[h_disc 1]])*Table1[[#This Row],[Disc 2]]))</f>
        <v>0</v>
      </c>
      <c r="AB114" s="284">
        <f>IF(Table1[Item Description]="","",Table1[[#This Row],[h_disc 1]]+Table1[[#This Row],[h_disc 2]])</f>
        <v>1255500</v>
      </c>
      <c r="AC114" s="284">
        <f>IF(Table1[Item Description]="","",Table1[[#This Row],[h_hargasebelumdiskon]]-Table1[[#This Row],[h_diskon]])</f>
        <v>8044500</v>
      </c>
      <c r="AD114" s="284" t="str">
        <f ca="1">IF(Table1[//]="","",SUMIF(Table1[h_id],Table1[h_id],Table1[h_hargasetelahdiskon]))</f>
        <v/>
      </c>
      <c r="AE114" s="284"/>
      <c r="AF114" s="284" t="str">
        <f>Table1[[#This Row],[Item Description]]&amp;Table1[[#This Row],[Unit]]&amp;Table1[[#This Row],[Unit Price]]</f>
        <v>STAPLER KENKO HD-10LSN93000</v>
      </c>
    </row>
    <row r="115" spans="1:32" x14ac:dyDescent="0.25">
      <c r="A115" s="288" t="str">
        <f ca="1">IF(Table1[[#This Row],[No. Invoice :]]="","",ROW())</f>
        <v/>
      </c>
      <c r="B115" s="288" t="str">
        <f ca="1">IF(Table1[h_Kode Sales :_1]="","",B$1+COUNT(INDIRECT("B$2:B"&amp;ROW()-1)))</f>
        <v/>
      </c>
      <c r="C115" s="282" t="str">
        <f>IF(Table1[[#This Row],[H_TGL]]="","",Table1[[#This Row],[H_TGL]]+C$1-1)</f>
        <v/>
      </c>
      <c r="H115" s="288" t="str">
        <f ca="1">IF(Table1[[#This Row],[h_No. Invoice :]]="","",CONCATENATE("AM"," ",Table1[[#This Row],[h_No. Invoice :]]))</f>
        <v/>
      </c>
      <c r="I115" s="289" t="str">
        <f>CONCATENATE(UPPER(Table1[[#This Row],[h_Kode Sales :_1]])," ",Table1[[#This Row],[h_Kode Sales :_2]])</f>
        <v xml:space="preserve"> </v>
      </c>
      <c r="J115" s="288" t="str">
        <f>IF(Table1[[#This Row],[h_toko]]="","",INDEX(Table2[e],IF(Table1[[#This Row],[h_toko]]="","",MATCH(Table1[[#This Row],[h_toko]],Table2[a],0)),))</f>
        <v/>
      </c>
      <c r="K115" s="281">
        <v>60</v>
      </c>
      <c r="L115" s="281" t="s">
        <v>142</v>
      </c>
      <c r="M115" s="281">
        <v>2</v>
      </c>
      <c r="N115" s="281" t="s">
        <v>305</v>
      </c>
      <c r="O115" s="288" t="str">
        <f>IF(Table1[[#This Row],[h_Item Description]]="","",INDEX([1]!db[NB PAJAK],MATCH(Table1[[#This Row],[h_Item Description]],[1]!db[kode],0)))</f>
        <v>CUTTER 9 MM KENKO A-300 (KECIL)</v>
      </c>
      <c r="P115" s="281" t="s">
        <v>306</v>
      </c>
      <c r="Q115" s="284">
        <v>57000</v>
      </c>
      <c r="R115" s="285">
        <v>0.13500000000000001</v>
      </c>
      <c r="T115" s="284">
        <f>Table1[[#This Row],[h_hargasetelahdiskon]]</f>
        <v>2958300</v>
      </c>
      <c r="W115" s="288">
        <f ca="1">IF(Table1[[#This Row],[Item Description]]="","",IF(Table1[[#This Row],[//]]="",INDIRECT(ADDRESS(ROW()-1,COLUMN())),Table1[[#This Row],[//]]))</f>
        <v>113</v>
      </c>
      <c r="X115" s="288">
        <f ca="1">IF(Table1[[#This Row],[h_id]]="","",COUNTIF(Table1[h_id],Table1[[#This Row],[h_id]]))</f>
        <v>6</v>
      </c>
      <c r="Y115" s="284">
        <f>IF(Table1[Item Description]="","",Table1[[#This Row],[Qty]]*Table1[[#This Row],[Unit Price]])</f>
        <v>3420000</v>
      </c>
      <c r="Z115" s="284">
        <f>IF(Table1[[#This Row],[h_hargasebelumdiskon]]="","",IF(Table1[[#This Row],[Disc 1]]="",0,Table1[[#This Row],[h_hargasebelumdiskon]]*Table1[[#This Row],[Disc 1]]))</f>
        <v>461700.00000000006</v>
      </c>
      <c r="AA115" s="284">
        <f>IF(Table1[[#This Row],[h_hargasebelumdiskon]]="","",IF(Table1[[#This Row],[Disc 2]]="",0,(Table1[[#This Row],[h_hargasebelumdiskon]]-Table1[[#This Row],[h_disc 1]])*Table1[[#This Row],[Disc 2]]))</f>
        <v>0</v>
      </c>
      <c r="AB115" s="284">
        <f>IF(Table1[Item Description]="","",Table1[[#This Row],[h_disc 1]]+Table1[[#This Row],[h_disc 2]])</f>
        <v>461700.00000000006</v>
      </c>
      <c r="AC115" s="284">
        <f>IF(Table1[Item Description]="","",Table1[[#This Row],[h_hargasebelumdiskon]]-Table1[[#This Row],[h_diskon]])</f>
        <v>2958300</v>
      </c>
      <c r="AD115" s="284" t="str">
        <f ca="1">IF(Table1[//]="","",SUMIF(Table1[h_id],Table1[h_id],Table1[h_hargasetelahdiskon]))</f>
        <v/>
      </c>
      <c r="AE115" s="284"/>
      <c r="AF115" s="284" t="str">
        <f>Table1[[#This Row],[Item Description]]&amp;Table1[[#This Row],[Unit]]&amp;Table1[[#This Row],[Unit Price]]</f>
        <v>CUTTER 9 MM KENKO A-300 (KECIL)LSN57000</v>
      </c>
    </row>
    <row r="116" spans="1:32" x14ac:dyDescent="0.25">
      <c r="A116" s="288" t="str">
        <f ca="1">IF(Table1[[#This Row],[No. Invoice :]]="","",ROW())</f>
        <v/>
      </c>
      <c r="B116" s="288" t="str">
        <f ca="1">IF(Table1[h_Kode Sales :_1]="","",B$1+COUNT(INDIRECT("B$2:B"&amp;ROW()-1)))</f>
        <v/>
      </c>
      <c r="C116" s="282" t="str">
        <f>IF(Table1[[#This Row],[H_TGL]]="","",Table1[[#This Row],[H_TGL]]+C$1-1)</f>
        <v/>
      </c>
      <c r="H116" s="288" t="str">
        <f ca="1">IF(Table1[[#This Row],[h_No. Invoice :]]="","",CONCATENATE("AM"," ",Table1[[#This Row],[h_No. Invoice :]]))</f>
        <v/>
      </c>
      <c r="I116" s="289" t="str">
        <f>CONCATENATE(UPPER(Table1[[#This Row],[h_Kode Sales :_1]])," ",Table1[[#This Row],[h_Kode Sales :_2]])</f>
        <v xml:space="preserve"> </v>
      </c>
      <c r="J116" s="288" t="str">
        <f>IF(Table1[[#This Row],[h_toko]]="","",INDEX(Table2[e],IF(Table1[[#This Row],[h_toko]]="","",MATCH(Table1[[#This Row],[h_toko]],Table2[a],0)),))</f>
        <v/>
      </c>
      <c r="K116" s="281">
        <v>144</v>
      </c>
      <c r="L116" s="281" t="s">
        <v>142</v>
      </c>
      <c r="M116" s="281">
        <v>1</v>
      </c>
      <c r="N116" s="281" t="s">
        <v>303</v>
      </c>
      <c r="O116" s="288" t="str">
        <f>IF(Table1[[#This Row],[h_Item Description]]="","",INDEX([1]!db[NB PAJAK],MATCH(Table1[[#This Row],[h_Item Description]],[1]!db[kode],0)))</f>
        <v>BALLPEN JOYKO BP-338 VOCUS HITAM</v>
      </c>
      <c r="P116" s="281" t="s">
        <v>304</v>
      </c>
      <c r="Q116" s="284">
        <v>12600</v>
      </c>
      <c r="R116" s="285">
        <v>0.13500000000000001</v>
      </c>
      <c r="T116" s="284">
        <f>Table1[[#This Row],[h_hargasetelahdiskon]]</f>
        <v>1569456</v>
      </c>
      <c r="W116" s="288">
        <f ca="1">IF(Table1[[#This Row],[Item Description]]="","",IF(Table1[[#This Row],[//]]="",INDIRECT(ADDRESS(ROW()-1,COLUMN())),Table1[[#This Row],[//]]))</f>
        <v>113</v>
      </c>
      <c r="X116" s="288">
        <f ca="1">IF(Table1[[#This Row],[h_id]]="","",COUNTIF(Table1[h_id],Table1[[#This Row],[h_id]]))</f>
        <v>6</v>
      </c>
      <c r="Y116" s="284">
        <f>IF(Table1[Item Description]="","",Table1[[#This Row],[Qty]]*Table1[[#This Row],[Unit Price]])</f>
        <v>1814400</v>
      </c>
      <c r="Z116" s="284">
        <f>IF(Table1[[#This Row],[h_hargasebelumdiskon]]="","",IF(Table1[[#This Row],[Disc 1]]="",0,Table1[[#This Row],[h_hargasebelumdiskon]]*Table1[[#This Row],[Disc 1]]))</f>
        <v>244944.00000000003</v>
      </c>
      <c r="AA116" s="284">
        <f>IF(Table1[[#This Row],[h_hargasebelumdiskon]]="","",IF(Table1[[#This Row],[Disc 2]]="",0,(Table1[[#This Row],[h_hargasebelumdiskon]]-Table1[[#This Row],[h_disc 1]])*Table1[[#This Row],[Disc 2]]))</f>
        <v>0</v>
      </c>
      <c r="AB116" s="284">
        <f>IF(Table1[Item Description]="","",Table1[[#This Row],[h_disc 1]]+Table1[[#This Row],[h_disc 2]])</f>
        <v>244944.00000000003</v>
      </c>
      <c r="AC116" s="284">
        <f>IF(Table1[Item Description]="","",Table1[[#This Row],[h_hargasebelumdiskon]]-Table1[[#This Row],[h_diskon]])</f>
        <v>1569456</v>
      </c>
      <c r="AD116" s="284" t="str">
        <f ca="1">IF(Table1[//]="","",SUMIF(Table1[h_id],Table1[h_id],Table1[h_hargasetelahdiskon]))</f>
        <v/>
      </c>
      <c r="AE116" s="284"/>
      <c r="AF116" s="284" t="str">
        <f>Table1[[#This Row],[Item Description]]&amp;Table1[[#This Row],[Unit]]&amp;Table1[[#This Row],[Unit Price]]</f>
        <v>BALLPEN JOYKO BP-338 VOCUS HITAMLSN12600</v>
      </c>
    </row>
    <row r="117" spans="1:32" x14ac:dyDescent="0.25">
      <c r="A117" s="288" t="str">
        <f ca="1">IF(Table1[[#This Row],[No. Invoice :]]="","",ROW())</f>
        <v/>
      </c>
      <c r="B117" s="288" t="str">
        <f ca="1">IF(Table1[h_Kode Sales :_1]="","",B$1+COUNT(INDIRECT("B$2:B"&amp;ROW()-1)))</f>
        <v/>
      </c>
      <c r="C117" s="282" t="str">
        <f>IF(Table1[[#This Row],[H_TGL]]="","",Table1[[#This Row],[H_TGL]]+C$1-1)</f>
        <v/>
      </c>
      <c r="H117" s="288" t="str">
        <f ca="1">IF(Table1[[#This Row],[h_No. Invoice :]]="","",CONCATENATE("AM"," ",Table1[[#This Row],[h_No. Invoice :]]))</f>
        <v/>
      </c>
      <c r="I117" s="289" t="str">
        <f>CONCATENATE(UPPER(Table1[[#This Row],[h_Kode Sales :_1]])," ",Table1[[#This Row],[h_Kode Sales :_2]])</f>
        <v xml:space="preserve"> </v>
      </c>
      <c r="J117" s="288" t="str">
        <f>IF(Table1[[#This Row],[h_toko]]="","",INDEX(Table2[e],IF(Table1[[#This Row],[h_toko]]="","",MATCH(Table1[[#This Row],[h_toko]],Table2[a],0)),))</f>
        <v/>
      </c>
      <c r="K117" s="281">
        <v>72</v>
      </c>
      <c r="L117" s="281" t="s">
        <v>142</v>
      </c>
      <c r="M117" s="281">
        <v>1</v>
      </c>
      <c r="N117" s="281" t="s">
        <v>292</v>
      </c>
      <c r="O117" s="288" t="str">
        <f>IF(Table1[[#This Row],[h_Item Description]]="","",INDEX([1]!db[NB PAJAK],MATCH(Table1[[#This Row],[h_Item Description]],[1]!db[kode],0)))</f>
        <v>CORRECTION FLUID KENKO KE-108</v>
      </c>
      <c r="P117" s="281" t="s">
        <v>293</v>
      </c>
      <c r="Q117" s="284">
        <v>47100</v>
      </c>
      <c r="R117" s="285">
        <v>0.13500000000000001</v>
      </c>
      <c r="T117" s="284">
        <f>Table1[[#This Row],[h_hargasetelahdiskon]]</f>
        <v>2933388</v>
      </c>
      <c r="W117" s="288">
        <f ca="1">IF(Table1[[#This Row],[Item Description]]="","",IF(Table1[[#This Row],[//]]="",INDIRECT(ADDRESS(ROW()-1,COLUMN())),Table1[[#This Row],[//]]))</f>
        <v>113</v>
      </c>
      <c r="X117" s="288">
        <f ca="1">IF(Table1[[#This Row],[h_id]]="","",COUNTIF(Table1[h_id],Table1[[#This Row],[h_id]]))</f>
        <v>6</v>
      </c>
      <c r="Y117" s="284">
        <f>IF(Table1[Item Description]="","",Table1[[#This Row],[Qty]]*Table1[[#This Row],[Unit Price]])</f>
        <v>3391200</v>
      </c>
      <c r="Z117" s="284">
        <f>IF(Table1[[#This Row],[h_hargasebelumdiskon]]="","",IF(Table1[[#This Row],[Disc 1]]="",0,Table1[[#This Row],[h_hargasebelumdiskon]]*Table1[[#This Row],[Disc 1]]))</f>
        <v>457812.00000000006</v>
      </c>
      <c r="AA117" s="284">
        <f>IF(Table1[[#This Row],[h_hargasebelumdiskon]]="","",IF(Table1[[#This Row],[Disc 2]]="",0,(Table1[[#This Row],[h_hargasebelumdiskon]]-Table1[[#This Row],[h_disc 1]])*Table1[[#This Row],[Disc 2]]))</f>
        <v>0</v>
      </c>
      <c r="AB117" s="284">
        <f>IF(Table1[Item Description]="","",Table1[[#This Row],[h_disc 1]]+Table1[[#This Row],[h_disc 2]])</f>
        <v>457812.00000000006</v>
      </c>
      <c r="AC117" s="284">
        <f>IF(Table1[Item Description]="","",Table1[[#This Row],[h_hargasebelumdiskon]]-Table1[[#This Row],[h_diskon]])</f>
        <v>2933388</v>
      </c>
      <c r="AD117" s="284" t="str">
        <f ca="1">IF(Table1[//]="","",SUMIF(Table1[h_id],Table1[h_id],Table1[h_hargasetelahdiskon]))</f>
        <v/>
      </c>
      <c r="AE117" s="284"/>
      <c r="AF117" s="284" t="str">
        <f>Table1[[#This Row],[Item Description]]&amp;Table1[[#This Row],[Unit]]&amp;Table1[[#This Row],[Unit Price]]</f>
        <v>CORRECTION FLUID KENKO KE-108LSN47100</v>
      </c>
    </row>
    <row r="118" spans="1:32" x14ac:dyDescent="0.25">
      <c r="A118" s="288" t="str">
        <f ca="1">IF(Table1[[#This Row],[No. Invoice :]]="","",ROW())</f>
        <v/>
      </c>
      <c r="B118" s="288" t="str">
        <f ca="1">IF(Table1[h_Kode Sales :_1]="","",B$1+COUNT(INDIRECT("B$2:B"&amp;ROW()-1)))</f>
        <v/>
      </c>
      <c r="C118" s="282" t="str">
        <f>IF(Table1[[#This Row],[H_TGL]]="","",Table1[[#This Row],[H_TGL]]+C$1-1)</f>
        <v/>
      </c>
      <c r="H118" s="288" t="str">
        <f ca="1">IF(Table1[[#This Row],[h_No. Invoice :]]="","",CONCATENATE("AM"," ",Table1[[#This Row],[h_No. Invoice :]]))</f>
        <v/>
      </c>
      <c r="I118" s="289" t="str">
        <f>CONCATENATE(UPPER(Table1[[#This Row],[h_Kode Sales :_1]])," ",Table1[[#This Row],[h_Kode Sales :_2]])</f>
        <v xml:space="preserve"> </v>
      </c>
      <c r="J118" s="288" t="str">
        <f>IF(Table1[[#This Row],[h_toko]]="","",INDEX(Table2[e],IF(Table1[[#This Row],[h_toko]]="","",MATCH(Table1[[#This Row],[h_toko]],Table2[a],0)),))</f>
        <v/>
      </c>
      <c r="K118" s="281">
        <v>120</v>
      </c>
      <c r="L118" s="281" t="s">
        <v>142</v>
      </c>
      <c r="M118" s="281">
        <v>2</v>
      </c>
      <c r="N118" s="281" t="s">
        <v>157</v>
      </c>
      <c r="O118" s="288" t="str">
        <f>IF(Table1[[#This Row],[h_Item Description]]="","",INDEX([1]!db[NB PAJAK],MATCH(Table1[[#This Row],[h_Item Description]],[1]!db[kode],0)))</f>
        <v>ISI CUTTER 18 MM KENKO L-150 (BESAR)</v>
      </c>
      <c r="P118" s="281" t="s">
        <v>166</v>
      </c>
      <c r="Q118" s="284">
        <v>64800</v>
      </c>
      <c r="R118" s="285">
        <v>0.13500000000000001</v>
      </c>
      <c r="T118" s="284">
        <f>Table1[[#This Row],[h_hargasetelahdiskon]]</f>
        <v>6726240</v>
      </c>
      <c r="W118" s="288">
        <f ca="1">IF(Table1[[#This Row],[Item Description]]="","",IF(Table1[[#This Row],[//]]="",INDIRECT(ADDRESS(ROW()-1,COLUMN())),Table1[[#This Row],[//]]))</f>
        <v>113</v>
      </c>
      <c r="X118" s="288">
        <f ca="1">IF(Table1[[#This Row],[h_id]]="","",COUNTIF(Table1[h_id],Table1[[#This Row],[h_id]]))</f>
        <v>6</v>
      </c>
      <c r="Y118" s="284">
        <f>IF(Table1[Item Description]="","",Table1[[#This Row],[Qty]]*Table1[[#This Row],[Unit Price]])</f>
        <v>7776000</v>
      </c>
      <c r="Z118" s="284">
        <f>IF(Table1[[#This Row],[h_hargasebelumdiskon]]="","",IF(Table1[[#This Row],[Disc 1]]="",0,Table1[[#This Row],[h_hargasebelumdiskon]]*Table1[[#This Row],[Disc 1]]))</f>
        <v>1049760</v>
      </c>
      <c r="AA118" s="284">
        <f>IF(Table1[[#This Row],[h_hargasebelumdiskon]]="","",IF(Table1[[#This Row],[Disc 2]]="",0,(Table1[[#This Row],[h_hargasebelumdiskon]]-Table1[[#This Row],[h_disc 1]])*Table1[[#This Row],[Disc 2]]))</f>
        <v>0</v>
      </c>
      <c r="AB118" s="284">
        <f>IF(Table1[Item Description]="","",Table1[[#This Row],[h_disc 1]]+Table1[[#This Row],[h_disc 2]])</f>
        <v>1049760</v>
      </c>
      <c r="AC118" s="284">
        <f>IF(Table1[Item Description]="","",Table1[[#This Row],[h_hargasebelumdiskon]]-Table1[[#This Row],[h_diskon]])</f>
        <v>6726240</v>
      </c>
      <c r="AD118" s="284" t="str">
        <f ca="1">IF(Table1[//]="","",SUMIF(Table1[h_id],Table1[h_id],Table1[h_hargasetelahdiskon]))</f>
        <v/>
      </c>
      <c r="AE118" s="284"/>
      <c r="AF118" s="284" t="str">
        <f>Table1[[#This Row],[Item Description]]&amp;Table1[[#This Row],[Unit]]&amp;Table1[[#This Row],[Unit Price]]</f>
        <v>ISI CUTTER 18 MM KENKO L-150 (BESAR)LSN64800</v>
      </c>
    </row>
    <row r="119" spans="1:32" x14ac:dyDescent="0.25">
      <c r="A119" s="288" t="str">
        <f ca="1">IF(Table1[[#This Row],[No. Invoice :]]="","",ROW())</f>
        <v/>
      </c>
      <c r="B119" s="288" t="str">
        <f ca="1">IF(Table1[h_Kode Sales :_1]="","",B$1+COUNT(INDIRECT("B$2:B"&amp;ROW()-1)))</f>
        <v/>
      </c>
      <c r="C119" s="282" t="str">
        <f>IF(Table1[[#This Row],[H_TGL]]="","",Table1[[#This Row],[H_TGL]]+C$1-1)</f>
        <v/>
      </c>
      <c r="H119" s="288" t="str">
        <f ca="1">IF(Table1[[#This Row],[h_No. Invoice :]]="","",CONCATENATE("AM"," ",Table1[[#This Row],[h_No. Invoice :]]))</f>
        <v/>
      </c>
      <c r="I119" s="289" t="str">
        <f>CONCATENATE(UPPER(Table1[[#This Row],[h_Kode Sales :_1]])," ",Table1[[#This Row],[h_Kode Sales :_2]])</f>
        <v xml:space="preserve"> </v>
      </c>
      <c r="J119" s="288" t="str">
        <f>IF(Table1[[#This Row],[h_toko]]="","",INDEX(Table2[e],IF(Table1[[#This Row],[h_toko]]="","",MATCH(Table1[[#This Row],[h_toko]],Table2[a],0)),))</f>
        <v/>
      </c>
      <c r="O119" s="288" t="str">
        <f>IF(Table1[[#This Row],[h_Item Description]]="","",INDEX([1]!db[NB PAJAK],MATCH(Table1[[#This Row],[h_Item Description]],[1]!db[kode],0)))</f>
        <v/>
      </c>
      <c r="Q119" s="284"/>
      <c r="R119" s="285"/>
      <c r="T119" s="284" t="str">
        <f>Table1[[#This Row],[h_hargasetelahdiskon]]</f>
        <v/>
      </c>
      <c r="W119" s="288" t="str">
        <f ca="1">IF(Table1[[#This Row],[Item Description]]="","",IF(Table1[[#This Row],[//]]="",INDIRECT(ADDRESS(ROW()-1,COLUMN())),Table1[[#This Row],[//]]))</f>
        <v/>
      </c>
      <c r="X119" s="288" t="str">
        <f ca="1">IF(Table1[[#This Row],[h_id]]="","",COUNTIF(Table1[h_id],Table1[[#This Row],[h_id]]))</f>
        <v/>
      </c>
      <c r="Y119" s="284" t="str">
        <f>IF(Table1[Item Description]="","",Table1[[#This Row],[Qty]]*Table1[[#This Row],[Unit Price]])</f>
        <v/>
      </c>
      <c r="Z119" s="284" t="str">
        <f>IF(Table1[[#This Row],[h_hargasebelumdiskon]]="","",IF(Table1[[#This Row],[Disc 1]]="",0,Table1[[#This Row],[h_hargasebelumdiskon]]*Table1[[#This Row],[Disc 1]]))</f>
        <v/>
      </c>
      <c r="AA119" s="284" t="str">
        <f>IF(Table1[[#This Row],[h_hargasebelumdiskon]]="","",IF(Table1[[#This Row],[Disc 2]]="",0,(Table1[[#This Row],[h_hargasebelumdiskon]]-Table1[[#This Row],[h_disc 1]])*Table1[[#This Row],[Disc 2]]))</f>
        <v/>
      </c>
      <c r="AB119" s="284" t="str">
        <f>IF(Table1[Item Description]="","",Table1[[#This Row],[h_disc 1]]+Table1[[#This Row],[h_disc 2]])</f>
        <v/>
      </c>
      <c r="AC119" s="284" t="str">
        <f>IF(Table1[Item Description]="","",Table1[[#This Row],[h_hargasebelumdiskon]]-Table1[[#This Row],[h_diskon]])</f>
        <v/>
      </c>
      <c r="AD119" s="284" t="str">
        <f ca="1">IF(Table1[//]="","",SUMIF(Table1[h_id],Table1[h_id],Table1[h_hargasetelahdiskon]))</f>
        <v/>
      </c>
      <c r="AE119" s="284"/>
      <c r="AF119" s="284" t="str">
        <f>Table1[[#This Row],[Item Description]]&amp;Table1[[#This Row],[Unit]]&amp;Table1[[#This Row],[Unit Price]]</f>
        <v/>
      </c>
    </row>
    <row r="120" spans="1:32" x14ac:dyDescent="0.25">
      <c r="A120" s="288">
        <f ca="1">IF(Table1[[#This Row],[No. Invoice :]]="","",ROW())</f>
        <v>120</v>
      </c>
      <c r="B120" s="288">
        <f ca="1">IF(Table1[h_Kode Sales :_1]="","",B$1+COUNT(INDIRECT("B$2:B"&amp;ROW()-1)))</f>
        <v>23070034</v>
      </c>
      <c r="C120" s="282">
        <f>IF(Table1[[#This Row],[H_TGL]]="","",Table1[[#This Row],[H_TGL]]+C$1-1)</f>
        <v>45132</v>
      </c>
      <c r="D120" s="293">
        <v>25</v>
      </c>
      <c r="E120" s="281" t="s">
        <v>150</v>
      </c>
      <c r="F120" s="283" t="s">
        <v>307</v>
      </c>
      <c r="G120" s="281" t="s">
        <v>84</v>
      </c>
      <c r="H120" s="288" t="str">
        <f ca="1">IF(Table1[[#This Row],[h_No. Invoice :]]="","",CONCATENATE("AM"," ",Table1[[#This Row],[h_No. Invoice :]]))</f>
        <v>AM 23070034</v>
      </c>
      <c r="I120" s="289" t="str">
        <f>CONCATENATE(UPPER(Table1[[#This Row],[h_Kode Sales :_1]])," ",Table1[[#This Row],[h_Kode Sales :_2]])</f>
        <v>KO 2660</v>
      </c>
      <c r="J120" s="288" t="str">
        <f>IF(Table1[[#This Row],[h_toko]]="","",INDEX(Table2[e],IF(Table1[[#This Row],[h_toko]]="","",MATCH(Table1[[#This Row],[h_toko]],Table2[a],0)),))</f>
        <v>CV PELITA JAYA (ANUGERAH SEJAHTERA) PURWOKERTO</v>
      </c>
      <c r="K120" s="281">
        <v>144</v>
      </c>
      <c r="L120" s="281" t="s">
        <v>142</v>
      </c>
      <c r="M120" s="281">
        <v>3</v>
      </c>
      <c r="N120" s="281" t="s">
        <v>308</v>
      </c>
      <c r="O120" s="288" t="str">
        <f>IF(Table1[[#This Row],[h_Item Description]]="","",INDEX([1]!db[NB PAJAK],MATCH(Table1[[#This Row],[h_Item Description]],[1]!db[kode],0)))</f>
        <v>PENSIL WARNA KENKO CP-12HALF CLASSIC (PENDEK)</v>
      </c>
      <c r="P120" s="281" t="s">
        <v>309</v>
      </c>
      <c r="Q120" s="284">
        <v>79200</v>
      </c>
      <c r="R120" s="285">
        <v>0.13500000000000001</v>
      </c>
      <c r="T120" s="284">
        <f>Table1[[#This Row],[h_hargasetelahdiskon]]</f>
        <v>9865152</v>
      </c>
      <c r="U120" s="284" t="s">
        <v>149</v>
      </c>
      <c r="W120" s="288">
        <f ca="1">IF(Table1[[#This Row],[Item Description]]="","",IF(Table1[[#This Row],[//]]="",INDIRECT(ADDRESS(ROW()-1,COLUMN())),Table1[[#This Row],[//]]))</f>
        <v>120</v>
      </c>
      <c r="X120" s="288">
        <f ca="1">IF(Table1[[#This Row],[h_id]]="","",COUNTIF(Table1[h_id],Table1[[#This Row],[h_id]]))</f>
        <v>1</v>
      </c>
      <c r="Y120" s="284">
        <f>IF(Table1[Item Description]="","",Table1[[#This Row],[Qty]]*Table1[[#This Row],[Unit Price]])</f>
        <v>11404800</v>
      </c>
      <c r="Z120" s="284">
        <f>IF(Table1[[#This Row],[h_hargasebelumdiskon]]="","",IF(Table1[[#This Row],[Disc 1]]="",0,Table1[[#This Row],[h_hargasebelumdiskon]]*Table1[[#This Row],[Disc 1]]))</f>
        <v>1539648</v>
      </c>
      <c r="AA120" s="284">
        <f>IF(Table1[[#This Row],[h_hargasebelumdiskon]]="","",IF(Table1[[#This Row],[Disc 2]]="",0,(Table1[[#This Row],[h_hargasebelumdiskon]]-Table1[[#This Row],[h_disc 1]])*Table1[[#This Row],[Disc 2]]))</f>
        <v>0</v>
      </c>
      <c r="AB120" s="284">
        <f>IF(Table1[Item Description]="","",Table1[[#This Row],[h_disc 1]]+Table1[[#This Row],[h_disc 2]])</f>
        <v>1539648</v>
      </c>
      <c r="AC120" s="284">
        <f>IF(Table1[Item Description]="","",Table1[[#This Row],[h_hargasebelumdiskon]]-Table1[[#This Row],[h_diskon]])</f>
        <v>9865152</v>
      </c>
      <c r="AD120" s="284">
        <f ca="1">IF(Table1[//]="","",SUMIF(Table1[h_id],Table1[h_id],Table1[h_hargasetelahdiskon]))</f>
        <v>9865152</v>
      </c>
      <c r="AE120" s="284"/>
      <c r="AF120" s="284" t="str">
        <f>Table1[[#This Row],[Item Description]]&amp;Table1[[#This Row],[Unit]]&amp;Table1[[#This Row],[Unit Price]]</f>
        <v>PENSIL WARNA KENKO CP-12HALF CLASSIC (PENDEK)LSN79200</v>
      </c>
    </row>
    <row r="121" spans="1:32" x14ac:dyDescent="0.25">
      <c r="A121" s="288" t="str">
        <f ca="1">IF(Table1[[#This Row],[No. Invoice :]]="","",ROW())</f>
        <v/>
      </c>
      <c r="B121" s="288" t="str">
        <f ca="1">IF(Table1[h_Kode Sales :_1]="","",B$1+COUNT(INDIRECT("B$2:B"&amp;ROW()-1)))</f>
        <v/>
      </c>
      <c r="C121" s="282" t="str">
        <f>IF(Table1[[#This Row],[H_TGL]]="","",Table1[[#This Row],[H_TGL]]+C$1-1)</f>
        <v/>
      </c>
      <c r="H121" s="288" t="str">
        <f ca="1">IF(Table1[[#This Row],[h_No. Invoice :]]="","",CONCATENATE("AM"," ",Table1[[#This Row],[h_No. Invoice :]]))</f>
        <v/>
      </c>
      <c r="I121" s="289" t="str">
        <f>CONCATENATE(UPPER(Table1[[#This Row],[h_Kode Sales :_1]])," ",Table1[[#This Row],[h_Kode Sales :_2]])</f>
        <v xml:space="preserve"> </v>
      </c>
      <c r="J121" s="288" t="str">
        <f>IF(Table1[[#This Row],[h_toko]]="","",INDEX(Table2[e],IF(Table1[[#This Row],[h_toko]]="","",MATCH(Table1[[#This Row],[h_toko]],Table2[a],0)),))</f>
        <v/>
      </c>
      <c r="O121" s="288" t="str">
        <f>IF(Table1[[#This Row],[h_Item Description]]="","",INDEX([1]!db[NB PAJAK],MATCH(Table1[[#This Row],[h_Item Description]],[1]!db[kode],0)))</f>
        <v/>
      </c>
      <c r="Q121" s="284"/>
      <c r="R121" s="285"/>
      <c r="T121" s="284" t="str">
        <f>Table1[[#This Row],[h_hargasetelahdiskon]]</f>
        <v/>
      </c>
      <c r="W121" s="288" t="str">
        <f ca="1">IF(Table1[[#This Row],[Item Description]]="","",IF(Table1[[#This Row],[//]]="",INDIRECT(ADDRESS(ROW()-1,COLUMN())),Table1[[#This Row],[//]]))</f>
        <v/>
      </c>
      <c r="X121" s="288" t="str">
        <f ca="1">IF(Table1[[#This Row],[h_id]]="","",COUNTIF(Table1[h_id],Table1[[#This Row],[h_id]]))</f>
        <v/>
      </c>
      <c r="Y121" s="284" t="str">
        <f>IF(Table1[Item Description]="","",Table1[[#This Row],[Qty]]*Table1[[#This Row],[Unit Price]])</f>
        <v/>
      </c>
      <c r="Z121" s="284" t="str">
        <f>IF(Table1[[#This Row],[h_hargasebelumdiskon]]="","",IF(Table1[[#This Row],[Disc 1]]="",0,Table1[[#This Row],[h_hargasebelumdiskon]]*Table1[[#This Row],[Disc 1]]))</f>
        <v/>
      </c>
      <c r="AA121" s="284" t="str">
        <f>IF(Table1[[#This Row],[h_hargasebelumdiskon]]="","",IF(Table1[[#This Row],[Disc 2]]="",0,(Table1[[#This Row],[h_hargasebelumdiskon]]-Table1[[#This Row],[h_disc 1]])*Table1[[#This Row],[Disc 2]]))</f>
        <v/>
      </c>
      <c r="AB121" s="284" t="str">
        <f>IF(Table1[Item Description]="","",Table1[[#This Row],[h_disc 1]]+Table1[[#This Row],[h_disc 2]])</f>
        <v/>
      </c>
      <c r="AC121" s="284" t="str">
        <f>IF(Table1[Item Description]="","",Table1[[#This Row],[h_hargasebelumdiskon]]-Table1[[#This Row],[h_diskon]])</f>
        <v/>
      </c>
      <c r="AD121" s="284" t="str">
        <f ca="1">IF(Table1[//]="","",SUMIF(Table1[h_id],Table1[h_id],Table1[h_hargasetelahdiskon]))</f>
        <v/>
      </c>
      <c r="AE121" s="284"/>
      <c r="AF121" s="284" t="str">
        <f>Table1[[#This Row],[Item Description]]&amp;Table1[[#This Row],[Unit]]&amp;Table1[[#This Row],[Unit Price]]</f>
        <v/>
      </c>
    </row>
    <row r="122" spans="1:32" x14ac:dyDescent="0.25">
      <c r="A122" s="288">
        <f ca="1">IF(Table1[[#This Row],[No. Invoice :]]="","",ROW())</f>
        <v>122</v>
      </c>
      <c r="B122" s="288">
        <f ca="1">IF(Table1[h_Kode Sales :_1]="","",B$1+COUNT(INDIRECT("B$2:B"&amp;ROW()-1)))</f>
        <v>23070035</v>
      </c>
      <c r="C122" s="282">
        <f>IF(Table1[[#This Row],[H_TGL]]="","",Table1[[#This Row],[H_TGL]]+C$1-1)</f>
        <v>45133</v>
      </c>
      <c r="D122" s="293">
        <v>26</v>
      </c>
      <c r="E122" s="281" t="s">
        <v>129</v>
      </c>
      <c r="F122" s="283" t="s">
        <v>310</v>
      </c>
      <c r="G122" s="281" t="s">
        <v>92</v>
      </c>
      <c r="H122" s="288" t="str">
        <f ca="1">IF(Table1[[#This Row],[h_No. Invoice :]]="","",CONCATENATE("AM"," ",Table1[[#This Row],[h_No. Invoice :]]))</f>
        <v>AM 23070035</v>
      </c>
      <c r="I122" s="289" t="str">
        <f>CONCATENATE(UPPER(Table1[[#This Row],[h_Kode Sales :_1]])," ",Table1[[#This Row],[h_Kode Sales :_2]])</f>
        <v>G 1625</v>
      </c>
      <c r="J122" s="288" t="str">
        <f>IF(Table1[[#This Row],[h_toko]]="","",INDEX(Table2[e],IF(Table1[[#This Row],[h_toko]]="","",MATCH(Table1[[#This Row],[h_toko]],Table2[a],0)),))</f>
        <v>CV UTAMA PUTRA TULUNG AGUNG</v>
      </c>
      <c r="K122" s="281">
        <v>72</v>
      </c>
      <c r="L122" s="281" t="s">
        <v>142</v>
      </c>
      <c r="M122" s="281">
        <v>1</v>
      </c>
      <c r="N122" s="281" t="s">
        <v>285</v>
      </c>
      <c r="O122" s="288" t="str">
        <f>IF(Table1[[#This Row],[h_Item Description]]="","",INDEX([1]!db[NB PAJAK],MATCH(Table1[[#This Row],[h_Item Description]],[1]!db[kode],0)))</f>
        <v>CORRECTION FLUID KENKO KE-01</v>
      </c>
      <c r="P122" s="281" t="s">
        <v>286</v>
      </c>
      <c r="Q122" s="284">
        <v>54300</v>
      </c>
      <c r="R122" s="285">
        <v>0.125</v>
      </c>
      <c r="T122" s="284">
        <f>Table1[[#This Row],[h_hargasetelahdiskon]]</f>
        <v>3420900</v>
      </c>
      <c r="U122" s="284" t="s">
        <v>170</v>
      </c>
      <c r="W122" s="288">
        <f ca="1">IF(Table1[[#This Row],[Item Description]]="","",IF(Table1[[#This Row],[//]]="",INDIRECT(ADDRESS(ROW()-1,COLUMN())),Table1[[#This Row],[//]]))</f>
        <v>122</v>
      </c>
      <c r="X122" s="288">
        <f ca="1">IF(Table1[[#This Row],[h_id]]="","",COUNTIF(Table1[h_id],Table1[[#This Row],[h_id]]))</f>
        <v>4</v>
      </c>
      <c r="Y122" s="284">
        <f>IF(Table1[Item Description]="","",Table1[[#This Row],[Qty]]*Table1[[#This Row],[Unit Price]])</f>
        <v>3909600</v>
      </c>
      <c r="Z122" s="284">
        <f>IF(Table1[[#This Row],[h_hargasebelumdiskon]]="","",IF(Table1[[#This Row],[Disc 1]]="",0,Table1[[#This Row],[h_hargasebelumdiskon]]*Table1[[#This Row],[Disc 1]]))</f>
        <v>488700</v>
      </c>
      <c r="AA122" s="284">
        <f>IF(Table1[[#This Row],[h_hargasebelumdiskon]]="","",IF(Table1[[#This Row],[Disc 2]]="",0,(Table1[[#This Row],[h_hargasebelumdiskon]]-Table1[[#This Row],[h_disc 1]])*Table1[[#This Row],[Disc 2]]))</f>
        <v>0</v>
      </c>
      <c r="AB122" s="284">
        <f>IF(Table1[Item Description]="","",Table1[[#This Row],[h_disc 1]]+Table1[[#This Row],[h_disc 2]])</f>
        <v>488700</v>
      </c>
      <c r="AC122" s="284">
        <f>IF(Table1[Item Description]="","",Table1[[#This Row],[h_hargasebelumdiskon]]-Table1[[#This Row],[h_diskon]])</f>
        <v>3420900</v>
      </c>
      <c r="AD122" s="284">
        <f ca="1">IF(Table1[//]="","",SUMIF(Table1[h_id],Table1[h_id],Table1[h_hargasetelahdiskon]))</f>
        <v>9613800</v>
      </c>
      <c r="AE122" s="284"/>
      <c r="AF122" s="284" t="str">
        <f>Table1[[#This Row],[Item Description]]&amp;Table1[[#This Row],[Unit]]&amp;Table1[[#This Row],[Unit Price]]</f>
        <v>CORRECTION FLUID KENKO KE-01LSN54300</v>
      </c>
    </row>
    <row r="123" spans="1:32" x14ac:dyDescent="0.25">
      <c r="A123" s="288" t="str">
        <f ca="1">IF(Table1[[#This Row],[No. Invoice :]]="","",ROW())</f>
        <v/>
      </c>
      <c r="B123" s="288" t="str">
        <f ca="1">IF(Table1[h_Kode Sales :_1]="","",B$1+COUNT(INDIRECT("B$2:B"&amp;ROW()-1)))</f>
        <v/>
      </c>
      <c r="C123" s="282" t="str">
        <f>IF(Table1[[#This Row],[H_TGL]]="","",Table1[[#This Row],[H_TGL]]+C$1-1)</f>
        <v/>
      </c>
      <c r="H123" s="288" t="str">
        <f ca="1">IF(Table1[[#This Row],[h_No. Invoice :]]="","",CONCATENATE("AM"," ",Table1[[#This Row],[h_No. Invoice :]]))</f>
        <v/>
      </c>
      <c r="I123" s="289" t="str">
        <f>CONCATENATE(UPPER(Table1[[#This Row],[h_Kode Sales :_1]])," ",Table1[[#This Row],[h_Kode Sales :_2]])</f>
        <v xml:space="preserve"> </v>
      </c>
      <c r="J123" s="288" t="str">
        <f>IF(Table1[[#This Row],[h_toko]]="","",INDEX(Table2[e],IF(Table1[[#This Row],[h_toko]]="","",MATCH(Table1[[#This Row],[h_toko]],Table2[a],0)),))</f>
        <v/>
      </c>
      <c r="K123" s="281">
        <v>72</v>
      </c>
      <c r="L123" s="281" t="s">
        <v>142</v>
      </c>
      <c r="M123" s="281">
        <v>1</v>
      </c>
      <c r="N123" s="281" t="s">
        <v>292</v>
      </c>
      <c r="O123" s="288" t="str">
        <f>IF(Table1[[#This Row],[h_Item Description]]="","",INDEX([1]!db[NB PAJAK],MATCH(Table1[[#This Row],[h_Item Description]],[1]!db[kode],0)))</f>
        <v>CORRECTION FLUID KENKO KE-108</v>
      </c>
      <c r="P123" s="281" t="s">
        <v>293</v>
      </c>
      <c r="Q123" s="284">
        <v>47100</v>
      </c>
      <c r="R123" s="285">
        <v>0.125</v>
      </c>
      <c r="T123" s="284">
        <f>Table1[[#This Row],[h_hargasetelahdiskon]]</f>
        <v>2967300</v>
      </c>
      <c r="W123" s="288">
        <f ca="1">IF(Table1[[#This Row],[Item Description]]="","",IF(Table1[[#This Row],[//]]="",INDIRECT(ADDRESS(ROW()-1,COLUMN())),Table1[[#This Row],[//]]))</f>
        <v>122</v>
      </c>
      <c r="X123" s="288">
        <f ca="1">IF(Table1[[#This Row],[h_id]]="","",COUNTIF(Table1[h_id],Table1[[#This Row],[h_id]]))</f>
        <v>4</v>
      </c>
      <c r="Y123" s="284">
        <f>IF(Table1[Item Description]="","",Table1[[#This Row],[Qty]]*Table1[[#This Row],[Unit Price]])</f>
        <v>3391200</v>
      </c>
      <c r="Z123" s="284">
        <f>IF(Table1[[#This Row],[h_hargasebelumdiskon]]="","",IF(Table1[[#This Row],[Disc 1]]="",0,Table1[[#This Row],[h_hargasebelumdiskon]]*Table1[[#This Row],[Disc 1]]))</f>
        <v>423900</v>
      </c>
      <c r="AA123" s="284">
        <f>IF(Table1[[#This Row],[h_hargasebelumdiskon]]="","",IF(Table1[[#This Row],[Disc 2]]="",0,(Table1[[#This Row],[h_hargasebelumdiskon]]-Table1[[#This Row],[h_disc 1]])*Table1[[#This Row],[Disc 2]]))</f>
        <v>0</v>
      </c>
      <c r="AB123" s="284">
        <f>IF(Table1[Item Description]="","",Table1[[#This Row],[h_disc 1]]+Table1[[#This Row],[h_disc 2]])</f>
        <v>423900</v>
      </c>
      <c r="AC123" s="284">
        <f>IF(Table1[Item Description]="","",Table1[[#This Row],[h_hargasebelumdiskon]]-Table1[[#This Row],[h_diskon]])</f>
        <v>2967300</v>
      </c>
      <c r="AD123" s="284" t="str">
        <f ca="1">IF(Table1[//]="","",SUMIF(Table1[h_id],Table1[h_id],Table1[h_hargasetelahdiskon]))</f>
        <v/>
      </c>
      <c r="AE123" s="284"/>
      <c r="AF123" s="284" t="str">
        <f>Table1[[#This Row],[Item Description]]&amp;Table1[[#This Row],[Unit]]&amp;Table1[[#This Row],[Unit Price]]</f>
        <v>CORRECTION FLUID KENKO KE-108LSN47100</v>
      </c>
    </row>
    <row r="124" spans="1:32" x14ac:dyDescent="0.25">
      <c r="A124" s="288" t="str">
        <f ca="1">IF(Table1[[#This Row],[No. Invoice :]]="","",ROW())</f>
        <v/>
      </c>
      <c r="B124" s="288" t="str">
        <f ca="1">IF(Table1[h_Kode Sales :_1]="","",B$1+COUNT(INDIRECT("B$2:B"&amp;ROW()-1)))</f>
        <v/>
      </c>
      <c r="C124" s="282" t="str">
        <f>IF(Table1[[#This Row],[H_TGL]]="","",Table1[[#This Row],[H_TGL]]+C$1-1)</f>
        <v/>
      </c>
      <c r="H124" s="288" t="str">
        <f ca="1">IF(Table1[[#This Row],[h_No. Invoice :]]="","",CONCATENATE("AM"," ",Table1[[#This Row],[h_No. Invoice :]]))</f>
        <v/>
      </c>
      <c r="I124" s="289" t="str">
        <f>CONCATENATE(UPPER(Table1[[#This Row],[h_Kode Sales :_1]])," ",Table1[[#This Row],[h_Kode Sales :_2]])</f>
        <v xml:space="preserve"> </v>
      </c>
      <c r="J124" s="288" t="str">
        <f>IF(Table1[[#This Row],[h_toko]]="","",INDEX(Table2[e],IF(Table1[[#This Row],[h_toko]]="","",MATCH(Table1[[#This Row],[h_toko]],Table2[a],0)),))</f>
        <v/>
      </c>
      <c r="K124" s="281">
        <v>72</v>
      </c>
      <c r="L124" s="281" t="s">
        <v>142</v>
      </c>
      <c r="N124" s="281" t="s">
        <v>312</v>
      </c>
      <c r="O124" s="288" t="str">
        <f>IF(Table1[[#This Row],[h_Item Description]]="","",INDEX([1]!db[NB PAJAK],MATCH(Table1[[#This Row],[h_Item Description]],[1]!db[kode],0)))</f>
        <v>GEL PEN KENKO SAHARA SNACK (HITAM)</v>
      </c>
      <c r="P124" s="281" t="s">
        <v>313</v>
      </c>
      <c r="Q124" s="284">
        <v>39000</v>
      </c>
      <c r="R124" s="285">
        <v>0.125</v>
      </c>
      <c r="T124" s="284">
        <f>Table1[[#This Row],[h_hargasetelahdiskon]]</f>
        <v>2457000</v>
      </c>
      <c r="W124" s="288">
        <f ca="1">IF(Table1[[#This Row],[Item Description]]="","",IF(Table1[[#This Row],[//]]="",INDIRECT(ADDRESS(ROW()-1,COLUMN())),Table1[[#This Row],[//]]))</f>
        <v>122</v>
      </c>
      <c r="X124" s="288">
        <f ca="1">IF(Table1[[#This Row],[h_id]]="","",COUNTIF(Table1[h_id],Table1[[#This Row],[h_id]]))</f>
        <v>4</v>
      </c>
      <c r="Y124" s="284">
        <f>IF(Table1[Item Description]="","",Table1[[#This Row],[Qty]]*Table1[[#This Row],[Unit Price]])</f>
        <v>2808000</v>
      </c>
      <c r="Z124" s="284">
        <f>IF(Table1[[#This Row],[h_hargasebelumdiskon]]="","",IF(Table1[[#This Row],[Disc 1]]="",0,Table1[[#This Row],[h_hargasebelumdiskon]]*Table1[[#This Row],[Disc 1]]))</f>
        <v>351000</v>
      </c>
      <c r="AA124" s="284">
        <f>IF(Table1[[#This Row],[h_hargasebelumdiskon]]="","",IF(Table1[[#This Row],[Disc 2]]="",0,(Table1[[#This Row],[h_hargasebelumdiskon]]-Table1[[#This Row],[h_disc 1]])*Table1[[#This Row],[Disc 2]]))</f>
        <v>0</v>
      </c>
      <c r="AB124" s="284">
        <f>IF(Table1[Item Description]="","",Table1[[#This Row],[h_disc 1]]+Table1[[#This Row],[h_disc 2]])</f>
        <v>351000</v>
      </c>
      <c r="AC124" s="284">
        <f>IF(Table1[Item Description]="","",Table1[[#This Row],[h_hargasebelumdiskon]]-Table1[[#This Row],[h_diskon]])</f>
        <v>2457000</v>
      </c>
      <c r="AD124" s="284" t="str">
        <f ca="1">IF(Table1[//]="","",SUMIF(Table1[h_id],Table1[h_id],Table1[h_hargasetelahdiskon]))</f>
        <v/>
      </c>
      <c r="AE124" s="284"/>
      <c r="AF124" s="284" t="str">
        <f>Table1[[#This Row],[Item Description]]&amp;Table1[[#This Row],[Unit]]&amp;Table1[[#This Row],[Unit Price]]</f>
        <v>GEL PEN KENKO SAHARA SNACK (HITAM)LSN39000</v>
      </c>
    </row>
    <row r="125" spans="1:32" x14ac:dyDescent="0.25">
      <c r="A125" s="288" t="str">
        <f ca="1">IF(Table1[[#This Row],[No. Invoice :]]="","",ROW())</f>
        <v/>
      </c>
      <c r="B125" s="288" t="str">
        <f ca="1">IF(Table1[h_Kode Sales :_1]="","",B$1+COUNT(INDIRECT("B$2:B"&amp;ROW()-1)))</f>
        <v/>
      </c>
      <c r="C125" s="282" t="str">
        <f>IF(Table1[[#This Row],[H_TGL]]="","",Table1[[#This Row],[H_TGL]]+C$1-1)</f>
        <v/>
      </c>
      <c r="H125" s="288" t="str">
        <f ca="1">IF(Table1[[#This Row],[h_No. Invoice :]]="","",CONCATENATE("AM"," ",Table1[[#This Row],[h_No. Invoice :]]))</f>
        <v/>
      </c>
      <c r="I125" s="289" t="str">
        <f>CONCATENATE(UPPER(Table1[[#This Row],[h_Kode Sales :_1]])," ",Table1[[#This Row],[h_Kode Sales :_2]])</f>
        <v xml:space="preserve"> </v>
      </c>
      <c r="J125" s="288" t="str">
        <f>IF(Table1[[#This Row],[h_toko]]="","",INDEX(Table2[e],IF(Table1[[#This Row],[h_toko]]="","",MATCH(Table1[[#This Row],[h_toko]],Table2[a],0)),))</f>
        <v/>
      </c>
      <c r="K125" s="281">
        <v>24</v>
      </c>
      <c r="L125" s="281" t="s">
        <v>142</v>
      </c>
      <c r="N125" s="281" t="s">
        <v>311</v>
      </c>
      <c r="O125" s="288" t="str">
        <f>IF(Table1[[#This Row],[h_Item Description]]="","",INDEX([1]!db[NB PAJAK],MATCH(Table1[[#This Row],[h_Item Description]],[1]!db[kode],0)))</f>
        <v>GEL PEN KENKO SAHARA (HITAM)</v>
      </c>
      <c r="P125" s="281" t="s">
        <v>314</v>
      </c>
      <c r="Q125" s="284">
        <v>36600</v>
      </c>
      <c r="R125" s="285">
        <v>0.125</v>
      </c>
      <c r="T125" s="284">
        <f>Table1[[#This Row],[h_hargasetelahdiskon]]</f>
        <v>768600</v>
      </c>
      <c r="W125" s="288">
        <f ca="1">IF(Table1[[#This Row],[Item Description]]="","",IF(Table1[[#This Row],[//]]="",INDIRECT(ADDRESS(ROW()-1,COLUMN())),Table1[[#This Row],[//]]))</f>
        <v>122</v>
      </c>
      <c r="X125" s="288">
        <f ca="1">IF(Table1[[#This Row],[h_id]]="","",COUNTIF(Table1[h_id],Table1[[#This Row],[h_id]]))</f>
        <v>4</v>
      </c>
      <c r="Y125" s="284">
        <f>IF(Table1[Item Description]="","",Table1[[#This Row],[Qty]]*Table1[[#This Row],[Unit Price]])</f>
        <v>878400</v>
      </c>
      <c r="Z125" s="284">
        <f>IF(Table1[[#This Row],[h_hargasebelumdiskon]]="","",IF(Table1[[#This Row],[Disc 1]]="",0,Table1[[#This Row],[h_hargasebelumdiskon]]*Table1[[#This Row],[Disc 1]]))</f>
        <v>109800</v>
      </c>
      <c r="AA125" s="284">
        <f>IF(Table1[[#This Row],[h_hargasebelumdiskon]]="","",IF(Table1[[#This Row],[Disc 2]]="",0,(Table1[[#This Row],[h_hargasebelumdiskon]]-Table1[[#This Row],[h_disc 1]])*Table1[[#This Row],[Disc 2]]))</f>
        <v>0</v>
      </c>
      <c r="AB125" s="284">
        <f>IF(Table1[Item Description]="","",Table1[[#This Row],[h_disc 1]]+Table1[[#This Row],[h_disc 2]])</f>
        <v>109800</v>
      </c>
      <c r="AC125" s="284">
        <f>IF(Table1[Item Description]="","",Table1[[#This Row],[h_hargasebelumdiskon]]-Table1[[#This Row],[h_diskon]])</f>
        <v>768600</v>
      </c>
      <c r="AD125" s="284" t="str">
        <f ca="1">IF(Table1[//]="","",SUMIF(Table1[h_id],Table1[h_id],Table1[h_hargasetelahdiskon]))</f>
        <v/>
      </c>
      <c r="AE125" s="284"/>
      <c r="AF125" s="284" t="str">
        <f>Table1[[#This Row],[Item Description]]&amp;Table1[[#This Row],[Unit]]&amp;Table1[[#This Row],[Unit Price]]</f>
        <v>GEL PEN KENKO SAHARA (HITAM)LSN36600</v>
      </c>
    </row>
    <row r="126" spans="1:32" x14ac:dyDescent="0.25">
      <c r="A126" s="288" t="str">
        <f ca="1">IF(Table1[[#This Row],[No. Invoice :]]="","",ROW())</f>
        <v/>
      </c>
      <c r="B126" s="288" t="str">
        <f ca="1">IF(Table1[h_Kode Sales :_1]="","",B$1+COUNT(INDIRECT("B$2:B"&amp;ROW()-1)))</f>
        <v/>
      </c>
      <c r="C126" s="282" t="str">
        <f>IF(Table1[[#This Row],[H_TGL]]="","",Table1[[#This Row],[H_TGL]]+C$1-1)</f>
        <v/>
      </c>
      <c r="H126" s="288" t="str">
        <f ca="1">IF(Table1[[#This Row],[h_No. Invoice :]]="","",CONCATENATE("AM"," ",Table1[[#This Row],[h_No. Invoice :]]))</f>
        <v/>
      </c>
      <c r="I126" s="289" t="str">
        <f>CONCATENATE(UPPER(Table1[[#This Row],[h_Kode Sales :_1]])," ",Table1[[#This Row],[h_Kode Sales :_2]])</f>
        <v xml:space="preserve"> </v>
      </c>
      <c r="J126" s="288" t="str">
        <f>IF(Table1[[#This Row],[h_toko]]="","",INDEX(Table2[e],IF(Table1[[#This Row],[h_toko]]="","",MATCH(Table1[[#This Row],[h_toko]],Table2[a],0)),))</f>
        <v/>
      </c>
      <c r="O126" s="288" t="str">
        <f>IF(Table1[[#This Row],[h_Item Description]]="","",INDEX([1]!db[NB PAJAK],MATCH(Table1[[#This Row],[h_Item Description]],[1]!db[kode],0)))</f>
        <v/>
      </c>
      <c r="Q126" s="284"/>
      <c r="R126" s="285"/>
      <c r="T126" s="284" t="str">
        <f>Table1[[#This Row],[h_hargasetelahdiskon]]</f>
        <v/>
      </c>
      <c r="W126" s="288" t="str">
        <f ca="1">IF(Table1[[#This Row],[Item Description]]="","",IF(Table1[[#This Row],[//]]="",INDIRECT(ADDRESS(ROW()-1,COLUMN())),Table1[[#This Row],[//]]))</f>
        <v/>
      </c>
      <c r="X126" s="288" t="str">
        <f ca="1">IF(Table1[[#This Row],[h_id]]="","",COUNTIF(Table1[h_id],Table1[[#This Row],[h_id]]))</f>
        <v/>
      </c>
      <c r="Y126" s="284" t="str">
        <f>IF(Table1[Item Description]="","",Table1[[#This Row],[Qty]]*Table1[[#This Row],[Unit Price]])</f>
        <v/>
      </c>
      <c r="Z126" s="284" t="str">
        <f>IF(Table1[[#This Row],[h_hargasebelumdiskon]]="","",IF(Table1[[#This Row],[Disc 1]]="",0,Table1[[#This Row],[h_hargasebelumdiskon]]*Table1[[#This Row],[Disc 1]]))</f>
        <v/>
      </c>
      <c r="AA126" s="284" t="str">
        <f>IF(Table1[[#This Row],[h_hargasebelumdiskon]]="","",IF(Table1[[#This Row],[Disc 2]]="",0,(Table1[[#This Row],[h_hargasebelumdiskon]]-Table1[[#This Row],[h_disc 1]])*Table1[[#This Row],[Disc 2]]))</f>
        <v/>
      </c>
      <c r="AB126" s="284" t="str">
        <f>IF(Table1[Item Description]="","",Table1[[#This Row],[h_disc 1]]+Table1[[#This Row],[h_disc 2]])</f>
        <v/>
      </c>
      <c r="AC126" s="284" t="str">
        <f>IF(Table1[Item Description]="","",Table1[[#This Row],[h_hargasebelumdiskon]]-Table1[[#This Row],[h_diskon]])</f>
        <v/>
      </c>
      <c r="AD126" s="284" t="str">
        <f ca="1">IF(Table1[//]="","",SUMIF(Table1[h_id],Table1[h_id],Table1[h_hargasetelahdiskon]))</f>
        <v/>
      </c>
      <c r="AE126" s="284"/>
      <c r="AF126" s="284" t="str">
        <f>Table1[[#This Row],[Item Description]]&amp;Table1[[#This Row],[Unit]]&amp;Table1[[#This Row],[Unit Price]]</f>
        <v/>
      </c>
    </row>
    <row r="127" spans="1:32" x14ac:dyDescent="0.25">
      <c r="A127" s="288">
        <f ca="1">IF(Table1[[#This Row],[No. Invoice :]]="","",ROW())</f>
        <v>127</v>
      </c>
      <c r="B127" s="288">
        <f ca="1">IF(Table1[h_Kode Sales :_1]="","",B$1+COUNT(INDIRECT("B$2:B"&amp;ROW()-1)))</f>
        <v>23070036</v>
      </c>
      <c r="C127" s="282">
        <f>IF(Table1[[#This Row],[H_TGL]]="","",Table1[[#This Row],[H_TGL]]+C$1-1)</f>
        <v>45134</v>
      </c>
      <c r="D127" s="293">
        <v>27</v>
      </c>
      <c r="E127" s="281" t="s">
        <v>122</v>
      </c>
      <c r="F127" s="283" t="s">
        <v>315</v>
      </c>
      <c r="G127" s="281" t="s">
        <v>84</v>
      </c>
      <c r="H127" s="288" t="str">
        <f ca="1">IF(Table1[[#This Row],[h_No. Invoice :]]="","",CONCATENATE("AM"," ",Table1[[#This Row],[h_No. Invoice :]]))</f>
        <v>AM 23070036</v>
      </c>
      <c r="I127" s="289" t="str">
        <f>CONCATENATE(UPPER(Table1[[#This Row],[h_Kode Sales :_1]])," ",Table1[[#This Row],[h_Kode Sales :_2]])</f>
        <v>KO 2676</v>
      </c>
      <c r="J127" s="288" t="str">
        <f>IF(Table1[[#This Row],[h_toko]]="","",INDEX(Table2[e],IF(Table1[[#This Row],[h_toko]]="","",MATCH(Table1[[#This Row],[h_toko]],Table2[a],0)),))</f>
        <v>CV PELITA JAYA (ANUGERAH SEJAHTERA) PURWOKERTO</v>
      </c>
      <c r="K127" s="281">
        <v>20</v>
      </c>
      <c r="L127" s="281" t="s">
        <v>158</v>
      </c>
      <c r="M127" s="281">
        <v>1</v>
      </c>
      <c r="N127" s="281" t="s">
        <v>316</v>
      </c>
      <c r="O127" s="288" t="str">
        <f>IF(Table1[[#This Row],[h_Item Description]]="","",INDEX([1]!db[NB PAJAK],MATCH(Table1[[#This Row],[h_Item Description]],[1]!db[kode],0)))</f>
        <v>PENSIL KENKO 2B-6191 HIJAU CAP HITAM</v>
      </c>
      <c r="P127" s="281" t="s">
        <v>317</v>
      </c>
      <c r="Q127" s="284">
        <v>110400</v>
      </c>
      <c r="R127" s="285">
        <v>0.13500000000000001</v>
      </c>
      <c r="T127" s="284">
        <f>Table1[[#This Row],[h_hargasetelahdiskon]]</f>
        <v>1909920</v>
      </c>
      <c r="U127" s="284" t="s">
        <v>149</v>
      </c>
      <c r="W127" s="288">
        <f ca="1">IF(Table1[[#This Row],[Item Description]]="","",IF(Table1[[#This Row],[//]]="",INDIRECT(ADDRESS(ROW()-1,COLUMN())),Table1[[#This Row],[//]]))</f>
        <v>127</v>
      </c>
      <c r="X127" s="288">
        <f ca="1">IF(Table1[[#This Row],[h_id]]="","",COUNTIF(Table1[h_id],Table1[[#This Row],[h_id]]))</f>
        <v>1</v>
      </c>
      <c r="Y127" s="284">
        <f>IF(Table1[Item Description]="","",Table1[[#This Row],[Qty]]*Table1[[#This Row],[Unit Price]])</f>
        <v>2208000</v>
      </c>
      <c r="Z127" s="284">
        <f>IF(Table1[[#This Row],[h_hargasebelumdiskon]]="","",IF(Table1[[#This Row],[Disc 1]]="",0,Table1[[#This Row],[h_hargasebelumdiskon]]*Table1[[#This Row],[Disc 1]]))</f>
        <v>298080</v>
      </c>
      <c r="AA127" s="284">
        <f>IF(Table1[[#This Row],[h_hargasebelumdiskon]]="","",IF(Table1[[#This Row],[Disc 2]]="",0,(Table1[[#This Row],[h_hargasebelumdiskon]]-Table1[[#This Row],[h_disc 1]])*Table1[[#This Row],[Disc 2]]))</f>
        <v>0</v>
      </c>
      <c r="AB127" s="284">
        <f>IF(Table1[Item Description]="","",Table1[[#This Row],[h_disc 1]]+Table1[[#This Row],[h_disc 2]])</f>
        <v>298080</v>
      </c>
      <c r="AC127" s="284">
        <f>IF(Table1[Item Description]="","",Table1[[#This Row],[h_hargasebelumdiskon]]-Table1[[#This Row],[h_diskon]])</f>
        <v>1909920</v>
      </c>
      <c r="AD127" s="284">
        <f ca="1">IF(Table1[//]="","",SUMIF(Table1[h_id],Table1[h_id],Table1[h_hargasetelahdiskon]))</f>
        <v>1909920</v>
      </c>
      <c r="AE127" s="284"/>
      <c r="AF127" s="284" t="str">
        <f>Table1[[#This Row],[Item Description]]&amp;Table1[[#This Row],[Unit]]&amp;Table1[[#This Row],[Unit Price]]</f>
        <v>PENSIL KENKO 2B-6191 HIJAU CAP HITAMGRS110400</v>
      </c>
    </row>
    <row r="128" spans="1:32" x14ac:dyDescent="0.25">
      <c r="A128" s="288" t="str">
        <f ca="1">IF(Table1[[#This Row],[No. Invoice :]]="","",ROW())</f>
        <v/>
      </c>
      <c r="B128" s="288" t="str">
        <f ca="1">IF(Table1[h_Kode Sales :_1]="","",B$1+COUNT(INDIRECT("B$2:B"&amp;ROW()-1)))</f>
        <v/>
      </c>
      <c r="C128" s="282" t="str">
        <f>IF(Table1[[#This Row],[H_TGL]]="","",Table1[[#This Row],[H_TGL]]+C$1-1)</f>
        <v/>
      </c>
      <c r="H128" s="288" t="str">
        <f ca="1">IF(Table1[[#This Row],[h_No. Invoice :]]="","",CONCATENATE("AM"," ",Table1[[#This Row],[h_No. Invoice :]]))</f>
        <v/>
      </c>
      <c r="I128" s="289" t="str">
        <f>CONCATENATE(UPPER(Table1[[#This Row],[h_Kode Sales :_1]])," ",Table1[[#This Row],[h_Kode Sales :_2]])</f>
        <v xml:space="preserve"> </v>
      </c>
      <c r="J128" s="288" t="str">
        <f>IF(Table1[[#This Row],[h_toko]]="","",INDEX(Table2[e],IF(Table1[[#This Row],[h_toko]]="","",MATCH(Table1[[#This Row],[h_toko]],Table2[a],0)),))</f>
        <v/>
      </c>
      <c r="O128" s="288" t="str">
        <f>IF(Table1[[#This Row],[h_Item Description]]="","",INDEX([1]!db[NB PAJAK],MATCH(Table1[[#This Row],[h_Item Description]],[1]!db[kode],0)))</f>
        <v/>
      </c>
      <c r="Q128" s="284"/>
      <c r="R128" s="285"/>
      <c r="T128" s="284" t="str">
        <f>Table1[[#This Row],[h_hargasetelahdiskon]]</f>
        <v/>
      </c>
      <c r="W128" s="288" t="str">
        <f ca="1">IF(Table1[[#This Row],[Item Description]]="","",IF(Table1[[#This Row],[//]]="",INDIRECT(ADDRESS(ROW()-1,COLUMN())),Table1[[#This Row],[//]]))</f>
        <v/>
      </c>
      <c r="X128" s="288" t="str">
        <f ca="1">IF(Table1[[#This Row],[h_id]]="","",COUNTIF(Table1[h_id],Table1[[#This Row],[h_id]]))</f>
        <v/>
      </c>
      <c r="Y128" s="284" t="str">
        <f>IF(Table1[Item Description]="","",Table1[[#This Row],[Qty]]*Table1[[#This Row],[Unit Price]])</f>
        <v/>
      </c>
      <c r="Z128" s="284" t="str">
        <f>IF(Table1[[#This Row],[h_hargasebelumdiskon]]="","",IF(Table1[[#This Row],[Disc 1]]="",0,Table1[[#This Row],[h_hargasebelumdiskon]]*Table1[[#This Row],[Disc 1]]))</f>
        <v/>
      </c>
      <c r="AA128" s="284" t="str">
        <f>IF(Table1[[#This Row],[h_hargasebelumdiskon]]="","",IF(Table1[[#This Row],[Disc 2]]="",0,(Table1[[#This Row],[h_hargasebelumdiskon]]-Table1[[#This Row],[h_disc 1]])*Table1[[#This Row],[Disc 2]]))</f>
        <v/>
      </c>
      <c r="AB128" s="284" t="str">
        <f>IF(Table1[Item Description]="","",Table1[[#This Row],[h_disc 1]]+Table1[[#This Row],[h_disc 2]])</f>
        <v/>
      </c>
      <c r="AC128" s="284" t="str">
        <f>IF(Table1[Item Description]="","",Table1[[#This Row],[h_hargasebelumdiskon]]-Table1[[#This Row],[h_diskon]])</f>
        <v/>
      </c>
      <c r="AD128" s="284" t="str">
        <f ca="1">IF(Table1[//]="","",SUMIF(Table1[h_id],Table1[h_id],Table1[h_hargasetelahdiskon]))</f>
        <v/>
      </c>
      <c r="AE128" s="284"/>
      <c r="AF128" s="284" t="str">
        <f>Table1[[#This Row],[Item Description]]&amp;Table1[[#This Row],[Unit]]&amp;Table1[[#This Row],[Unit Price]]</f>
        <v/>
      </c>
    </row>
    <row r="129" spans="1:32" x14ac:dyDescent="0.25">
      <c r="A129" s="288">
        <f ca="1">IF(Table1[[#This Row],[No. Invoice :]]="","",ROW())</f>
        <v>129</v>
      </c>
      <c r="B129" s="288">
        <f ca="1">IF(Table1[h_Kode Sales :_1]="","",B$1+COUNT(INDIRECT("B$2:B"&amp;ROW()-1)))</f>
        <v>23070037</v>
      </c>
      <c r="C129" s="282">
        <f>IF(Table1[[#This Row],[H_TGL]]="","",Table1[[#This Row],[H_TGL]]+C$1-1)</f>
        <v>45135</v>
      </c>
      <c r="D129" s="293">
        <v>28</v>
      </c>
      <c r="E129" s="281" t="s">
        <v>129</v>
      </c>
      <c r="F129" s="283" t="s">
        <v>318</v>
      </c>
      <c r="G129" s="281" t="s">
        <v>93</v>
      </c>
      <c r="H129" s="288" t="str">
        <f ca="1">IF(Table1[[#This Row],[h_No. Invoice :]]="","",CONCATENATE("AM"," ",Table1[[#This Row],[h_No. Invoice :]]))</f>
        <v>AM 23070037</v>
      </c>
      <c r="I129" s="289" t="str">
        <f>CONCATENATE(UPPER(Table1[[#This Row],[h_Kode Sales :_1]])," ",Table1[[#This Row],[h_Kode Sales :_2]])</f>
        <v>G 2677</v>
      </c>
      <c r="J129" s="288" t="str">
        <f>IF(Table1[[#This Row],[h_toko]]="","",INDEX(Table2[e],IF(Table1[[#This Row],[h_toko]]="","",MATCH(Table1[[#This Row],[h_toko]],Table2[a],0)),))</f>
        <v>LILY JULIAWATI (REJO AGUNG) JOMBANG</v>
      </c>
      <c r="K129" s="281">
        <v>864</v>
      </c>
      <c r="L129" s="281" t="s">
        <v>155</v>
      </c>
      <c r="M129" s="281">
        <v>1</v>
      </c>
      <c r="N129" s="281" t="s">
        <v>294</v>
      </c>
      <c r="O129" s="288" t="str">
        <f>IF(Table1[[#This Row],[h_Item Description]]="","",INDEX([1]!db[NB PAJAK],MATCH(Table1[[#This Row],[h_Item Description]],[1]!db[kode],0)))</f>
        <v>LEM STICK JOYKO 15 GR GS-104 TG (ANIMAL KINGDOM) isi 24 pc</v>
      </c>
      <c r="P129" s="281" t="s">
        <v>295</v>
      </c>
      <c r="Q129" s="284">
        <v>2450</v>
      </c>
      <c r="R129" s="285">
        <v>0.125</v>
      </c>
      <c r="T129" s="284">
        <f>Table1[[#This Row],[h_hargasetelahdiskon]]</f>
        <v>1852200</v>
      </c>
      <c r="U129" s="284" t="s">
        <v>149</v>
      </c>
      <c r="W129" s="288">
        <f ca="1">IF(Table1[[#This Row],[Item Description]]="","",IF(Table1[[#This Row],[//]]="",INDIRECT(ADDRESS(ROW()-1,COLUMN())),Table1[[#This Row],[//]]))</f>
        <v>129</v>
      </c>
      <c r="X129" s="288">
        <f ca="1">IF(Table1[[#This Row],[h_id]]="","",COUNTIF(Table1[h_id],Table1[[#This Row],[h_id]]))</f>
        <v>1</v>
      </c>
      <c r="Y129" s="284">
        <f>IF(Table1[Item Description]="","",Table1[[#This Row],[Qty]]*Table1[[#This Row],[Unit Price]])</f>
        <v>2116800</v>
      </c>
      <c r="Z129" s="284">
        <f>IF(Table1[[#This Row],[h_hargasebelumdiskon]]="","",IF(Table1[[#This Row],[Disc 1]]="",0,Table1[[#This Row],[h_hargasebelumdiskon]]*Table1[[#This Row],[Disc 1]]))</f>
        <v>264600</v>
      </c>
      <c r="AA129" s="284">
        <f>IF(Table1[[#This Row],[h_hargasebelumdiskon]]="","",IF(Table1[[#This Row],[Disc 2]]="",0,(Table1[[#This Row],[h_hargasebelumdiskon]]-Table1[[#This Row],[h_disc 1]])*Table1[[#This Row],[Disc 2]]))</f>
        <v>0</v>
      </c>
      <c r="AB129" s="284">
        <f>IF(Table1[Item Description]="","",Table1[[#This Row],[h_disc 1]]+Table1[[#This Row],[h_disc 2]])</f>
        <v>264600</v>
      </c>
      <c r="AC129" s="284">
        <f>IF(Table1[Item Description]="","",Table1[[#This Row],[h_hargasebelumdiskon]]-Table1[[#This Row],[h_diskon]])</f>
        <v>1852200</v>
      </c>
      <c r="AD129" s="284">
        <f ca="1">IF(Table1[//]="","",SUMIF(Table1[h_id],Table1[h_id],Table1[h_hargasetelahdiskon]))</f>
        <v>1852200</v>
      </c>
      <c r="AE129" s="284"/>
      <c r="AF129" s="284" t="str">
        <f>Table1[[#This Row],[Item Description]]&amp;Table1[[#This Row],[Unit]]&amp;Table1[[#This Row],[Unit Price]]</f>
        <v>LEM STICK JOYKO 15 GR GS-104 TG (ANIMAL KINGDOM) isi 24 pcPCS2450</v>
      </c>
    </row>
    <row r="130" spans="1:32" x14ac:dyDescent="0.25">
      <c r="A130" s="288" t="str">
        <f ca="1">IF(Table1[[#This Row],[No. Invoice :]]="","",ROW())</f>
        <v/>
      </c>
      <c r="B130" s="288" t="str">
        <f ca="1">IF(Table1[h_Kode Sales :_1]="","",B$1+COUNT(INDIRECT("B$2:B"&amp;ROW()-1)))</f>
        <v/>
      </c>
      <c r="C130" s="282" t="str">
        <f>IF(Table1[[#This Row],[H_TGL]]="","",Table1[[#This Row],[H_TGL]]+C$1-1)</f>
        <v/>
      </c>
      <c r="H130" s="288" t="str">
        <f ca="1">IF(Table1[[#This Row],[h_No. Invoice :]]="","",CONCATENATE("AM"," ",Table1[[#This Row],[h_No. Invoice :]]))</f>
        <v/>
      </c>
      <c r="I130" s="289" t="str">
        <f>CONCATENATE(UPPER(Table1[[#This Row],[h_Kode Sales :_1]])," ",Table1[[#This Row],[h_Kode Sales :_2]])</f>
        <v xml:space="preserve"> </v>
      </c>
      <c r="J130" s="288" t="str">
        <f>IF(Table1[[#This Row],[h_toko]]="","",INDEX(Table2[e],IF(Table1[[#This Row],[h_toko]]="","",MATCH(Table1[[#This Row],[h_toko]],Table2[a],0)),))</f>
        <v/>
      </c>
      <c r="O130" s="288" t="str">
        <f>IF(Table1[[#This Row],[h_Item Description]]="","",INDEX([1]!db[NB PAJAK],MATCH(Table1[[#This Row],[h_Item Description]],[1]!db[kode],0)))</f>
        <v/>
      </c>
      <c r="Q130" s="284"/>
      <c r="R130" s="285"/>
      <c r="T130" s="284" t="str">
        <f>Table1[[#This Row],[h_hargasetelahdiskon]]</f>
        <v/>
      </c>
      <c r="W130" s="288" t="str">
        <f ca="1">IF(Table1[[#This Row],[Item Description]]="","",IF(Table1[[#This Row],[//]]="",INDIRECT(ADDRESS(ROW()-1,COLUMN())),Table1[[#This Row],[//]]))</f>
        <v/>
      </c>
      <c r="X130" s="288" t="str">
        <f ca="1">IF(Table1[[#This Row],[h_id]]="","",COUNTIF(Table1[h_id],Table1[[#This Row],[h_id]]))</f>
        <v/>
      </c>
      <c r="Y130" s="284" t="str">
        <f>IF(Table1[Item Description]="","",Table1[[#This Row],[Qty]]*Table1[[#This Row],[Unit Price]])</f>
        <v/>
      </c>
      <c r="Z130" s="284" t="str">
        <f>IF(Table1[[#This Row],[h_hargasebelumdiskon]]="","",IF(Table1[[#This Row],[Disc 1]]="",0,Table1[[#This Row],[h_hargasebelumdiskon]]*Table1[[#This Row],[Disc 1]]))</f>
        <v/>
      </c>
      <c r="AA130" s="284" t="str">
        <f>IF(Table1[[#This Row],[h_hargasebelumdiskon]]="","",IF(Table1[[#This Row],[Disc 2]]="",0,(Table1[[#This Row],[h_hargasebelumdiskon]]-Table1[[#This Row],[h_disc 1]])*Table1[[#This Row],[Disc 2]]))</f>
        <v/>
      </c>
      <c r="AB130" s="284" t="str">
        <f>IF(Table1[Item Description]="","",Table1[[#This Row],[h_disc 1]]+Table1[[#This Row],[h_disc 2]])</f>
        <v/>
      </c>
      <c r="AC130" s="284" t="str">
        <f>IF(Table1[Item Description]="","",Table1[[#This Row],[h_hargasebelumdiskon]]-Table1[[#This Row],[h_diskon]])</f>
        <v/>
      </c>
      <c r="AD130" s="284" t="str">
        <f ca="1">IF(Table1[//]="","",SUMIF(Table1[h_id],Table1[h_id],Table1[h_hargasetelahdiskon]))</f>
        <v/>
      </c>
      <c r="AE130" s="284"/>
      <c r="AF130" s="284" t="str">
        <f>Table1[[#This Row],[Item Description]]&amp;Table1[[#This Row],[Unit]]&amp;Table1[[#This Row],[Unit Price]]</f>
        <v/>
      </c>
    </row>
    <row r="131" spans="1:32" x14ac:dyDescent="0.25">
      <c r="A131" s="288">
        <f ca="1">IF(Table1[[#This Row],[No. Invoice :]]="","",ROW())</f>
        <v>131</v>
      </c>
      <c r="B131" s="288">
        <f ca="1">IF(Table1[h_Kode Sales :_1]="","",B$1+COUNT(INDIRECT("B$2:B"&amp;ROW()-1)))</f>
        <v>23070038</v>
      </c>
      <c r="C131" s="282">
        <f>IF(Table1[[#This Row],[H_TGL]]="","",Table1[[#This Row],[H_TGL]]+C$1-1)</f>
        <v>45135</v>
      </c>
      <c r="D131" s="293">
        <v>28</v>
      </c>
      <c r="E131" s="281" t="s">
        <v>122</v>
      </c>
      <c r="F131" s="283" t="s">
        <v>319</v>
      </c>
      <c r="G131" s="281" t="s">
        <v>70</v>
      </c>
      <c r="H131" s="288" t="str">
        <f ca="1">IF(Table1[[#This Row],[h_No. Invoice :]]="","",CONCATENATE("AM"," ",Table1[[#This Row],[h_No. Invoice :]]))</f>
        <v>AM 23070038</v>
      </c>
      <c r="I131" s="289" t="str">
        <f>CONCATENATE(UPPER(Table1[[#This Row],[h_Kode Sales :_1]])," ",Table1[[#This Row],[h_Kode Sales :_2]])</f>
        <v>KO 2682</v>
      </c>
      <c r="J131" s="288" t="str">
        <f>IF(Table1[[#This Row],[h_toko]]="","",INDEX(Table2[e],IF(Table1[[#This Row],[h_toko]]="","",MATCH(Table1[[#This Row],[h_toko]],Table2[a],0)),))</f>
        <v>HARNOYO (BENDAN) PEKALONGAN</v>
      </c>
      <c r="K131" s="281">
        <v>5</v>
      </c>
      <c r="L131" s="281" t="s">
        <v>142</v>
      </c>
      <c r="N131" s="281" t="s">
        <v>320</v>
      </c>
      <c r="O131" s="288" t="str">
        <f>IF(Table1[[#This Row],[h_Item Description]]="","",INDEX([1]!db[NB PAJAK],MATCH(Table1[[#This Row],[h_Item Description]],[1]!db[kode],0)))</f>
        <v>PENSIL WARNA KENKO CP-12F CLASSIC (PANJANG)</v>
      </c>
      <c r="P131" s="281" t="s">
        <v>321</v>
      </c>
      <c r="Q131" s="284">
        <v>124200</v>
      </c>
      <c r="R131" s="285">
        <v>0.125</v>
      </c>
      <c r="T131" s="284">
        <f>Table1[[#This Row],[h_hargasetelahdiskon]]</f>
        <v>543375</v>
      </c>
      <c r="U131" s="284" t="s">
        <v>149</v>
      </c>
      <c r="W131" s="288">
        <f ca="1">IF(Table1[[#This Row],[Item Description]]="","",IF(Table1[[#This Row],[//]]="",INDIRECT(ADDRESS(ROW()-1,COLUMN())),Table1[[#This Row],[//]]))</f>
        <v>131</v>
      </c>
      <c r="X131" s="288">
        <f ca="1">IF(Table1[[#This Row],[h_id]]="","",COUNTIF(Table1[h_id],Table1[[#This Row],[h_id]]))</f>
        <v>2</v>
      </c>
      <c r="Y131" s="284">
        <f>IF(Table1[Item Description]="","",Table1[[#This Row],[Qty]]*Table1[[#This Row],[Unit Price]])</f>
        <v>621000</v>
      </c>
      <c r="Z131" s="284">
        <f>IF(Table1[[#This Row],[h_hargasebelumdiskon]]="","",IF(Table1[[#This Row],[Disc 1]]="",0,Table1[[#This Row],[h_hargasebelumdiskon]]*Table1[[#This Row],[Disc 1]]))</f>
        <v>77625</v>
      </c>
      <c r="AA131" s="284">
        <f>IF(Table1[[#This Row],[h_hargasebelumdiskon]]="","",IF(Table1[[#This Row],[Disc 2]]="",0,(Table1[[#This Row],[h_hargasebelumdiskon]]-Table1[[#This Row],[h_disc 1]])*Table1[[#This Row],[Disc 2]]))</f>
        <v>0</v>
      </c>
      <c r="AB131" s="284">
        <f>IF(Table1[Item Description]="","",Table1[[#This Row],[h_disc 1]]+Table1[[#This Row],[h_disc 2]])</f>
        <v>77625</v>
      </c>
      <c r="AC131" s="284">
        <f>IF(Table1[Item Description]="","",Table1[[#This Row],[h_hargasebelumdiskon]]-Table1[[#This Row],[h_diskon]])</f>
        <v>543375</v>
      </c>
      <c r="AD131" s="284">
        <f ca="1">IF(Table1[//]="","",SUMIF(Table1[h_id],Table1[h_id],Table1[h_hargasetelahdiskon]))</f>
        <v>868875</v>
      </c>
      <c r="AE131" s="284"/>
      <c r="AF131" s="284" t="str">
        <f>Table1[[#This Row],[Item Description]]&amp;Table1[[#This Row],[Unit]]&amp;Table1[[#This Row],[Unit Price]]</f>
        <v>PENSIL WARNA KENKO CP-12F CLASSIC (PANJANG)LSN124200</v>
      </c>
    </row>
    <row r="132" spans="1:32" x14ac:dyDescent="0.25">
      <c r="A132" s="288" t="str">
        <f ca="1">IF(Table1[[#This Row],[No. Invoice :]]="","",ROW())</f>
        <v/>
      </c>
      <c r="B132" s="288" t="str">
        <f ca="1">IF(Table1[h_Kode Sales :_1]="","",B$1+COUNT(INDIRECT("B$2:B"&amp;ROW()-1)))</f>
        <v/>
      </c>
      <c r="C132" s="282" t="str">
        <f>IF(Table1[[#This Row],[H_TGL]]="","",Table1[[#This Row],[H_TGL]]+C$1-1)</f>
        <v/>
      </c>
      <c r="H132" s="288" t="str">
        <f ca="1">IF(Table1[[#This Row],[h_No. Invoice :]]="","",CONCATENATE("AM"," ",Table1[[#This Row],[h_No. Invoice :]]))</f>
        <v/>
      </c>
      <c r="I132" s="289" t="str">
        <f>CONCATENATE(UPPER(Table1[[#This Row],[h_Kode Sales :_1]])," ",Table1[[#This Row],[h_Kode Sales :_2]])</f>
        <v xml:space="preserve"> </v>
      </c>
      <c r="J132" s="288" t="str">
        <f>IF(Table1[[#This Row],[h_toko]]="","",INDEX(Table2[e],IF(Table1[[#This Row],[h_toko]]="","",MATCH(Table1[[#This Row],[h_toko]],Table2[a],0)),))</f>
        <v/>
      </c>
      <c r="K132" s="281">
        <v>5</v>
      </c>
      <c r="L132" s="281" t="s">
        <v>142</v>
      </c>
      <c r="N132" s="281" t="s">
        <v>322</v>
      </c>
      <c r="O132" s="288" t="str">
        <f>IF(Table1[[#This Row],[h_Item Description]]="","",INDEX([1]!db[NB PAJAK],MATCH(Table1[[#This Row],[h_Item Description]],[1]!db[kode],0)))</f>
        <v>DATE STAMP KENKO D-4 (Cap Tanggal 4 Mm)</v>
      </c>
      <c r="P132" s="281" t="s">
        <v>323</v>
      </c>
      <c r="Q132" s="284">
        <v>74400</v>
      </c>
      <c r="R132" s="285">
        <v>0.125</v>
      </c>
      <c r="T132" s="284">
        <f>Table1[[#This Row],[h_hargasetelahdiskon]]</f>
        <v>325500</v>
      </c>
      <c r="W132" s="288">
        <f ca="1">IF(Table1[[#This Row],[Item Description]]="","",IF(Table1[[#This Row],[//]]="",INDIRECT(ADDRESS(ROW()-1,COLUMN())),Table1[[#This Row],[//]]))</f>
        <v>131</v>
      </c>
      <c r="X132" s="288">
        <f ca="1">IF(Table1[[#This Row],[h_id]]="","",COUNTIF(Table1[h_id],Table1[[#This Row],[h_id]]))</f>
        <v>2</v>
      </c>
      <c r="Y132" s="284">
        <f>IF(Table1[Item Description]="","",Table1[[#This Row],[Qty]]*Table1[[#This Row],[Unit Price]])</f>
        <v>372000</v>
      </c>
      <c r="Z132" s="284">
        <f>IF(Table1[[#This Row],[h_hargasebelumdiskon]]="","",IF(Table1[[#This Row],[Disc 1]]="",0,Table1[[#This Row],[h_hargasebelumdiskon]]*Table1[[#This Row],[Disc 1]]))</f>
        <v>46500</v>
      </c>
      <c r="AA132" s="284">
        <f>IF(Table1[[#This Row],[h_hargasebelumdiskon]]="","",IF(Table1[[#This Row],[Disc 2]]="",0,(Table1[[#This Row],[h_hargasebelumdiskon]]-Table1[[#This Row],[h_disc 1]])*Table1[[#This Row],[Disc 2]]))</f>
        <v>0</v>
      </c>
      <c r="AB132" s="284">
        <f>IF(Table1[Item Description]="","",Table1[[#This Row],[h_disc 1]]+Table1[[#This Row],[h_disc 2]])</f>
        <v>46500</v>
      </c>
      <c r="AC132" s="284">
        <f>IF(Table1[Item Description]="","",Table1[[#This Row],[h_hargasebelumdiskon]]-Table1[[#This Row],[h_diskon]])</f>
        <v>325500</v>
      </c>
      <c r="AD132" s="284" t="str">
        <f ca="1">IF(Table1[//]="","",SUMIF(Table1[h_id],Table1[h_id],Table1[h_hargasetelahdiskon]))</f>
        <v/>
      </c>
      <c r="AE132" s="284"/>
      <c r="AF132" s="284" t="str">
        <f>Table1[[#This Row],[Item Description]]&amp;Table1[[#This Row],[Unit]]&amp;Table1[[#This Row],[Unit Price]]</f>
        <v>DATE STAMP KENKO D-4 (Cap Tanggal 4 Mm)LSN74400</v>
      </c>
    </row>
    <row r="133" spans="1:32" x14ac:dyDescent="0.25">
      <c r="A133" s="288" t="str">
        <f ca="1">IF(Table1[[#This Row],[No. Invoice :]]="","",ROW())</f>
        <v/>
      </c>
      <c r="B133" s="288" t="str">
        <f ca="1">IF(Table1[h_Kode Sales :_1]="","",B$1+COUNT(INDIRECT("B$2:B"&amp;ROW()-1)))</f>
        <v/>
      </c>
      <c r="C133" s="282" t="str">
        <f>IF(Table1[[#This Row],[H_TGL]]="","",Table1[[#This Row],[H_TGL]]+C$1-1)</f>
        <v/>
      </c>
      <c r="H133" s="288" t="str">
        <f ca="1">IF(Table1[[#This Row],[h_No. Invoice :]]="","",CONCATENATE("AM"," ",Table1[[#This Row],[h_No. Invoice :]]))</f>
        <v/>
      </c>
      <c r="I133" s="289" t="str">
        <f>CONCATENATE(UPPER(Table1[[#This Row],[h_Kode Sales :_1]])," ",Table1[[#This Row],[h_Kode Sales :_2]])</f>
        <v xml:space="preserve"> </v>
      </c>
      <c r="J133" s="288" t="str">
        <f>IF(Table1[[#This Row],[h_toko]]="","",INDEX(Table2[e],IF(Table1[[#This Row],[h_toko]]="","",MATCH(Table1[[#This Row],[h_toko]],Table2[a],0)),))</f>
        <v/>
      </c>
      <c r="O133" s="288" t="str">
        <f>IF(Table1[[#This Row],[h_Item Description]]="","",INDEX([1]!db[NB PAJAK],MATCH(Table1[[#This Row],[h_Item Description]],[1]!db[kode],0)))</f>
        <v/>
      </c>
      <c r="Q133" s="284"/>
      <c r="R133" s="285"/>
      <c r="T133" s="284" t="str">
        <f>Table1[[#This Row],[h_hargasetelahdiskon]]</f>
        <v/>
      </c>
      <c r="W133" s="288" t="str">
        <f ca="1">IF(Table1[[#This Row],[Item Description]]="","",IF(Table1[[#This Row],[//]]="",INDIRECT(ADDRESS(ROW()-1,COLUMN())),Table1[[#This Row],[//]]))</f>
        <v/>
      </c>
      <c r="X133" s="288" t="str">
        <f ca="1">IF(Table1[[#This Row],[h_id]]="","",COUNTIF(Table1[h_id],Table1[[#This Row],[h_id]]))</f>
        <v/>
      </c>
      <c r="Y133" s="284" t="str">
        <f>IF(Table1[Item Description]="","",Table1[[#This Row],[Qty]]*Table1[[#This Row],[Unit Price]])</f>
        <v/>
      </c>
      <c r="Z133" s="284" t="str">
        <f>IF(Table1[[#This Row],[h_hargasebelumdiskon]]="","",IF(Table1[[#This Row],[Disc 1]]="",0,Table1[[#This Row],[h_hargasebelumdiskon]]*Table1[[#This Row],[Disc 1]]))</f>
        <v/>
      </c>
      <c r="AA133" s="284" t="str">
        <f>IF(Table1[[#This Row],[h_hargasebelumdiskon]]="","",IF(Table1[[#This Row],[Disc 2]]="",0,(Table1[[#This Row],[h_hargasebelumdiskon]]-Table1[[#This Row],[h_disc 1]])*Table1[[#This Row],[Disc 2]]))</f>
        <v/>
      </c>
      <c r="AB133" s="284" t="str">
        <f>IF(Table1[Item Description]="","",Table1[[#This Row],[h_disc 1]]+Table1[[#This Row],[h_disc 2]])</f>
        <v/>
      </c>
      <c r="AC133" s="284" t="str">
        <f>IF(Table1[Item Description]="","",Table1[[#This Row],[h_hargasebelumdiskon]]-Table1[[#This Row],[h_diskon]])</f>
        <v/>
      </c>
      <c r="AD133" s="284" t="str">
        <f ca="1">IF(Table1[//]="","",SUMIF(Table1[h_id],Table1[h_id],Table1[h_hargasetelahdiskon]))</f>
        <v/>
      </c>
      <c r="AE133" s="284"/>
      <c r="AF133" s="284" t="str">
        <f>Table1[[#This Row],[Item Description]]&amp;Table1[[#This Row],[Unit]]&amp;Table1[[#This Row],[Unit Price]]</f>
        <v/>
      </c>
    </row>
    <row r="134" spans="1:32" x14ac:dyDescent="0.25">
      <c r="A134" s="288">
        <f ca="1">IF(Table1[[#This Row],[No. Invoice :]]="","",ROW())</f>
        <v>134</v>
      </c>
      <c r="B134" s="288">
        <f ca="1">IF(Table1[h_Kode Sales :_1]="","",B$1+COUNT(INDIRECT("B$2:B"&amp;ROW()-1)))</f>
        <v>23070039</v>
      </c>
      <c r="C134" s="282">
        <f>IF(Table1[[#This Row],[H_TGL]]="","",Table1[[#This Row],[H_TGL]]+C$1-1)</f>
        <v>45135</v>
      </c>
      <c r="D134" s="293">
        <v>28</v>
      </c>
      <c r="E134" s="281" t="s">
        <v>122</v>
      </c>
      <c r="F134" s="283" t="s">
        <v>324</v>
      </c>
      <c r="G134" s="281" t="s">
        <v>80</v>
      </c>
      <c r="H134" s="288" t="str">
        <f ca="1">IF(Table1[[#This Row],[h_No. Invoice :]]="","",CONCATENATE("AM"," ",Table1[[#This Row],[h_No. Invoice :]]))</f>
        <v>AM 23070039</v>
      </c>
      <c r="I134" s="289" t="str">
        <f>CONCATENATE(UPPER(Table1[[#This Row],[h_Kode Sales :_1]])," ",Table1[[#This Row],[h_Kode Sales :_2]])</f>
        <v>KO 1685</v>
      </c>
      <c r="J134" s="288" t="str">
        <f>IF(Table1[[#This Row],[h_toko]]="","",INDEX(Table2[e],IF(Table1[[#This Row],[h_toko]]="","",MATCH(Table1[[#This Row],[h_toko]],Table2[a],0)),))</f>
        <v>CV GANESHA WONOSOBO</v>
      </c>
      <c r="K134" s="281">
        <v>5</v>
      </c>
      <c r="L134" s="281" t="s">
        <v>142</v>
      </c>
      <c r="N134" s="281" t="s">
        <v>285</v>
      </c>
      <c r="O134" s="288" t="str">
        <f>IF(Table1[[#This Row],[h_Item Description]]="","",INDEX([1]!db[NB PAJAK],MATCH(Table1[[#This Row],[h_Item Description]],[1]!db[kode],0)))</f>
        <v>CORRECTION FLUID KENKO KE-01</v>
      </c>
      <c r="P134" s="281" t="s">
        <v>286</v>
      </c>
      <c r="Q134" s="284">
        <v>54300</v>
      </c>
      <c r="R134" s="285">
        <v>0.1</v>
      </c>
      <c r="T134" s="284">
        <f>Table1[[#This Row],[h_hargasetelahdiskon]]</f>
        <v>244350</v>
      </c>
      <c r="U134" s="284" t="s">
        <v>149</v>
      </c>
      <c r="W134" s="288">
        <f ca="1">IF(Table1[[#This Row],[Item Description]]="","",IF(Table1[[#This Row],[//]]="",INDIRECT(ADDRESS(ROW()-1,COLUMN())),Table1[[#This Row],[//]]))</f>
        <v>134</v>
      </c>
      <c r="X134" s="288">
        <f ca="1">IF(Table1[[#This Row],[h_id]]="","",COUNTIF(Table1[h_id],Table1[[#This Row],[h_id]]))</f>
        <v>1</v>
      </c>
      <c r="Y134" s="284">
        <f>IF(Table1[Item Description]="","",Table1[[#This Row],[Qty]]*Table1[[#This Row],[Unit Price]])</f>
        <v>271500</v>
      </c>
      <c r="Z134" s="284">
        <f>IF(Table1[[#This Row],[h_hargasebelumdiskon]]="","",IF(Table1[[#This Row],[Disc 1]]="",0,Table1[[#This Row],[h_hargasebelumdiskon]]*Table1[[#This Row],[Disc 1]]))</f>
        <v>27150</v>
      </c>
      <c r="AA134" s="284">
        <f>IF(Table1[[#This Row],[h_hargasebelumdiskon]]="","",IF(Table1[[#This Row],[Disc 2]]="",0,(Table1[[#This Row],[h_hargasebelumdiskon]]-Table1[[#This Row],[h_disc 1]])*Table1[[#This Row],[Disc 2]]))</f>
        <v>0</v>
      </c>
      <c r="AB134" s="284">
        <f>IF(Table1[Item Description]="","",Table1[[#This Row],[h_disc 1]]+Table1[[#This Row],[h_disc 2]])</f>
        <v>27150</v>
      </c>
      <c r="AC134" s="284">
        <f>IF(Table1[Item Description]="","",Table1[[#This Row],[h_hargasebelumdiskon]]-Table1[[#This Row],[h_diskon]])</f>
        <v>244350</v>
      </c>
      <c r="AD134" s="284">
        <f ca="1">IF(Table1[//]="","",SUMIF(Table1[h_id],Table1[h_id],Table1[h_hargasetelahdiskon]))</f>
        <v>244350</v>
      </c>
      <c r="AE134" s="284"/>
      <c r="AF134" s="284" t="str">
        <f>Table1[[#This Row],[Item Description]]&amp;Table1[[#This Row],[Unit]]&amp;Table1[[#This Row],[Unit Price]]</f>
        <v>CORRECTION FLUID KENKO KE-01LSN54300</v>
      </c>
    </row>
    <row r="135" spans="1:32" x14ac:dyDescent="0.25">
      <c r="A135" s="288" t="str">
        <f ca="1">IF(Table1[[#This Row],[No. Invoice :]]="","",ROW())</f>
        <v/>
      </c>
      <c r="B135" s="288" t="str">
        <f ca="1">IF(Table1[h_Kode Sales :_1]="","",B$1+COUNT(INDIRECT("B$2:B"&amp;ROW()-1)))</f>
        <v/>
      </c>
      <c r="C135" s="282" t="str">
        <f>IF(Table1[[#This Row],[H_TGL]]="","",Table1[[#This Row],[H_TGL]]+C$1-1)</f>
        <v/>
      </c>
      <c r="H135" s="288" t="str">
        <f ca="1">IF(Table1[[#This Row],[h_No. Invoice :]]="","",CONCATENATE("AM"," ",Table1[[#This Row],[h_No. Invoice :]]))</f>
        <v/>
      </c>
      <c r="I135" s="289" t="str">
        <f>CONCATENATE(UPPER(Table1[[#This Row],[h_Kode Sales :_1]])," ",Table1[[#This Row],[h_Kode Sales :_2]])</f>
        <v xml:space="preserve"> </v>
      </c>
      <c r="J135" s="288" t="str">
        <f>IF(Table1[[#This Row],[h_toko]]="","",INDEX(Table2[e],IF(Table1[[#This Row],[h_toko]]="","",MATCH(Table1[[#This Row],[h_toko]],Table2[a],0)),))</f>
        <v/>
      </c>
      <c r="O135" s="288" t="str">
        <f>IF(Table1[[#This Row],[h_Item Description]]="","",INDEX([1]!db[NB PAJAK],MATCH(Table1[[#This Row],[h_Item Description]],[1]!db[kode],0)))</f>
        <v/>
      </c>
      <c r="Q135" s="284"/>
      <c r="R135" s="285"/>
      <c r="T135" s="284" t="str">
        <f>Table1[[#This Row],[h_hargasetelahdiskon]]</f>
        <v/>
      </c>
      <c r="W135" s="288" t="str">
        <f ca="1">IF(Table1[[#This Row],[Item Description]]="","",IF(Table1[[#This Row],[//]]="",INDIRECT(ADDRESS(ROW()-1,COLUMN())),Table1[[#This Row],[//]]))</f>
        <v/>
      </c>
      <c r="X135" s="288" t="str">
        <f ca="1">IF(Table1[[#This Row],[h_id]]="","",COUNTIF(Table1[h_id],Table1[[#This Row],[h_id]]))</f>
        <v/>
      </c>
      <c r="Y135" s="284" t="str">
        <f>IF(Table1[Item Description]="","",Table1[[#This Row],[Qty]]*Table1[[#This Row],[Unit Price]])</f>
        <v/>
      </c>
      <c r="Z135" s="284" t="str">
        <f>IF(Table1[[#This Row],[h_hargasebelumdiskon]]="","",IF(Table1[[#This Row],[Disc 1]]="",0,Table1[[#This Row],[h_hargasebelumdiskon]]*Table1[[#This Row],[Disc 1]]))</f>
        <v/>
      </c>
      <c r="AA135" s="284" t="str">
        <f>IF(Table1[[#This Row],[h_hargasebelumdiskon]]="","",IF(Table1[[#This Row],[Disc 2]]="",0,(Table1[[#This Row],[h_hargasebelumdiskon]]-Table1[[#This Row],[h_disc 1]])*Table1[[#This Row],[Disc 2]]))</f>
        <v/>
      </c>
      <c r="AB135" s="284" t="str">
        <f>IF(Table1[Item Description]="","",Table1[[#This Row],[h_disc 1]]+Table1[[#This Row],[h_disc 2]])</f>
        <v/>
      </c>
      <c r="AC135" s="284" t="str">
        <f>IF(Table1[Item Description]="","",Table1[[#This Row],[h_hargasebelumdiskon]]-Table1[[#This Row],[h_diskon]])</f>
        <v/>
      </c>
      <c r="AD135" s="284" t="str">
        <f ca="1">IF(Table1[//]="","",SUMIF(Table1[h_id],Table1[h_id],Table1[h_hargasetelahdiskon]))</f>
        <v/>
      </c>
      <c r="AE135" s="284"/>
      <c r="AF135" s="284" t="str">
        <f>Table1[[#This Row],[Item Description]]&amp;Table1[[#This Row],[Unit]]&amp;Table1[[#This Row],[Unit Price]]</f>
        <v/>
      </c>
    </row>
    <row r="136" spans="1:32" x14ac:dyDescent="0.25">
      <c r="A136" s="288">
        <f ca="1">IF(Table1[[#This Row],[No. Invoice :]]="","",ROW())</f>
        <v>136</v>
      </c>
      <c r="B136" s="288">
        <f ca="1">IF(Table1[h_Kode Sales :_1]="","",B$1+COUNT(INDIRECT("B$2:B"&amp;ROW()-1)))</f>
        <v>23070040</v>
      </c>
      <c r="C136" s="282">
        <f>IF(Table1[[#This Row],[H_TGL]]="","",Table1[[#This Row],[H_TGL]]+C$1-1)</f>
        <v>45135</v>
      </c>
      <c r="D136" s="293">
        <v>28</v>
      </c>
      <c r="E136" s="281" t="s">
        <v>122</v>
      </c>
      <c r="F136" s="283" t="s">
        <v>325</v>
      </c>
      <c r="G136" s="281" t="s">
        <v>75</v>
      </c>
      <c r="H136" s="288" t="str">
        <f ca="1">IF(Table1[[#This Row],[h_No. Invoice :]]="","",CONCATENATE("AM"," ",Table1[[#This Row],[h_No. Invoice :]]))</f>
        <v>AM 23070040</v>
      </c>
      <c r="I136" s="289" t="str">
        <f>CONCATENATE(UPPER(Table1[[#This Row],[h_Kode Sales :_1]])," ",Table1[[#This Row],[h_Kode Sales :_2]])</f>
        <v>KO 1632</v>
      </c>
      <c r="J136" s="288" t="str">
        <f>IF(Table1[[#This Row],[h_toko]]="","",INDEX(Table2[e],IF(Table1[[#This Row],[h_toko]]="","",MATCH(Table1[[#This Row],[h_toko]],Table2[a],0)),))</f>
        <v>CV SINAR CAHAYA NIRMALA BREBES</v>
      </c>
      <c r="K136" s="281">
        <v>1</v>
      </c>
      <c r="L136" s="281" t="s">
        <v>142</v>
      </c>
      <c r="N136" s="281" t="s">
        <v>326</v>
      </c>
      <c r="O136" s="288" t="str">
        <f>IF(Table1[[#This Row],[h_Item Description]]="","",INDEX([1]!db[NB PAJAK],MATCH(Table1[[#This Row],[h_Item Description]],[1]!db[kode],0)))</f>
        <v>CORRECTION TAPE KENKO CT-919 (12M x 5MM)</v>
      </c>
      <c r="P136" s="281" t="s">
        <v>337</v>
      </c>
      <c r="Q136" s="284">
        <v>55800</v>
      </c>
      <c r="R136" s="285">
        <v>0.1</v>
      </c>
      <c r="T136" s="284">
        <f>Table1[[#This Row],[h_hargasetelahdiskon]]</f>
        <v>50220</v>
      </c>
      <c r="U136" s="284" t="s">
        <v>170</v>
      </c>
      <c r="W136" s="288">
        <f ca="1">IF(Table1[[#This Row],[Item Description]]="","",IF(Table1[[#This Row],[//]]="",INDIRECT(ADDRESS(ROW()-1,COLUMN())),Table1[[#This Row],[//]]))</f>
        <v>136</v>
      </c>
      <c r="X136" s="288">
        <f ca="1">IF(Table1[[#This Row],[h_id]]="","",COUNTIF(Table1[h_id],Table1[[#This Row],[h_id]]))</f>
        <v>16</v>
      </c>
      <c r="Y136" s="284">
        <f>IF(Table1[Item Description]="","",Table1[[#This Row],[Qty]]*Table1[[#This Row],[Unit Price]])</f>
        <v>55800</v>
      </c>
      <c r="Z136" s="284">
        <f>IF(Table1[[#This Row],[h_hargasebelumdiskon]]="","",IF(Table1[[#This Row],[Disc 1]]="",0,Table1[[#This Row],[h_hargasebelumdiskon]]*Table1[[#This Row],[Disc 1]]))</f>
        <v>5580</v>
      </c>
      <c r="AA136" s="284">
        <f>IF(Table1[[#This Row],[h_hargasebelumdiskon]]="","",IF(Table1[[#This Row],[Disc 2]]="",0,(Table1[[#This Row],[h_hargasebelumdiskon]]-Table1[[#This Row],[h_disc 1]])*Table1[[#This Row],[Disc 2]]))</f>
        <v>0</v>
      </c>
      <c r="AB136" s="284">
        <f>IF(Table1[Item Description]="","",Table1[[#This Row],[h_disc 1]]+Table1[[#This Row],[h_disc 2]])</f>
        <v>5580</v>
      </c>
      <c r="AC136" s="284">
        <f>IF(Table1[Item Description]="","",Table1[[#This Row],[h_hargasebelumdiskon]]-Table1[[#This Row],[h_diskon]])</f>
        <v>50220</v>
      </c>
      <c r="AD136" s="284">
        <f ca="1">IF(Table1[//]="","",SUMIF(Table1[h_id],Table1[h_id],Table1[h_hargasetelahdiskon]))</f>
        <v>1849770</v>
      </c>
      <c r="AE136" s="284"/>
      <c r="AF136" s="284" t="str">
        <f>Table1[[#This Row],[Item Description]]&amp;Table1[[#This Row],[Unit]]&amp;Table1[[#This Row],[Unit Price]]</f>
        <v>CORRECTION TAPE KENKO CT-919 (12M x 5MM)LSN55800</v>
      </c>
    </row>
    <row r="137" spans="1:32" x14ac:dyDescent="0.25">
      <c r="A137" s="288" t="str">
        <f ca="1">IF(Table1[[#This Row],[No. Invoice :]]="","",ROW())</f>
        <v/>
      </c>
      <c r="B137" s="288" t="str">
        <f ca="1">IF(Table1[h_Kode Sales :_1]="","",B$1+COUNT(INDIRECT("B$2:B"&amp;ROW()-1)))</f>
        <v/>
      </c>
      <c r="C137" s="282" t="str">
        <f>IF(Table1[[#This Row],[H_TGL]]="","",Table1[[#This Row],[H_TGL]]+C$1-1)</f>
        <v/>
      </c>
      <c r="H137" s="288" t="str">
        <f ca="1">IF(Table1[[#This Row],[h_No. Invoice :]]="","",CONCATENATE("AM"," ",Table1[[#This Row],[h_No. Invoice :]]))</f>
        <v/>
      </c>
      <c r="I137" s="289" t="str">
        <f>CONCATENATE(UPPER(Table1[[#This Row],[h_Kode Sales :_1]])," ",Table1[[#This Row],[h_Kode Sales :_2]])</f>
        <v xml:space="preserve"> </v>
      </c>
      <c r="J137" s="288" t="str">
        <f>IF(Table1[[#This Row],[h_toko]]="","",INDEX(Table2[e],IF(Table1[[#This Row],[h_toko]]="","",MATCH(Table1[[#This Row],[h_toko]],Table2[a],0)),))</f>
        <v/>
      </c>
      <c r="K137" s="281">
        <v>3</v>
      </c>
      <c r="L137" s="281" t="s">
        <v>142</v>
      </c>
      <c r="N137" s="281" t="s">
        <v>335</v>
      </c>
      <c r="O137" s="288" t="str">
        <f>IF(Table1[[#This Row],[h_Item Description]]="","",INDEX([1]!db[NB PAJAK],MATCH(Table1[[#This Row],[h_Item Description]],[1]!db[kode],0)))</f>
        <v>CORRECTION FLUID KENKO KE-301</v>
      </c>
      <c r="P137" s="281" t="s">
        <v>338</v>
      </c>
      <c r="Q137" s="284">
        <v>53400</v>
      </c>
      <c r="R137" s="285">
        <v>0.1</v>
      </c>
      <c r="T137" s="284">
        <f>Table1[[#This Row],[h_hargasetelahdiskon]]</f>
        <v>144180</v>
      </c>
      <c r="W137" s="288">
        <f ca="1">IF(Table1[[#This Row],[Item Description]]="","",IF(Table1[[#This Row],[//]]="",INDIRECT(ADDRESS(ROW()-1,COLUMN())),Table1[[#This Row],[//]]))</f>
        <v>136</v>
      </c>
      <c r="X137" s="288">
        <f ca="1">IF(Table1[[#This Row],[h_id]]="","",COUNTIF(Table1[h_id],Table1[[#This Row],[h_id]]))</f>
        <v>16</v>
      </c>
      <c r="Y137" s="284">
        <f>IF(Table1[Item Description]="","",Table1[[#This Row],[Qty]]*Table1[[#This Row],[Unit Price]])</f>
        <v>160200</v>
      </c>
      <c r="Z137" s="284">
        <f>IF(Table1[[#This Row],[h_hargasebelumdiskon]]="","",IF(Table1[[#This Row],[Disc 1]]="",0,Table1[[#This Row],[h_hargasebelumdiskon]]*Table1[[#This Row],[Disc 1]]))</f>
        <v>16020</v>
      </c>
      <c r="AA137" s="284">
        <f>IF(Table1[[#This Row],[h_hargasebelumdiskon]]="","",IF(Table1[[#This Row],[Disc 2]]="",0,(Table1[[#This Row],[h_hargasebelumdiskon]]-Table1[[#This Row],[h_disc 1]])*Table1[[#This Row],[Disc 2]]))</f>
        <v>0</v>
      </c>
      <c r="AB137" s="284">
        <f>IF(Table1[Item Description]="","",Table1[[#This Row],[h_disc 1]]+Table1[[#This Row],[h_disc 2]])</f>
        <v>16020</v>
      </c>
      <c r="AC137" s="284">
        <f>IF(Table1[Item Description]="","",Table1[[#This Row],[h_hargasebelumdiskon]]-Table1[[#This Row],[h_diskon]])</f>
        <v>144180</v>
      </c>
      <c r="AD137" s="284" t="str">
        <f ca="1">IF(Table1[//]="","",SUMIF(Table1[h_id],Table1[h_id],Table1[h_hargasetelahdiskon]))</f>
        <v/>
      </c>
      <c r="AE137" s="284"/>
      <c r="AF137" s="284" t="str">
        <f>Table1[[#This Row],[Item Description]]&amp;Table1[[#This Row],[Unit]]&amp;Table1[[#This Row],[Unit Price]]</f>
        <v>CORRECTION FLUID KENKO KE-301LSN53400</v>
      </c>
    </row>
    <row r="138" spans="1:32" x14ac:dyDescent="0.25">
      <c r="A138" s="288" t="str">
        <f ca="1">IF(Table1[[#This Row],[No. Invoice :]]="","",ROW())</f>
        <v/>
      </c>
      <c r="B138" s="288" t="str">
        <f ca="1">IF(Table1[h_Kode Sales :_1]="","",B$1+COUNT(INDIRECT("B$2:B"&amp;ROW()-1)))</f>
        <v/>
      </c>
      <c r="C138" s="282" t="str">
        <f>IF(Table1[[#This Row],[H_TGL]]="","",Table1[[#This Row],[H_TGL]]+C$1-1)</f>
        <v/>
      </c>
      <c r="H138" s="288" t="str">
        <f ca="1">IF(Table1[[#This Row],[h_No. Invoice :]]="","",CONCATENATE("AM"," ",Table1[[#This Row],[h_No. Invoice :]]))</f>
        <v/>
      </c>
      <c r="I138" s="289" t="str">
        <f>CONCATENATE(UPPER(Table1[[#This Row],[h_Kode Sales :_1]])," ",Table1[[#This Row],[h_Kode Sales :_2]])</f>
        <v xml:space="preserve"> </v>
      </c>
      <c r="J138" s="288" t="str">
        <f>IF(Table1[[#This Row],[h_toko]]="","",INDEX(Table2[e],IF(Table1[[#This Row],[h_toko]]="","",MATCH(Table1[[#This Row],[h_toko]],Table2[a],0)),))</f>
        <v/>
      </c>
      <c r="K138" s="281">
        <v>3</v>
      </c>
      <c r="L138" s="281" t="s">
        <v>142</v>
      </c>
      <c r="N138" s="281" t="s">
        <v>327</v>
      </c>
      <c r="O138" s="288" t="str">
        <f>IF(Table1[[#This Row],[h_Item Description]]="","",INDEX([1]!db[NB PAJAK],MATCH(Table1[[#This Row],[h_Item Description]],[1]!db[kode],0)))</f>
        <v>CORRECTION FLUID KENKO KE-826M</v>
      </c>
      <c r="P138" s="281" t="s">
        <v>328</v>
      </c>
      <c r="Q138" s="284">
        <v>60300</v>
      </c>
      <c r="R138" s="285">
        <v>0.1</v>
      </c>
      <c r="T138" s="284">
        <f>Table1[[#This Row],[h_hargasetelahdiskon]]</f>
        <v>162810</v>
      </c>
      <c r="W138" s="288">
        <f ca="1">IF(Table1[[#This Row],[Item Description]]="","",IF(Table1[[#This Row],[//]]="",INDIRECT(ADDRESS(ROW()-1,COLUMN())),Table1[[#This Row],[//]]))</f>
        <v>136</v>
      </c>
      <c r="X138" s="288">
        <f ca="1">IF(Table1[[#This Row],[h_id]]="","",COUNTIF(Table1[h_id],Table1[[#This Row],[h_id]]))</f>
        <v>16</v>
      </c>
      <c r="Y138" s="284">
        <f>IF(Table1[Item Description]="","",Table1[[#This Row],[Qty]]*Table1[[#This Row],[Unit Price]])</f>
        <v>180900</v>
      </c>
      <c r="Z138" s="284">
        <f>IF(Table1[[#This Row],[h_hargasebelumdiskon]]="","",IF(Table1[[#This Row],[Disc 1]]="",0,Table1[[#This Row],[h_hargasebelumdiskon]]*Table1[[#This Row],[Disc 1]]))</f>
        <v>18090</v>
      </c>
      <c r="AA138" s="284">
        <f>IF(Table1[[#This Row],[h_hargasebelumdiskon]]="","",IF(Table1[[#This Row],[Disc 2]]="",0,(Table1[[#This Row],[h_hargasebelumdiskon]]-Table1[[#This Row],[h_disc 1]])*Table1[[#This Row],[Disc 2]]))</f>
        <v>0</v>
      </c>
      <c r="AB138" s="284">
        <f>IF(Table1[Item Description]="","",Table1[[#This Row],[h_disc 1]]+Table1[[#This Row],[h_disc 2]])</f>
        <v>18090</v>
      </c>
      <c r="AC138" s="284">
        <f>IF(Table1[Item Description]="","",Table1[[#This Row],[h_hargasebelumdiskon]]-Table1[[#This Row],[h_diskon]])</f>
        <v>162810</v>
      </c>
      <c r="AD138" s="284" t="str">
        <f ca="1">IF(Table1[//]="","",SUMIF(Table1[h_id],Table1[h_id],Table1[h_hargasetelahdiskon]))</f>
        <v/>
      </c>
      <c r="AE138" s="284"/>
      <c r="AF138" s="284" t="str">
        <f>Table1[[#This Row],[Item Description]]&amp;Table1[[#This Row],[Unit]]&amp;Table1[[#This Row],[Unit Price]]</f>
        <v>CORRECTION FLUID KENKO KE-826MLSN60300</v>
      </c>
    </row>
    <row r="139" spans="1:32" x14ac:dyDescent="0.25">
      <c r="A139" s="288" t="str">
        <f ca="1">IF(Table1[[#This Row],[No. Invoice :]]="","",ROW())</f>
        <v/>
      </c>
      <c r="B139" s="288" t="str">
        <f ca="1">IF(Table1[h_Kode Sales :_1]="","",B$1+COUNT(INDIRECT("B$2:B"&amp;ROW()-1)))</f>
        <v/>
      </c>
      <c r="C139" s="282" t="str">
        <f>IF(Table1[[#This Row],[H_TGL]]="","",Table1[[#This Row],[H_TGL]]+C$1-1)</f>
        <v/>
      </c>
      <c r="H139" s="288" t="str">
        <f ca="1">IF(Table1[[#This Row],[h_No. Invoice :]]="","",CONCATENATE("AM"," ",Table1[[#This Row],[h_No. Invoice :]]))</f>
        <v/>
      </c>
      <c r="I139" s="289" t="str">
        <f>CONCATENATE(UPPER(Table1[[#This Row],[h_Kode Sales :_1]])," ",Table1[[#This Row],[h_Kode Sales :_2]])</f>
        <v xml:space="preserve"> </v>
      </c>
      <c r="J139" s="288" t="str">
        <f>IF(Table1[[#This Row],[h_toko]]="","",INDEX(Table2[e],IF(Table1[[#This Row],[h_toko]]="","",MATCH(Table1[[#This Row],[h_toko]],Table2[a],0)),))</f>
        <v/>
      </c>
      <c r="K139" s="281">
        <v>1</v>
      </c>
      <c r="L139" s="281" t="s">
        <v>142</v>
      </c>
      <c r="N139" s="281" t="s">
        <v>301</v>
      </c>
      <c r="O139" s="288" t="str">
        <f>IF(Table1[[#This Row],[h_Item Description]]="","",INDEX([1]!db[NB PAJAK],MATCH(Table1[[#This Row],[h_Item Description]],[1]!db[kode],0)))</f>
        <v>STAPLER KENKO HD-10</v>
      </c>
      <c r="P139" s="281" t="s">
        <v>302</v>
      </c>
      <c r="Q139" s="284">
        <v>93000</v>
      </c>
      <c r="R139" s="285">
        <v>0.1</v>
      </c>
      <c r="T139" s="284">
        <f>Table1[[#This Row],[h_hargasetelahdiskon]]</f>
        <v>83700</v>
      </c>
      <c r="W139" s="288">
        <f ca="1">IF(Table1[[#This Row],[Item Description]]="","",IF(Table1[[#This Row],[//]]="",INDIRECT(ADDRESS(ROW()-1,COLUMN())),Table1[[#This Row],[//]]))</f>
        <v>136</v>
      </c>
      <c r="X139" s="288">
        <f ca="1">IF(Table1[[#This Row],[h_id]]="","",COUNTIF(Table1[h_id],Table1[[#This Row],[h_id]]))</f>
        <v>16</v>
      </c>
      <c r="Y139" s="284">
        <f>IF(Table1[Item Description]="","",Table1[[#This Row],[Qty]]*Table1[[#This Row],[Unit Price]])</f>
        <v>93000</v>
      </c>
      <c r="Z139" s="284">
        <f>IF(Table1[[#This Row],[h_hargasebelumdiskon]]="","",IF(Table1[[#This Row],[Disc 1]]="",0,Table1[[#This Row],[h_hargasebelumdiskon]]*Table1[[#This Row],[Disc 1]]))</f>
        <v>9300</v>
      </c>
      <c r="AA139" s="284">
        <f>IF(Table1[[#This Row],[h_hargasebelumdiskon]]="","",IF(Table1[[#This Row],[Disc 2]]="",0,(Table1[[#This Row],[h_hargasebelumdiskon]]-Table1[[#This Row],[h_disc 1]])*Table1[[#This Row],[Disc 2]]))</f>
        <v>0</v>
      </c>
      <c r="AB139" s="284">
        <f>IF(Table1[Item Description]="","",Table1[[#This Row],[h_disc 1]]+Table1[[#This Row],[h_disc 2]])</f>
        <v>9300</v>
      </c>
      <c r="AC139" s="284">
        <f>IF(Table1[Item Description]="","",Table1[[#This Row],[h_hargasebelumdiskon]]-Table1[[#This Row],[h_diskon]])</f>
        <v>83700</v>
      </c>
      <c r="AD139" s="284" t="str">
        <f ca="1">IF(Table1[//]="","",SUMIF(Table1[h_id],Table1[h_id],Table1[h_hargasetelahdiskon]))</f>
        <v/>
      </c>
      <c r="AE139" s="284"/>
      <c r="AF139" s="284" t="str">
        <f>Table1[[#This Row],[Item Description]]&amp;Table1[[#This Row],[Unit]]&amp;Table1[[#This Row],[Unit Price]]</f>
        <v>STAPLER KENKO HD-10LSN93000</v>
      </c>
    </row>
    <row r="140" spans="1:32" x14ac:dyDescent="0.25">
      <c r="A140" s="288" t="str">
        <f ca="1">IF(Table1[[#This Row],[No. Invoice :]]="","",ROW())</f>
        <v/>
      </c>
      <c r="B140" s="288" t="str">
        <f ca="1">IF(Table1[h_Kode Sales :_1]="","",B$1+COUNT(INDIRECT("B$2:B"&amp;ROW()-1)))</f>
        <v/>
      </c>
      <c r="C140" s="282" t="str">
        <f>IF(Table1[[#This Row],[H_TGL]]="","",Table1[[#This Row],[H_TGL]]+C$1-1)</f>
        <v/>
      </c>
      <c r="H140" s="288" t="str">
        <f ca="1">IF(Table1[[#This Row],[h_No. Invoice :]]="","",CONCATENATE("AM"," ",Table1[[#This Row],[h_No. Invoice :]]))</f>
        <v/>
      </c>
      <c r="I140" s="289" t="str">
        <f>CONCATENATE(UPPER(Table1[[#This Row],[h_Kode Sales :_1]])," ",Table1[[#This Row],[h_Kode Sales :_2]])</f>
        <v xml:space="preserve"> </v>
      </c>
      <c r="J140" s="288" t="str">
        <f>IF(Table1[[#This Row],[h_toko]]="","",INDEX(Table2[e],IF(Table1[[#This Row],[h_toko]]="","",MATCH(Table1[[#This Row],[h_toko]],Table2[a],0)),))</f>
        <v/>
      </c>
      <c r="K140" s="281">
        <v>1</v>
      </c>
      <c r="L140" s="281" t="s">
        <v>142</v>
      </c>
      <c r="N140" s="281" t="s">
        <v>221</v>
      </c>
      <c r="O140" s="288" t="str">
        <f>IF(Table1[[#This Row],[h_Item Description]]="","",INDEX([1]!db[NB PAJAK],MATCH(Table1[[#This Row],[h_Item Description]],[1]!db[kode],0)))</f>
        <v>STAPLER KENKO HD-10D</v>
      </c>
      <c r="P140" s="281" t="s">
        <v>222</v>
      </c>
      <c r="Q140" s="284">
        <v>117600</v>
      </c>
      <c r="R140" s="285">
        <v>0.1</v>
      </c>
      <c r="T140" s="284">
        <f>Table1[[#This Row],[h_hargasetelahdiskon]]</f>
        <v>105840</v>
      </c>
      <c r="W140" s="288">
        <f ca="1">IF(Table1[[#This Row],[Item Description]]="","",IF(Table1[[#This Row],[//]]="",INDIRECT(ADDRESS(ROW()-1,COLUMN())),Table1[[#This Row],[//]]))</f>
        <v>136</v>
      </c>
      <c r="X140" s="288">
        <f ca="1">IF(Table1[[#This Row],[h_id]]="","",COUNTIF(Table1[h_id],Table1[[#This Row],[h_id]]))</f>
        <v>16</v>
      </c>
      <c r="Y140" s="284">
        <f>IF(Table1[Item Description]="","",Table1[[#This Row],[Qty]]*Table1[[#This Row],[Unit Price]])</f>
        <v>117600</v>
      </c>
      <c r="Z140" s="284">
        <f>IF(Table1[[#This Row],[h_hargasebelumdiskon]]="","",IF(Table1[[#This Row],[Disc 1]]="",0,Table1[[#This Row],[h_hargasebelumdiskon]]*Table1[[#This Row],[Disc 1]]))</f>
        <v>11760</v>
      </c>
      <c r="AA140" s="284">
        <f>IF(Table1[[#This Row],[h_hargasebelumdiskon]]="","",IF(Table1[[#This Row],[Disc 2]]="",0,(Table1[[#This Row],[h_hargasebelumdiskon]]-Table1[[#This Row],[h_disc 1]])*Table1[[#This Row],[Disc 2]]))</f>
        <v>0</v>
      </c>
      <c r="AB140" s="284">
        <f>IF(Table1[Item Description]="","",Table1[[#This Row],[h_disc 1]]+Table1[[#This Row],[h_disc 2]])</f>
        <v>11760</v>
      </c>
      <c r="AC140" s="284">
        <f>IF(Table1[Item Description]="","",Table1[[#This Row],[h_hargasebelumdiskon]]-Table1[[#This Row],[h_diskon]])</f>
        <v>105840</v>
      </c>
      <c r="AD140" s="284" t="str">
        <f ca="1">IF(Table1[//]="","",SUMIF(Table1[h_id],Table1[h_id],Table1[h_hargasetelahdiskon]))</f>
        <v/>
      </c>
      <c r="AE140" s="284"/>
      <c r="AF140" s="284" t="str">
        <f>Table1[[#This Row],[Item Description]]&amp;Table1[[#This Row],[Unit]]&amp;Table1[[#This Row],[Unit Price]]</f>
        <v>STAPLER KENKO HD-10DLSN117600</v>
      </c>
    </row>
    <row r="141" spans="1:32" x14ac:dyDescent="0.25">
      <c r="A141" s="288" t="str">
        <f ca="1">IF(Table1[[#This Row],[No. Invoice :]]="","",ROW())</f>
        <v/>
      </c>
      <c r="B141" s="288" t="str">
        <f ca="1">IF(Table1[h_Kode Sales :_1]="","",B$1+COUNT(INDIRECT("B$2:B"&amp;ROW()-1)))</f>
        <v/>
      </c>
      <c r="C141" s="282" t="str">
        <f>IF(Table1[[#This Row],[H_TGL]]="","",Table1[[#This Row],[H_TGL]]+C$1-1)</f>
        <v/>
      </c>
      <c r="H141" s="288" t="str">
        <f ca="1">IF(Table1[[#This Row],[h_No. Invoice :]]="","",CONCATENATE("AM"," ",Table1[[#This Row],[h_No. Invoice :]]))</f>
        <v/>
      </c>
      <c r="I141" s="289" t="str">
        <f>CONCATENATE(UPPER(Table1[[#This Row],[h_Kode Sales :_1]])," ",Table1[[#This Row],[h_Kode Sales :_2]])</f>
        <v xml:space="preserve"> </v>
      </c>
      <c r="J141" s="288" t="str">
        <f>IF(Table1[[#This Row],[h_toko]]="","",INDEX(Table2[e],IF(Table1[[#This Row],[h_toko]]="","",MATCH(Table1[[#This Row],[h_toko]],Table2[a],0)),))</f>
        <v/>
      </c>
      <c r="K141" s="281">
        <v>1</v>
      </c>
      <c r="L141" s="281" t="s">
        <v>142</v>
      </c>
      <c r="N141" s="281" t="s">
        <v>329</v>
      </c>
      <c r="O141" s="288" t="str">
        <f>IF(Table1[[#This Row],[h_Item Description]]="","",INDEX([1]!db[NB PAJAK],MATCH(Table1[[#This Row],[h_Item Description]],[1]!db[kode],0)))</f>
        <v>STAPLER SDI 1104</v>
      </c>
      <c r="P141" s="281" t="s">
        <v>339</v>
      </c>
      <c r="Q141" s="284">
        <v>234000</v>
      </c>
      <c r="R141" s="285">
        <v>0.1</v>
      </c>
      <c r="T141" s="284">
        <f>Table1[[#This Row],[h_hargasetelahdiskon]]</f>
        <v>210600</v>
      </c>
      <c r="W141" s="288">
        <f ca="1">IF(Table1[[#This Row],[Item Description]]="","",IF(Table1[[#This Row],[//]]="",INDIRECT(ADDRESS(ROW()-1,COLUMN())),Table1[[#This Row],[//]]))</f>
        <v>136</v>
      </c>
      <c r="X141" s="288">
        <f ca="1">IF(Table1[[#This Row],[h_id]]="","",COUNTIF(Table1[h_id],Table1[[#This Row],[h_id]]))</f>
        <v>16</v>
      </c>
      <c r="Y141" s="284">
        <f>IF(Table1[Item Description]="","",Table1[[#This Row],[Qty]]*Table1[[#This Row],[Unit Price]])</f>
        <v>234000</v>
      </c>
      <c r="Z141" s="284">
        <f>IF(Table1[[#This Row],[h_hargasebelumdiskon]]="","",IF(Table1[[#This Row],[Disc 1]]="",0,Table1[[#This Row],[h_hargasebelumdiskon]]*Table1[[#This Row],[Disc 1]]))</f>
        <v>23400</v>
      </c>
      <c r="AA141" s="284">
        <f>IF(Table1[[#This Row],[h_hargasebelumdiskon]]="","",IF(Table1[[#This Row],[Disc 2]]="",0,(Table1[[#This Row],[h_hargasebelumdiskon]]-Table1[[#This Row],[h_disc 1]])*Table1[[#This Row],[Disc 2]]))</f>
        <v>0</v>
      </c>
      <c r="AB141" s="284">
        <f>IF(Table1[Item Description]="","",Table1[[#This Row],[h_disc 1]]+Table1[[#This Row],[h_disc 2]])</f>
        <v>23400</v>
      </c>
      <c r="AC141" s="284">
        <f>IF(Table1[Item Description]="","",Table1[[#This Row],[h_hargasebelumdiskon]]-Table1[[#This Row],[h_diskon]])</f>
        <v>210600</v>
      </c>
      <c r="AD141" s="284" t="str">
        <f ca="1">IF(Table1[//]="","",SUMIF(Table1[h_id],Table1[h_id],Table1[h_hargasetelahdiskon]))</f>
        <v/>
      </c>
      <c r="AE141" s="284"/>
      <c r="AF141" s="284" t="str">
        <f>Table1[[#This Row],[Item Description]]&amp;Table1[[#This Row],[Unit]]&amp;Table1[[#This Row],[Unit Price]]</f>
        <v>STAPLER SDI 1104LSN234000</v>
      </c>
    </row>
    <row r="142" spans="1:32" x14ac:dyDescent="0.25">
      <c r="A142" s="288" t="str">
        <f ca="1">IF(Table1[[#This Row],[No. Invoice :]]="","",ROW())</f>
        <v/>
      </c>
      <c r="B142" s="288" t="str">
        <f ca="1">IF(Table1[h_Kode Sales :_1]="","",B$1+COUNT(INDIRECT("B$2:B"&amp;ROW()-1)))</f>
        <v/>
      </c>
      <c r="C142" s="282" t="str">
        <f>IF(Table1[[#This Row],[H_TGL]]="","",Table1[[#This Row],[H_TGL]]+C$1-1)</f>
        <v/>
      </c>
      <c r="H142" s="288" t="str">
        <f ca="1">IF(Table1[[#This Row],[h_No. Invoice :]]="","",CONCATENATE("AM"," ",Table1[[#This Row],[h_No. Invoice :]]))</f>
        <v/>
      </c>
      <c r="I142" s="289" t="str">
        <f>CONCATENATE(UPPER(Table1[[#This Row],[h_Kode Sales :_1]])," ",Table1[[#This Row],[h_Kode Sales :_2]])</f>
        <v xml:space="preserve"> </v>
      </c>
      <c r="J142" s="288" t="str">
        <f>IF(Table1[[#This Row],[h_toko]]="","",INDEX(Table2[e],IF(Table1[[#This Row],[h_toko]]="","",MATCH(Table1[[#This Row],[h_toko]],Table2[a],0)),))</f>
        <v/>
      </c>
      <c r="K142" s="281">
        <v>3</v>
      </c>
      <c r="L142" s="281" t="s">
        <v>142</v>
      </c>
      <c r="N142" s="281" t="s">
        <v>145</v>
      </c>
      <c r="O142" s="288" t="str">
        <f>IF(Table1[[#This Row],[h_Item Description]]="","",INDEX([1]!db[NB PAJAK],MATCH(Table1[[#This Row],[h_Item Description]],[1]!db[kode],0)))</f>
        <v>GEL PEN JOYKO GP-265 Q-GEL</v>
      </c>
      <c r="P142" s="281" t="s">
        <v>148</v>
      </c>
      <c r="Q142" s="284">
        <v>28200</v>
      </c>
      <c r="R142" s="285">
        <v>0.1</v>
      </c>
      <c r="T142" s="284">
        <f>Table1[[#This Row],[h_hargasetelahdiskon]]</f>
        <v>76140</v>
      </c>
      <c r="W142" s="288">
        <f ca="1">IF(Table1[[#This Row],[Item Description]]="","",IF(Table1[[#This Row],[//]]="",INDIRECT(ADDRESS(ROW()-1,COLUMN())),Table1[[#This Row],[//]]))</f>
        <v>136</v>
      </c>
      <c r="X142" s="288">
        <f ca="1">IF(Table1[[#This Row],[h_id]]="","",COUNTIF(Table1[h_id],Table1[[#This Row],[h_id]]))</f>
        <v>16</v>
      </c>
      <c r="Y142" s="284">
        <f>IF(Table1[Item Description]="","",Table1[[#This Row],[Qty]]*Table1[[#This Row],[Unit Price]])</f>
        <v>84600</v>
      </c>
      <c r="Z142" s="284">
        <f>IF(Table1[[#This Row],[h_hargasebelumdiskon]]="","",IF(Table1[[#This Row],[Disc 1]]="",0,Table1[[#This Row],[h_hargasebelumdiskon]]*Table1[[#This Row],[Disc 1]]))</f>
        <v>8460</v>
      </c>
      <c r="AA142" s="284">
        <f>IF(Table1[[#This Row],[h_hargasebelumdiskon]]="","",IF(Table1[[#This Row],[Disc 2]]="",0,(Table1[[#This Row],[h_hargasebelumdiskon]]-Table1[[#This Row],[h_disc 1]])*Table1[[#This Row],[Disc 2]]))</f>
        <v>0</v>
      </c>
      <c r="AB142" s="284">
        <f>IF(Table1[Item Description]="","",Table1[[#This Row],[h_disc 1]]+Table1[[#This Row],[h_disc 2]])</f>
        <v>8460</v>
      </c>
      <c r="AC142" s="284">
        <f>IF(Table1[Item Description]="","",Table1[[#This Row],[h_hargasebelumdiskon]]-Table1[[#This Row],[h_diskon]])</f>
        <v>76140</v>
      </c>
      <c r="AD142" s="284" t="str">
        <f ca="1">IF(Table1[//]="","",SUMIF(Table1[h_id],Table1[h_id],Table1[h_hargasetelahdiskon]))</f>
        <v/>
      </c>
      <c r="AE142" s="284"/>
      <c r="AF142" s="284" t="str">
        <f>Table1[[#This Row],[Item Description]]&amp;Table1[[#This Row],[Unit]]&amp;Table1[[#This Row],[Unit Price]]</f>
        <v>GEL PEN JOYKO GP-265 Q-GELLSN28200</v>
      </c>
    </row>
    <row r="143" spans="1:32" x14ac:dyDescent="0.25">
      <c r="A143" s="288" t="str">
        <f ca="1">IF(Table1[[#This Row],[No. Invoice :]]="","",ROW())</f>
        <v/>
      </c>
      <c r="B143" s="288" t="str">
        <f ca="1">IF(Table1[h_Kode Sales :_1]="","",B$1+COUNT(INDIRECT("B$2:B"&amp;ROW()-1)))</f>
        <v/>
      </c>
      <c r="C143" s="282" t="str">
        <f>IF(Table1[[#This Row],[H_TGL]]="","",Table1[[#This Row],[H_TGL]]+C$1-1)</f>
        <v/>
      </c>
      <c r="H143" s="288" t="str">
        <f ca="1">IF(Table1[[#This Row],[h_No. Invoice :]]="","",CONCATENATE("AM"," ",Table1[[#This Row],[h_No. Invoice :]]))</f>
        <v/>
      </c>
      <c r="I143" s="289" t="str">
        <f>CONCATENATE(UPPER(Table1[[#This Row],[h_Kode Sales :_1]])," ",Table1[[#This Row],[h_Kode Sales :_2]])</f>
        <v xml:space="preserve"> </v>
      </c>
      <c r="J143" s="288" t="str">
        <f>IF(Table1[[#This Row],[h_toko]]="","",INDEX(Table2[e],IF(Table1[[#This Row],[h_toko]]="","",MATCH(Table1[[#This Row],[h_toko]],Table2[a],0)),))</f>
        <v/>
      </c>
      <c r="K143" s="281">
        <v>3</v>
      </c>
      <c r="L143" s="281" t="s">
        <v>142</v>
      </c>
      <c r="N143" s="281" t="s">
        <v>336</v>
      </c>
      <c r="O143" s="288" t="str">
        <f>IF(Table1[[#This Row],[h_Item Description]]="","",INDEX([1]!db[NB PAJAK],MATCH(Table1[[#This Row],[h_Item Description]],[1]!db[kode],0)))</f>
        <v>GEL PEN JOYKO JK-100 KING JELLER</v>
      </c>
      <c r="P143" s="281" t="s">
        <v>340</v>
      </c>
      <c r="Q143" s="284">
        <v>20400</v>
      </c>
      <c r="R143" s="285">
        <v>0.1</v>
      </c>
      <c r="T143" s="284">
        <f>Table1[[#This Row],[h_hargasetelahdiskon]]</f>
        <v>55080</v>
      </c>
      <c r="W143" s="288">
        <f ca="1">IF(Table1[[#This Row],[Item Description]]="","",IF(Table1[[#This Row],[//]]="",INDIRECT(ADDRESS(ROW()-1,COLUMN())),Table1[[#This Row],[//]]))</f>
        <v>136</v>
      </c>
      <c r="X143" s="288">
        <f ca="1">IF(Table1[[#This Row],[h_id]]="","",COUNTIF(Table1[h_id],Table1[[#This Row],[h_id]]))</f>
        <v>16</v>
      </c>
      <c r="Y143" s="284">
        <f>IF(Table1[Item Description]="","",Table1[[#This Row],[Qty]]*Table1[[#This Row],[Unit Price]])</f>
        <v>61200</v>
      </c>
      <c r="Z143" s="284">
        <f>IF(Table1[[#This Row],[h_hargasebelumdiskon]]="","",IF(Table1[[#This Row],[Disc 1]]="",0,Table1[[#This Row],[h_hargasebelumdiskon]]*Table1[[#This Row],[Disc 1]]))</f>
        <v>6120</v>
      </c>
      <c r="AA143" s="284">
        <f>IF(Table1[[#This Row],[h_hargasebelumdiskon]]="","",IF(Table1[[#This Row],[Disc 2]]="",0,(Table1[[#This Row],[h_hargasebelumdiskon]]-Table1[[#This Row],[h_disc 1]])*Table1[[#This Row],[Disc 2]]))</f>
        <v>0</v>
      </c>
      <c r="AB143" s="284">
        <f>IF(Table1[Item Description]="","",Table1[[#This Row],[h_disc 1]]+Table1[[#This Row],[h_disc 2]])</f>
        <v>6120</v>
      </c>
      <c r="AC143" s="284">
        <f>IF(Table1[Item Description]="","",Table1[[#This Row],[h_hargasebelumdiskon]]-Table1[[#This Row],[h_diskon]])</f>
        <v>55080</v>
      </c>
      <c r="AD143" s="284" t="str">
        <f ca="1">IF(Table1[//]="","",SUMIF(Table1[h_id],Table1[h_id],Table1[h_hargasetelahdiskon]))</f>
        <v/>
      </c>
      <c r="AE143" s="284"/>
      <c r="AF143" s="284" t="str">
        <f>Table1[[#This Row],[Item Description]]&amp;Table1[[#This Row],[Unit]]&amp;Table1[[#This Row],[Unit Price]]</f>
        <v>GEL PEN JOYKO JK-100 KING JELLERLSN20400</v>
      </c>
    </row>
    <row r="144" spans="1:32" x14ac:dyDescent="0.25">
      <c r="A144" s="288" t="str">
        <f ca="1">IF(Table1[[#This Row],[No. Invoice :]]="","",ROW())</f>
        <v/>
      </c>
      <c r="B144" s="288" t="str">
        <f ca="1">IF(Table1[h_Kode Sales :_1]="","",B$1+COUNT(INDIRECT("B$2:B"&amp;ROW()-1)))</f>
        <v/>
      </c>
      <c r="C144" s="282" t="str">
        <f>IF(Table1[[#This Row],[H_TGL]]="","",Table1[[#This Row],[H_TGL]]+C$1-1)</f>
        <v/>
      </c>
      <c r="H144" s="288" t="str">
        <f ca="1">IF(Table1[[#This Row],[h_No. Invoice :]]="","",CONCATENATE("AM"," ",Table1[[#This Row],[h_No. Invoice :]]))</f>
        <v/>
      </c>
      <c r="I144" s="289" t="str">
        <f>CONCATENATE(UPPER(Table1[[#This Row],[h_Kode Sales :_1]])," ",Table1[[#This Row],[h_Kode Sales :_2]])</f>
        <v xml:space="preserve"> </v>
      </c>
      <c r="J144" s="288" t="str">
        <f>IF(Table1[[#This Row],[h_toko]]="","",INDEX(Table2[e],IF(Table1[[#This Row],[h_toko]]="","",MATCH(Table1[[#This Row],[h_toko]],Table2[a],0)),))</f>
        <v/>
      </c>
      <c r="K144" s="281">
        <v>3</v>
      </c>
      <c r="L144" s="281" t="s">
        <v>142</v>
      </c>
      <c r="N144" s="281" t="s">
        <v>330</v>
      </c>
      <c r="O144" s="288" t="str">
        <f>IF(Table1[[#This Row],[h_Item Description]]="","",INDEX([1]!db[NB PAJAK],MATCH(Table1[[#This Row],[h_Item Description]],[1]!db[kode],0)))</f>
        <v>GEL PEN JOYKO GP-243 WHIZ GEL HITAM</v>
      </c>
      <c r="P144" s="281" t="s">
        <v>341</v>
      </c>
      <c r="Q144" s="284">
        <v>24600</v>
      </c>
      <c r="R144" s="285">
        <v>0.1</v>
      </c>
      <c r="T144" s="284">
        <f>Table1[[#This Row],[h_hargasetelahdiskon]]</f>
        <v>66420</v>
      </c>
      <c r="W144" s="288">
        <f ca="1">IF(Table1[[#This Row],[Item Description]]="","",IF(Table1[[#This Row],[//]]="",INDIRECT(ADDRESS(ROW()-1,COLUMN())),Table1[[#This Row],[//]]))</f>
        <v>136</v>
      </c>
      <c r="X144" s="288">
        <f ca="1">IF(Table1[[#This Row],[h_id]]="","",COUNTIF(Table1[h_id],Table1[[#This Row],[h_id]]))</f>
        <v>16</v>
      </c>
      <c r="Y144" s="284">
        <f>IF(Table1[Item Description]="","",Table1[[#This Row],[Qty]]*Table1[[#This Row],[Unit Price]])</f>
        <v>73800</v>
      </c>
      <c r="Z144" s="284">
        <f>IF(Table1[[#This Row],[h_hargasebelumdiskon]]="","",IF(Table1[[#This Row],[Disc 1]]="",0,Table1[[#This Row],[h_hargasebelumdiskon]]*Table1[[#This Row],[Disc 1]]))</f>
        <v>7380</v>
      </c>
      <c r="AA144" s="284">
        <f>IF(Table1[[#This Row],[h_hargasebelumdiskon]]="","",IF(Table1[[#This Row],[Disc 2]]="",0,(Table1[[#This Row],[h_hargasebelumdiskon]]-Table1[[#This Row],[h_disc 1]])*Table1[[#This Row],[Disc 2]]))</f>
        <v>0</v>
      </c>
      <c r="AB144" s="284">
        <f>IF(Table1[Item Description]="","",Table1[[#This Row],[h_disc 1]]+Table1[[#This Row],[h_disc 2]])</f>
        <v>7380</v>
      </c>
      <c r="AC144" s="284">
        <f>IF(Table1[Item Description]="","",Table1[[#This Row],[h_hargasebelumdiskon]]-Table1[[#This Row],[h_diskon]])</f>
        <v>66420</v>
      </c>
      <c r="AD144" s="284" t="str">
        <f ca="1">IF(Table1[//]="","",SUMIF(Table1[h_id],Table1[h_id],Table1[h_hargasetelahdiskon]))</f>
        <v/>
      </c>
      <c r="AE144" s="284"/>
      <c r="AF144" s="284" t="str">
        <f>Table1[[#This Row],[Item Description]]&amp;Table1[[#This Row],[Unit]]&amp;Table1[[#This Row],[Unit Price]]</f>
        <v>GEL PEN JOYKO GP-243 WHIZ GEL HITAMLSN24600</v>
      </c>
    </row>
    <row r="145" spans="1:32" x14ac:dyDescent="0.25">
      <c r="A145" s="288" t="str">
        <f ca="1">IF(Table1[[#This Row],[No. Invoice :]]="","",ROW())</f>
        <v/>
      </c>
      <c r="B145" s="288" t="str">
        <f ca="1">IF(Table1[h_Kode Sales :_1]="","",B$1+COUNT(INDIRECT("B$2:B"&amp;ROW()-1)))</f>
        <v/>
      </c>
      <c r="C145" s="282" t="str">
        <f>IF(Table1[[#This Row],[H_TGL]]="","",Table1[[#This Row],[H_TGL]]+C$1-1)</f>
        <v/>
      </c>
      <c r="H145" s="288" t="str">
        <f ca="1">IF(Table1[[#This Row],[h_No. Invoice :]]="","",CONCATENATE("AM"," ",Table1[[#This Row],[h_No. Invoice :]]))</f>
        <v/>
      </c>
      <c r="I145" s="289" t="str">
        <f>CONCATENATE(UPPER(Table1[[#This Row],[h_Kode Sales :_1]])," ",Table1[[#This Row],[h_Kode Sales :_2]])</f>
        <v xml:space="preserve"> </v>
      </c>
      <c r="J145" s="288" t="str">
        <f>IF(Table1[[#This Row],[h_toko]]="","",INDEX(Table2[e],IF(Table1[[#This Row],[h_toko]]="","",MATCH(Table1[[#This Row],[h_toko]],Table2[a],0)),))</f>
        <v/>
      </c>
      <c r="K145" s="281">
        <v>12</v>
      </c>
      <c r="L145" s="281" t="s">
        <v>142</v>
      </c>
      <c r="N145" s="281" t="s">
        <v>331</v>
      </c>
      <c r="O145" s="288" t="str">
        <f>IF(Table1[[#This Row],[h_Item Description]]="","",INDEX([1]!db[NB PAJAK],MATCH(Table1[[#This Row],[h_Item Description]],[1]!db[kode],0)))</f>
        <v>BALLPEN JOYKO BP-349-12 VOKUS TRANS HITAM (BONUS)</v>
      </c>
      <c r="P145" s="281" t="s">
        <v>345</v>
      </c>
      <c r="Q145" s="284">
        <v>13200</v>
      </c>
      <c r="R145" s="285">
        <v>0.1</v>
      </c>
      <c r="T145" s="284">
        <f>Table1[[#This Row],[h_hargasetelahdiskon]]</f>
        <v>142560</v>
      </c>
      <c r="W145" s="288">
        <f ca="1">IF(Table1[[#This Row],[Item Description]]="","",IF(Table1[[#This Row],[//]]="",INDIRECT(ADDRESS(ROW()-1,COLUMN())),Table1[[#This Row],[//]]))</f>
        <v>136</v>
      </c>
      <c r="X145" s="288">
        <f ca="1">IF(Table1[[#This Row],[h_id]]="","",COUNTIF(Table1[h_id],Table1[[#This Row],[h_id]]))</f>
        <v>16</v>
      </c>
      <c r="Y145" s="284">
        <f>IF(Table1[Item Description]="","",Table1[[#This Row],[Qty]]*Table1[[#This Row],[Unit Price]])</f>
        <v>158400</v>
      </c>
      <c r="Z145" s="284">
        <f>IF(Table1[[#This Row],[h_hargasebelumdiskon]]="","",IF(Table1[[#This Row],[Disc 1]]="",0,Table1[[#This Row],[h_hargasebelumdiskon]]*Table1[[#This Row],[Disc 1]]))</f>
        <v>15840</v>
      </c>
      <c r="AA145" s="284">
        <f>IF(Table1[[#This Row],[h_hargasebelumdiskon]]="","",IF(Table1[[#This Row],[Disc 2]]="",0,(Table1[[#This Row],[h_hargasebelumdiskon]]-Table1[[#This Row],[h_disc 1]])*Table1[[#This Row],[Disc 2]]))</f>
        <v>0</v>
      </c>
      <c r="AB145" s="284">
        <f>IF(Table1[Item Description]="","",Table1[[#This Row],[h_disc 1]]+Table1[[#This Row],[h_disc 2]])</f>
        <v>15840</v>
      </c>
      <c r="AC145" s="284">
        <f>IF(Table1[Item Description]="","",Table1[[#This Row],[h_hargasebelumdiskon]]-Table1[[#This Row],[h_diskon]])</f>
        <v>142560</v>
      </c>
      <c r="AD145" s="284" t="str">
        <f ca="1">IF(Table1[//]="","",SUMIF(Table1[h_id],Table1[h_id],Table1[h_hargasetelahdiskon]))</f>
        <v/>
      </c>
      <c r="AE145" s="284"/>
      <c r="AF145" s="284" t="str">
        <f>Table1[[#This Row],[Item Description]]&amp;Table1[[#This Row],[Unit]]&amp;Table1[[#This Row],[Unit Price]]</f>
        <v>BALLPEN JOYKO BP-349-12 VOKUS TRANS HITAMLSN13200</v>
      </c>
    </row>
    <row r="146" spans="1:32" x14ac:dyDescent="0.25">
      <c r="A146" s="288" t="str">
        <f ca="1">IF(Table1[[#This Row],[No. Invoice :]]="","",ROW())</f>
        <v/>
      </c>
      <c r="B146" s="288" t="str">
        <f ca="1">IF(Table1[h_Kode Sales :_1]="","",B$1+COUNT(INDIRECT("B$2:B"&amp;ROW()-1)))</f>
        <v/>
      </c>
      <c r="C146" s="282" t="str">
        <f>IF(Table1[[#This Row],[H_TGL]]="","",Table1[[#This Row],[H_TGL]]+C$1-1)</f>
        <v/>
      </c>
      <c r="H146" s="288" t="str">
        <f ca="1">IF(Table1[[#This Row],[h_No. Invoice :]]="","",CONCATENATE("AM"," ",Table1[[#This Row],[h_No. Invoice :]]))</f>
        <v/>
      </c>
      <c r="I146" s="289" t="str">
        <f>CONCATENATE(UPPER(Table1[[#This Row],[h_Kode Sales :_1]])," ",Table1[[#This Row],[h_Kode Sales :_2]])</f>
        <v xml:space="preserve"> </v>
      </c>
      <c r="J146" s="288" t="str">
        <f>IF(Table1[[#This Row],[h_toko]]="","",INDEX(Table2[e],IF(Table1[[#This Row],[h_toko]]="","",MATCH(Table1[[#This Row],[h_toko]],Table2[a],0)),))</f>
        <v/>
      </c>
      <c r="K146" s="281">
        <v>1</v>
      </c>
      <c r="L146" s="281" t="s">
        <v>142</v>
      </c>
      <c r="N146" s="281" t="s">
        <v>332</v>
      </c>
      <c r="O146" s="288" t="str">
        <f>IF(Table1[[#This Row],[h_Item Description]]="","",INDEX([1]!db[NB PAJAK],MATCH(Table1[[#This Row],[h_Item Description]],[1]!db[kode],0)))</f>
        <v>GUNTING KENKO SC-848N</v>
      </c>
      <c r="P146" s="281" t="s">
        <v>342</v>
      </c>
      <c r="Q146" s="284">
        <v>118800</v>
      </c>
      <c r="R146" s="285">
        <v>0.1</v>
      </c>
      <c r="T146" s="284">
        <f>Table1[[#This Row],[h_hargasetelahdiskon]]</f>
        <v>106920</v>
      </c>
      <c r="W146" s="288">
        <f ca="1">IF(Table1[[#This Row],[Item Description]]="","",IF(Table1[[#This Row],[//]]="",INDIRECT(ADDRESS(ROW()-1,COLUMN())),Table1[[#This Row],[//]]))</f>
        <v>136</v>
      </c>
      <c r="X146" s="288">
        <f ca="1">IF(Table1[[#This Row],[h_id]]="","",COUNTIF(Table1[h_id],Table1[[#This Row],[h_id]]))</f>
        <v>16</v>
      </c>
      <c r="Y146" s="284">
        <f>IF(Table1[Item Description]="","",Table1[[#This Row],[Qty]]*Table1[[#This Row],[Unit Price]])</f>
        <v>118800</v>
      </c>
      <c r="Z146" s="284">
        <f>IF(Table1[[#This Row],[h_hargasebelumdiskon]]="","",IF(Table1[[#This Row],[Disc 1]]="",0,Table1[[#This Row],[h_hargasebelumdiskon]]*Table1[[#This Row],[Disc 1]]))</f>
        <v>11880</v>
      </c>
      <c r="AA146" s="284">
        <f>IF(Table1[[#This Row],[h_hargasebelumdiskon]]="","",IF(Table1[[#This Row],[Disc 2]]="",0,(Table1[[#This Row],[h_hargasebelumdiskon]]-Table1[[#This Row],[h_disc 1]])*Table1[[#This Row],[Disc 2]]))</f>
        <v>0</v>
      </c>
      <c r="AB146" s="284">
        <f>IF(Table1[Item Description]="","",Table1[[#This Row],[h_disc 1]]+Table1[[#This Row],[h_disc 2]])</f>
        <v>11880</v>
      </c>
      <c r="AC146" s="284">
        <f>IF(Table1[Item Description]="","",Table1[[#This Row],[h_hargasebelumdiskon]]-Table1[[#This Row],[h_diskon]])</f>
        <v>106920</v>
      </c>
      <c r="AD146" s="284" t="str">
        <f ca="1">IF(Table1[//]="","",SUMIF(Table1[h_id],Table1[h_id],Table1[h_hargasetelahdiskon]))</f>
        <v/>
      </c>
      <c r="AE146" s="284"/>
      <c r="AF146" s="284" t="str">
        <f>Table1[[#This Row],[Item Description]]&amp;Table1[[#This Row],[Unit]]&amp;Table1[[#This Row],[Unit Price]]</f>
        <v>GUNTING KENKO SC-848NLSN118800</v>
      </c>
    </row>
    <row r="147" spans="1:32" x14ac:dyDescent="0.25">
      <c r="A147" s="288" t="str">
        <f ca="1">IF(Table1[[#This Row],[No. Invoice :]]="","",ROW())</f>
        <v/>
      </c>
      <c r="B147" s="288" t="str">
        <f ca="1">IF(Table1[h_Kode Sales :_1]="","",B$1+COUNT(INDIRECT("B$2:B"&amp;ROW()-1)))</f>
        <v/>
      </c>
      <c r="C147" s="282" t="str">
        <f>IF(Table1[[#This Row],[H_TGL]]="","",Table1[[#This Row],[H_TGL]]+C$1-1)</f>
        <v/>
      </c>
      <c r="H147" s="288" t="str">
        <f ca="1">IF(Table1[[#This Row],[h_No. Invoice :]]="","",CONCATENATE("AM"," ",Table1[[#This Row],[h_No. Invoice :]]))</f>
        <v/>
      </c>
      <c r="I147" s="289" t="str">
        <f>CONCATENATE(UPPER(Table1[[#This Row],[h_Kode Sales :_1]])," ",Table1[[#This Row],[h_Kode Sales :_2]])</f>
        <v xml:space="preserve"> </v>
      </c>
      <c r="J147" s="288" t="str">
        <f>IF(Table1[[#This Row],[h_toko]]="","",INDEX(Table2[e],IF(Table1[[#This Row],[h_toko]]="","",MATCH(Table1[[#This Row],[h_toko]],Table2[a],0)),))</f>
        <v/>
      </c>
      <c r="K147" s="281">
        <v>2</v>
      </c>
      <c r="L147" s="281" t="s">
        <v>142</v>
      </c>
      <c r="N147" s="281" t="s">
        <v>230</v>
      </c>
      <c r="O147" s="288" t="str">
        <f>IF(Table1[[#This Row],[h_Item Description]]="","",INDEX([1]!db[NB PAJAK],MATCH(Table1[[#This Row],[h_Item Description]],[1]!db[kode],0)))</f>
        <v>PENSIL WARNA JOYKO CP-12PB (PANJANG)</v>
      </c>
      <c r="P147" s="281" t="s">
        <v>235</v>
      </c>
      <c r="Q147" s="284">
        <v>127200</v>
      </c>
      <c r="R147" s="285">
        <v>0.1</v>
      </c>
      <c r="T147" s="284">
        <f>Table1[[#This Row],[h_hargasetelahdiskon]]</f>
        <v>228960</v>
      </c>
      <c r="W147" s="288">
        <f ca="1">IF(Table1[[#This Row],[Item Description]]="","",IF(Table1[[#This Row],[//]]="",INDIRECT(ADDRESS(ROW()-1,COLUMN())),Table1[[#This Row],[//]]))</f>
        <v>136</v>
      </c>
      <c r="X147" s="288">
        <f ca="1">IF(Table1[[#This Row],[h_id]]="","",COUNTIF(Table1[h_id],Table1[[#This Row],[h_id]]))</f>
        <v>16</v>
      </c>
      <c r="Y147" s="284">
        <f>IF(Table1[Item Description]="","",Table1[[#This Row],[Qty]]*Table1[[#This Row],[Unit Price]])</f>
        <v>254400</v>
      </c>
      <c r="Z147" s="284">
        <f>IF(Table1[[#This Row],[h_hargasebelumdiskon]]="","",IF(Table1[[#This Row],[Disc 1]]="",0,Table1[[#This Row],[h_hargasebelumdiskon]]*Table1[[#This Row],[Disc 1]]))</f>
        <v>25440</v>
      </c>
      <c r="AA147" s="284">
        <f>IF(Table1[[#This Row],[h_hargasebelumdiskon]]="","",IF(Table1[[#This Row],[Disc 2]]="",0,(Table1[[#This Row],[h_hargasebelumdiskon]]-Table1[[#This Row],[h_disc 1]])*Table1[[#This Row],[Disc 2]]))</f>
        <v>0</v>
      </c>
      <c r="AB147" s="284">
        <f>IF(Table1[Item Description]="","",Table1[[#This Row],[h_disc 1]]+Table1[[#This Row],[h_disc 2]])</f>
        <v>25440</v>
      </c>
      <c r="AC147" s="284">
        <f>IF(Table1[Item Description]="","",Table1[[#This Row],[h_hargasebelumdiskon]]-Table1[[#This Row],[h_diskon]])</f>
        <v>228960</v>
      </c>
      <c r="AD147" s="284" t="str">
        <f ca="1">IF(Table1[//]="","",SUMIF(Table1[h_id],Table1[h_id],Table1[h_hargasetelahdiskon]))</f>
        <v/>
      </c>
      <c r="AE147" s="284"/>
      <c r="AF147" s="284" t="str">
        <f>Table1[[#This Row],[Item Description]]&amp;Table1[[#This Row],[Unit]]&amp;Table1[[#This Row],[Unit Price]]</f>
        <v>PENSIL WARNA JOYKO CP-12PB (PANJANG)LSN127200</v>
      </c>
    </row>
    <row r="148" spans="1:32" x14ac:dyDescent="0.25">
      <c r="A148" s="288" t="str">
        <f ca="1">IF(Table1[[#This Row],[No. Invoice :]]="","",ROW())</f>
        <v/>
      </c>
      <c r="B148" s="288" t="str">
        <f ca="1">IF(Table1[h_Kode Sales :_1]="","",B$1+COUNT(INDIRECT("B$2:B"&amp;ROW()-1)))</f>
        <v/>
      </c>
      <c r="C148" s="282" t="str">
        <f>IF(Table1[[#This Row],[H_TGL]]="","",Table1[[#This Row],[H_TGL]]+C$1-1)</f>
        <v/>
      </c>
      <c r="H148" s="288" t="str">
        <f ca="1">IF(Table1[[#This Row],[h_No. Invoice :]]="","",CONCATENATE("AM"," ",Table1[[#This Row],[h_No. Invoice :]]))</f>
        <v/>
      </c>
      <c r="I148" s="289" t="str">
        <f>CONCATENATE(UPPER(Table1[[#This Row],[h_Kode Sales :_1]])," ",Table1[[#This Row],[h_Kode Sales :_2]])</f>
        <v xml:space="preserve"> </v>
      </c>
      <c r="J148" s="288" t="str">
        <f>IF(Table1[[#This Row],[h_toko]]="","",INDEX(Table2[e],IF(Table1[[#This Row],[h_toko]]="","",MATCH(Table1[[#This Row],[h_toko]],Table2[a],0)),))</f>
        <v/>
      </c>
      <c r="K148" s="281">
        <v>2</v>
      </c>
      <c r="L148" s="281" t="s">
        <v>142</v>
      </c>
      <c r="N148" s="281" t="s">
        <v>320</v>
      </c>
      <c r="O148" s="288" t="str">
        <f>IF(Table1[[#This Row],[h_Item Description]]="","",INDEX([1]!db[NB PAJAK],MATCH(Table1[[#This Row],[h_Item Description]],[1]!db[kode],0)))</f>
        <v>PENSIL WARNA KENKO CP-12F CLASSIC (PANJANG)</v>
      </c>
      <c r="P148" s="281" t="s">
        <v>321</v>
      </c>
      <c r="Q148" s="284">
        <v>124200</v>
      </c>
      <c r="R148" s="285">
        <v>0.1</v>
      </c>
      <c r="T148" s="284">
        <f>Table1[[#This Row],[h_hargasetelahdiskon]]</f>
        <v>223560</v>
      </c>
      <c r="W148" s="288">
        <f ca="1">IF(Table1[[#This Row],[Item Description]]="","",IF(Table1[[#This Row],[//]]="",INDIRECT(ADDRESS(ROW()-1,COLUMN())),Table1[[#This Row],[//]]))</f>
        <v>136</v>
      </c>
      <c r="X148" s="288">
        <f ca="1">IF(Table1[[#This Row],[h_id]]="","",COUNTIF(Table1[h_id],Table1[[#This Row],[h_id]]))</f>
        <v>16</v>
      </c>
      <c r="Y148" s="284">
        <f>IF(Table1[Item Description]="","",Table1[[#This Row],[Qty]]*Table1[[#This Row],[Unit Price]])</f>
        <v>248400</v>
      </c>
      <c r="Z148" s="284">
        <f>IF(Table1[[#This Row],[h_hargasebelumdiskon]]="","",IF(Table1[[#This Row],[Disc 1]]="",0,Table1[[#This Row],[h_hargasebelumdiskon]]*Table1[[#This Row],[Disc 1]]))</f>
        <v>24840</v>
      </c>
      <c r="AA148" s="284">
        <f>IF(Table1[[#This Row],[h_hargasebelumdiskon]]="","",IF(Table1[[#This Row],[Disc 2]]="",0,(Table1[[#This Row],[h_hargasebelumdiskon]]-Table1[[#This Row],[h_disc 1]])*Table1[[#This Row],[Disc 2]]))</f>
        <v>0</v>
      </c>
      <c r="AB148" s="284">
        <f>IF(Table1[Item Description]="","",Table1[[#This Row],[h_disc 1]]+Table1[[#This Row],[h_disc 2]])</f>
        <v>24840</v>
      </c>
      <c r="AC148" s="284">
        <f>IF(Table1[Item Description]="","",Table1[[#This Row],[h_hargasebelumdiskon]]-Table1[[#This Row],[h_diskon]])</f>
        <v>223560</v>
      </c>
      <c r="AD148" s="284" t="str">
        <f ca="1">IF(Table1[//]="","",SUMIF(Table1[h_id],Table1[h_id],Table1[h_hargasetelahdiskon]))</f>
        <v/>
      </c>
      <c r="AE148" s="284"/>
      <c r="AF148" s="284" t="str">
        <f>Table1[[#This Row],[Item Description]]&amp;Table1[[#This Row],[Unit]]&amp;Table1[[#This Row],[Unit Price]]</f>
        <v>PENSIL WARNA KENKO CP-12F CLASSIC (PANJANG)LSN124200</v>
      </c>
    </row>
    <row r="149" spans="1:32" x14ac:dyDescent="0.25">
      <c r="A149" s="288" t="str">
        <f ca="1">IF(Table1[[#This Row],[No. Invoice :]]="","",ROW())</f>
        <v/>
      </c>
      <c r="B149" s="288" t="str">
        <f ca="1">IF(Table1[h_Kode Sales :_1]="","",B$1+COUNT(INDIRECT("B$2:B"&amp;ROW()-1)))</f>
        <v/>
      </c>
      <c r="C149" s="282" t="str">
        <f>IF(Table1[[#This Row],[H_TGL]]="","",Table1[[#This Row],[H_TGL]]+C$1-1)</f>
        <v/>
      </c>
      <c r="H149" s="288" t="str">
        <f ca="1">IF(Table1[[#This Row],[h_No. Invoice :]]="","",CONCATENATE("AM"," ",Table1[[#This Row],[h_No. Invoice :]]))</f>
        <v/>
      </c>
      <c r="I149" s="289" t="str">
        <f>CONCATENATE(UPPER(Table1[[#This Row],[h_Kode Sales :_1]])," ",Table1[[#This Row],[h_Kode Sales :_2]])</f>
        <v xml:space="preserve"> </v>
      </c>
      <c r="J149" s="288" t="str">
        <f>IF(Table1[[#This Row],[h_toko]]="","",INDEX(Table2[e],IF(Table1[[#This Row],[h_toko]]="","",MATCH(Table1[[#This Row],[h_toko]],Table2[a],0)),))</f>
        <v/>
      </c>
      <c r="K149" s="281">
        <v>2</v>
      </c>
      <c r="L149" s="281" t="s">
        <v>142</v>
      </c>
      <c r="N149" s="281" t="s">
        <v>333</v>
      </c>
      <c r="O149" s="288" t="str">
        <f>IF(Table1[[#This Row],[h_Item Description]]="","",INDEX([1]!db[NB PAJAK],MATCH(Table1[[#This Row],[h_Item Description]],[1]!db[kode],0)))</f>
        <v>ISI CUTTER 9 MM KENKO A-100 (KECIL)</v>
      </c>
      <c r="P149" s="281" t="s">
        <v>343</v>
      </c>
      <c r="Q149" s="284">
        <v>32400</v>
      </c>
      <c r="R149" s="285">
        <v>0.1</v>
      </c>
      <c r="T149" s="284">
        <f>Table1[[#This Row],[h_hargasetelahdiskon]]</f>
        <v>58320</v>
      </c>
      <c r="W149" s="288">
        <f ca="1">IF(Table1[[#This Row],[Item Description]]="","",IF(Table1[[#This Row],[//]]="",INDIRECT(ADDRESS(ROW()-1,COLUMN())),Table1[[#This Row],[//]]))</f>
        <v>136</v>
      </c>
      <c r="X149" s="288">
        <f ca="1">IF(Table1[[#This Row],[h_id]]="","",COUNTIF(Table1[h_id],Table1[[#This Row],[h_id]]))</f>
        <v>16</v>
      </c>
      <c r="Y149" s="284">
        <f>IF(Table1[Item Description]="","",Table1[[#This Row],[Qty]]*Table1[[#This Row],[Unit Price]])</f>
        <v>64800</v>
      </c>
      <c r="Z149" s="284">
        <f>IF(Table1[[#This Row],[h_hargasebelumdiskon]]="","",IF(Table1[[#This Row],[Disc 1]]="",0,Table1[[#This Row],[h_hargasebelumdiskon]]*Table1[[#This Row],[Disc 1]]))</f>
        <v>6480</v>
      </c>
      <c r="AA149" s="284">
        <f>IF(Table1[[#This Row],[h_hargasebelumdiskon]]="","",IF(Table1[[#This Row],[Disc 2]]="",0,(Table1[[#This Row],[h_hargasebelumdiskon]]-Table1[[#This Row],[h_disc 1]])*Table1[[#This Row],[Disc 2]]))</f>
        <v>0</v>
      </c>
      <c r="AB149" s="284">
        <f>IF(Table1[Item Description]="","",Table1[[#This Row],[h_disc 1]]+Table1[[#This Row],[h_disc 2]])</f>
        <v>6480</v>
      </c>
      <c r="AC149" s="284">
        <f>IF(Table1[Item Description]="","",Table1[[#This Row],[h_hargasebelumdiskon]]-Table1[[#This Row],[h_diskon]])</f>
        <v>58320</v>
      </c>
      <c r="AD149" s="284" t="str">
        <f ca="1">IF(Table1[//]="","",SUMIF(Table1[h_id],Table1[h_id],Table1[h_hargasetelahdiskon]))</f>
        <v/>
      </c>
      <c r="AE149" s="284"/>
      <c r="AF149" s="284" t="str">
        <f>Table1[[#This Row],[Item Description]]&amp;Table1[[#This Row],[Unit]]&amp;Table1[[#This Row],[Unit Price]]</f>
        <v>ISI CUTTER 9 MM KENKO A-100 (KECIL)LSN32400</v>
      </c>
    </row>
    <row r="150" spans="1:32" x14ac:dyDescent="0.25">
      <c r="A150" s="288" t="str">
        <f ca="1">IF(Table1[[#This Row],[No. Invoice :]]="","",ROW())</f>
        <v/>
      </c>
      <c r="B150" s="288" t="str">
        <f ca="1">IF(Table1[h_Kode Sales :_1]="","",B$1+COUNT(INDIRECT("B$2:B"&amp;ROW()-1)))</f>
        <v/>
      </c>
      <c r="C150" s="282" t="str">
        <f>IF(Table1[[#This Row],[H_TGL]]="","",Table1[[#This Row],[H_TGL]]+C$1-1)</f>
        <v/>
      </c>
      <c r="H150" s="288" t="str">
        <f ca="1">IF(Table1[[#This Row],[h_No. Invoice :]]="","",CONCATENATE("AM"," ",Table1[[#This Row],[h_No. Invoice :]]))</f>
        <v/>
      </c>
      <c r="I150" s="289" t="str">
        <f>CONCATENATE(UPPER(Table1[[#This Row],[h_Kode Sales :_1]])," ",Table1[[#This Row],[h_Kode Sales :_2]])</f>
        <v xml:space="preserve"> </v>
      </c>
      <c r="J150" s="288" t="str">
        <f>IF(Table1[[#This Row],[h_toko]]="","",INDEX(Table2[e],IF(Table1[[#This Row],[h_toko]]="","",MATCH(Table1[[#This Row],[h_toko]],Table2[a],0)),))</f>
        <v/>
      </c>
      <c r="K150" s="281">
        <v>2</v>
      </c>
      <c r="L150" s="281" t="s">
        <v>142</v>
      </c>
      <c r="N150" s="281" t="s">
        <v>157</v>
      </c>
      <c r="O150" s="288" t="str">
        <f>IF(Table1[[#This Row],[h_Item Description]]="","",INDEX([1]!db[NB PAJAK],MATCH(Table1[[#This Row],[h_Item Description]],[1]!db[kode],0)))</f>
        <v>ISI CUTTER 18 MM KENKO L-150 (BESAR)</v>
      </c>
      <c r="P150" s="281" t="s">
        <v>166</v>
      </c>
      <c r="Q150" s="284">
        <v>64800</v>
      </c>
      <c r="R150" s="285">
        <v>0.1</v>
      </c>
      <c r="T150" s="284">
        <f>Table1[[#This Row],[h_hargasetelahdiskon]]</f>
        <v>116640</v>
      </c>
      <c r="W150" s="288">
        <f ca="1">IF(Table1[[#This Row],[Item Description]]="","",IF(Table1[[#This Row],[//]]="",INDIRECT(ADDRESS(ROW()-1,COLUMN())),Table1[[#This Row],[//]]))</f>
        <v>136</v>
      </c>
      <c r="X150" s="288">
        <f ca="1">IF(Table1[[#This Row],[h_id]]="","",COUNTIF(Table1[h_id],Table1[[#This Row],[h_id]]))</f>
        <v>16</v>
      </c>
      <c r="Y150" s="284">
        <f>IF(Table1[Item Description]="","",Table1[[#This Row],[Qty]]*Table1[[#This Row],[Unit Price]])</f>
        <v>129600</v>
      </c>
      <c r="Z150" s="284">
        <f>IF(Table1[[#This Row],[h_hargasebelumdiskon]]="","",IF(Table1[[#This Row],[Disc 1]]="",0,Table1[[#This Row],[h_hargasebelumdiskon]]*Table1[[#This Row],[Disc 1]]))</f>
        <v>12960</v>
      </c>
      <c r="AA150" s="284">
        <f>IF(Table1[[#This Row],[h_hargasebelumdiskon]]="","",IF(Table1[[#This Row],[Disc 2]]="",0,(Table1[[#This Row],[h_hargasebelumdiskon]]-Table1[[#This Row],[h_disc 1]])*Table1[[#This Row],[Disc 2]]))</f>
        <v>0</v>
      </c>
      <c r="AB150" s="284">
        <f>IF(Table1[Item Description]="","",Table1[[#This Row],[h_disc 1]]+Table1[[#This Row],[h_disc 2]])</f>
        <v>12960</v>
      </c>
      <c r="AC150" s="284">
        <f>IF(Table1[Item Description]="","",Table1[[#This Row],[h_hargasebelumdiskon]]-Table1[[#This Row],[h_diskon]])</f>
        <v>116640</v>
      </c>
      <c r="AD150" s="284" t="str">
        <f ca="1">IF(Table1[//]="","",SUMIF(Table1[h_id],Table1[h_id],Table1[h_hargasetelahdiskon]))</f>
        <v/>
      </c>
      <c r="AE150" s="284"/>
      <c r="AF150" s="284" t="str">
        <f>Table1[[#This Row],[Item Description]]&amp;Table1[[#This Row],[Unit]]&amp;Table1[[#This Row],[Unit Price]]</f>
        <v>ISI CUTTER 18 MM KENKO L-150 (BESAR)LSN64800</v>
      </c>
    </row>
    <row r="151" spans="1:32" x14ac:dyDescent="0.25">
      <c r="A151" s="288" t="str">
        <f ca="1">IF(Table1[[#This Row],[No. Invoice :]]="","",ROW())</f>
        <v/>
      </c>
      <c r="B151" s="288" t="str">
        <f ca="1">IF(Table1[h_Kode Sales :_1]="","",B$1+COUNT(INDIRECT("B$2:B"&amp;ROW()-1)))</f>
        <v/>
      </c>
      <c r="C151" s="282" t="str">
        <f>IF(Table1[[#This Row],[H_TGL]]="","",Table1[[#This Row],[H_TGL]]+C$1-1)</f>
        <v/>
      </c>
      <c r="H151" s="288" t="str">
        <f ca="1">IF(Table1[[#This Row],[h_No. Invoice :]]="","",CONCATENATE("AM"," ",Table1[[#This Row],[h_No. Invoice :]]))</f>
        <v/>
      </c>
      <c r="I151" s="289" t="str">
        <f>CONCATENATE(UPPER(Table1[[#This Row],[h_Kode Sales :_1]])," ",Table1[[#This Row],[h_Kode Sales :_2]])</f>
        <v xml:space="preserve"> </v>
      </c>
      <c r="J151" s="288" t="str">
        <f>IF(Table1[[#This Row],[h_toko]]="","",INDEX(Table2[e],IF(Table1[[#This Row],[h_toko]]="","",MATCH(Table1[[#This Row],[h_toko]],Table2[a],0)),))</f>
        <v/>
      </c>
      <c r="K151" s="281">
        <v>1</v>
      </c>
      <c r="L151" s="281" t="s">
        <v>142</v>
      </c>
      <c r="N151" s="281" t="s">
        <v>334</v>
      </c>
      <c r="O151" s="288" t="str">
        <f>IF(Table1[[#This Row],[h_Item Description]]="","",INDEX([1]!db[NB PAJAK],MATCH(Table1[[#This Row],[h_Item Description]],[1]!db[kode],0)))</f>
        <v>LEM CAIR 35 ML KENKO LG-35</v>
      </c>
      <c r="P151" s="281" t="s">
        <v>344</v>
      </c>
      <c r="Q151" s="284">
        <v>19800</v>
      </c>
      <c r="R151" s="285">
        <v>0.1</v>
      </c>
      <c r="T151" s="284">
        <f>Table1[[#This Row],[h_hargasetelahdiskon]]</f>
        <v>17820</v>
      </c>
      <c r="W151" s="288">
        <f ca="1">IF(Table1[[#This Row],[Item Description]]="","",IF(Table1[[#This Row],[//]]="",INDIRECT(ADDRESS(ROW()-1,COLUMN())),Table1[[#This Row],[//]]))</f>
        <v>136</v>
      </c>
      <c r="X151" s="288">
        <f ca="1">IF(Table1[[#This Row],[h_id]]="","",COUNTIF(Table1[h_id],Table1[[#This Row],[h_id]]))</f>
        <v>16</v>
      </c>
      <c r="Y151" s="284">
        <f>IF(Table1[Item Description]="","",Table1[[#This Row],[Qty]]*Table1[[#This Row],[Unit Price]])</f>
        <v>19800</v>
      </c>
      <c r="Z151" s="284">
        <f>IF(Table1[[#This Row],[h_hargasebelumdiskon]]="","",IF(Table1[[#This Row],[Disc 1]]="",0,Table1[[#This Row],[h_hargasebelumdiskon]]*Table1[[#This Row],[Disc 1]]))</f>
        <v>1980</v>
      </c>
      <c r="AA151" s="284">
        <f>IF(Table1[[#This Row],[h_hargasebelumdiskon]]="","",IF(Table1[[#This Row],[Disc 2]]="",0,(Table1[[#This Row],[h_hargasebelumdiskon]]-Table1[[#This Row],[h_disc 1]])*Table1[[#This Row],[Disc 2]]))</f>
        <v>0</v>
      </c>
      <c r="AB151" s="284">
        <f>IF(Table1[Item Description]="","",Table1[[#This Row],[h_disc 1]]+Table1[[#This Row],[h_disc 2]])</f>
        <v>1980</v>
      </c>
      <c r="AC151" s="284">
        <f>IF(Table1[Item Description]="","",Table1[[#This Row],[h_hargasebelumdiskon]]-Table1[[#This Row],[h_diskon]])</f>
        <v>17820</v>
      </c>
      <c r="AD151" s="284" t="str">
        <f ca="1">IF(Table1[//]="","",SUMIF(Table1[h_id],Table1[h_id],Table1[h_hargasetelahdiskon]))</f>
        <v/>
      </c>
      <c r="AE151" s="284"/>
      <c r="AF151" s="284" t="str">
        <f>Table1[[#This Row],[Item Description]]&amp;Table1[[#This Row],[Unit]]&amp;Table1[[#This Row],[Unit Price]]</f>
        <v>LEM CAIR 35 ML KENKO LG-35LSN19800</v>
      </c>
    </row>
    <row r="152" spans="1:32" x14ac:dyDescent="0.25">
      <c r="A152" s="288" t="str">
        <f ca="1">IF(Table1[[#This Row],[No. Invoice :]]="","",ROW())</f>
        <v/>
      </c>
      <c r="B152" s="288" t="str">
        <f ca="1">IF(Table1[h_Kode Sales :_1]="","",B$1+COUNT(INDIRECT("B$2:B"&amp;ROW()-1)))</f>
        <v/>
      </c>
      <c r="C152" s="282" t="str">
        <f>IF(Table1[[#This Row],[H_TGL]]="","",Table1[[#This Row],[H_TGL]]+C$1-1)</f>
        <v/>
      </c>
      <c r="H152" s="288" t="str">
        <f ca="1">IF(Table1[[#This Row],[h_No. Invoice :]]="","",CONCATENATE("AM"," ",Table1[[#This Row],[h_No. Invoice :]]))</f>
        <v/>
      </c>
      <c r="I152" s="289" t="str">
        <f>CONCATENATE(UPPER(Table1[[#This Row],[h_Kode Sales :_1]])," ",Table1[[#This Row],[h_Kode Sales :_2]])</f>
        <v xml:space="preserve"> </v>
      </c>
      <c r="J152" s="288" t="str">
        <f>IF(Table1[[#This Row],[h_toko]]="","",INDEX(Table2[e],IF(Table1[[#This Row],[h_toko]]="","",MATCH(Table1[[#This Row],[h_toko]],Table2[a],0)),))</f>
        <v/>
      </c>
      <c r="O152" s="288" t="str">
        <f>IF(Table1[[#This Row],[h_Item Description]]="","",INDEX([1]!db[NB PAJAK],MATCH(Table1[[#This Row],[h_Item Description]],[1]!db[kode],0)))</f>
        <v/>
      </c>
      <c r="Q152" s="284"/>
      <c r="R152" s="285"/>
      <c r="T152" s="284" t="str">
        <f>Table1[[#This Row],[h_hargasetelahdiskon]]</f>
        <v/>
      </c>
      <c r="W152" s="288" t="str">
        <f ca="1">IF(Table1[[#This Row],[Item Description]]="","",IF(Table1[[#This Row],[//]]="",INDIRECT(ADDRESS(ROW()-1,COLUMN())),Table1[[#This Row],[//]]))</f>
        <v/>
      </c>
      <c r="X152" s="288" t="str">
        <f ca="1">IF(Table1[[#This Row],[h_id]]="","",COUNTIF(Table1[h_id],Table1[[#This Row],[h_id]]))</f>
        <v/>
      </c>
      <c r="Y152" s="284" t="str">
        <f>IF(Table1[Item Description]="","",Table1[[#This Row],[Qty]]*Table1[[#This Row],[Unit Price]])</f>
        <v/>
      </c>
      <c r="Z152" s="284" t="str">
        <f>IF(Table1[[#This Row],[h_hargasebelumdiskon]]="","",IF(Table1[[#This Row],[Disc 1]]="",0,Table1[[#This Row],[h_hargasebelumdiskon]]*Table1[[#This Row],[Disc 1]]))</f>
        <v/>
      </c>
      <c r="AA152" s="284" t="str">
        <f>IF(Table1[[#This Row],[h_hargasebelumdiskon]]="","",IF(Table1[[#This Row],[Disc 2]]="",0,(Table1[[#This Row],[h_hargasebelumdiskon]]-Table1[[#This Row],[h_disc 1]])*Table1[[#This Row],[Disc 2]]))</f>
        <v/>
      </c>
      <c r="AB152" s="284" t="str">
        <f>IF(Table1[Item Description]="","",Table1[[#This Row],[h_disc 1]]+Table1[[#This Row],[h_disc 2]])</f>
        <v/>
      </c>
      <c r="AC152" s="284" t="str">
        <f>IF(Table1[Item Description]="","",Table1[[#This Row],[h_hargasebelumdiskon]]-Table1[[#This Row],[h_diskon]])</f>
        <v/>
      </c>
      <c r="AD152" s="284" t="str">
        <f ca="1">IF(Table1[//]="","",SUMIF(Table1[h_id],Table1[h_id],Table1[h_hargasetelahdiskon]))</f>
        <v/>
      </c>
      <c r="AE152" s="284"/>
      <c r="AF152" s="284" t="str">
        <f>Table1[[#This Row],[Item Description]]&amp;Table1[[#This Row],[Unit]]&amp;Table1[[#This Row],[Unit Price]]</f>
        <v/>
      </c>
    </row>
    <row r="153" spans="1:32" x14ac:dyDescent="0.25">
      <c r="A153" s="288">
        <f ca="1">IF(Table1[[#This Row],[No. Invoice :]]="","",ROW())</f>
        <v>153</v>
      </c>
      <c r="B153" s="288">
        <f ca="1">IF(Table1[h_Kode Sales :_1]="","",B$1+COUNT(INDIRECT("B$2:B"&amp;ROW()-1)))</f>
        <v>23070041</v>
      </c>
      <c r="C153" s="282">
        <f>IF(Table1[[#This Row],[H_TGL]]="","",Table1[[#This Row],[H_TGL]]+C$1-1)</f>
        <v>45135</v>
      </c>
      <c r="D153" s="293">
        <v>28</v>
      </c>
      <c r="E153" s="281" t="s">
        <v>122</v>
      </c>
      <c r="F153" s="283" t="s">
        <v>346</v>
      </c>
      <c r="G153" s="281" t="s">
        <v>75</v>
      </c>
      <c r="H153" s="288" t="str">
        <f ca="1">IF(Table1[[#This Row],[h_No. Invoice :]]="","",CONCATENATE("AM"," ",Table1[[#This Row],[h_No. Invoice :]]))</f>
        <v>AM 23070041</v>
      </c>
      <c r="I153" s="289" t="str">
        <f>CONCATENATE(UPPER(Table1[[#This Row],[h_Kode Sales :_1]])," ",Table1[[#This Row],[h_Kode Sales :_2]])</f>
        <v>KO 1633</v>
      </c>
      <c r="J153" s="288" t="str">
        <f>IF(Table1[[#This Row],[h_toko]]="","",INDEX(Table2[e],IF(Table1[[#This Row],[h_toko]]="","",MATCH(Table1[[#This Row],[h_toko]],Table2[a],0)),))</f>
        <v>CV SINAR CAHAYA NIRMALA BREBES</v>
      </c>
      <c r="K153" s="281">
        <v>2</v>
      </c>
      <c r="L153" s="281" t="s">
        <v>125</v>
      </c>
      <c r="N153" s="281" t="s">
        <v>347</v>
      </c>
      <c r="O153" s="288" t="str">
        <f>IF(Table1[[#This Row],[h_Item Description]]="","",INDEX([1]!db[NB PAJAK],MATCH(Table1[[#This Row],[h_Item Description]],[1]!db[kode],0)))</f>
        <v>STIP / PENGHAPUS JOYKO ER-B20BL HITAM</v>
      </c>
      <c r="P153" s="281" t="s">
        <v>358</v>
      </c>
      <c r="Q153" s="284">
        <v>34100</v>
      </c>
      <c r="R153" s="285">
        <v>0.1</v>
      </c>
      <c r="T153" s="284">
        <f>Table1[[#This Row],[h_hargasetelahdiskon]]</f>
        <v>61380</v>
      </c>
      <c r="U153" s="284" t="s">
        <v>170</v>
      </c>
      <c r="W153" s="288">
        <f ca="1">IF(Table1[[#This Row],[Item Description]]="","",IF(Table1[[#This Row],[//]]="",INDIRECT(ADDRESS(ROW()-1,COLUMN())),Table1[[#This Row],[//]]))</f>
        <v>153</v>
      </c>
      <c r="X153" s="288">
        <f ca="1">IF(Table1[[#This Row],[h_id]]="","",COUNTIF(Table1[h_id],Table1[[#This Row],[h_id]]))</f>
        <v>12</v>
      </c>
      <c r="Y153" s="284">
        <f>IF(Table1[Item Description]="","",Table1[[#This Row],[Qty]]*Table1[[#This Row],[Unit Price]])</f>
        <v>68200</v>
      </c>
      <c r="Z153" s="284">
        <f>IF(Table1[[#This Row],[h_hargasebelumdiskon]]="","",IF(Table1[[#This Row],[Disc 1]]="",0,Table1[[#This Row],[h_hargasebelumdiskon]]*Table1[[#This Row],[Disc 1]]))</f>
        <v>6820</v>
      </c>
      <c r="AA153" s="284">
        <f>IF(Table1[[#This Row],[h_hargasebelumdiskon]]="","",IF(Table1[[#This Row],[Disc 2]]="",0,(Table1[[#This Row],[h_hargasebelumdiskon]]-Table1[[#This Row],[h_disc 1]])*Table1[[#This Row],[Disc 2]]))</f>
        <v>0</v>
      </c>
      <c r="AB153" s="284">
        <f>IF(Table1[Item Description]="","",Table1[[#This Row],[h_disc 1]]+Table1[[#This Row],[h_disc 2]])</f>
        <v>6820</v>
      </c>
      <c r="AC153" s="284">
        <f>IF(Table1[Item Description]="","",Table1[[#This Row],[h_hargasebelumdiskon]]-Table1[[#This Row],[h_diskon]])</f>
        <v>61380</v>
      </c>
      <c r="AD153" s="284">
        <f ca="1">IF(Table1[//]="","",SUMIF(Table1[h_id],Table1[h_id],Table1[h_hargasetelahdiskon]))</f>
        <v>3078560</v>
      </c>
      <c r="AE153" s="284"/>
      <c r="AF153" s="284" t="str">
        <f>Table1[[#This Row],[Item Description]]&amp;Table1[[#This Row],[Unit]]&amp;Table1[[#This Row],[Unit Price]]</f>
        <v>STIP / PENGHAPUS JOYKO ER-B20BL HITAMBOX34100</v>
      </c>
    </row>
    <row r="154" spans="1:32" x14ac:dyDescent="0.25">
      <c r="A154" s="288" t="str">
        <f ca="1">IF(Table1[[#This Row],[No. Invoice :]]="","",ROW())</f>
        <v/>
      </c>
      <c r="B154" s="288" t="str">
        <f ca="1">IF(Table1[h_Kode Sales :_1]="","",B$1+COUNT(INDIRECT("B$2:B"&amp;ROW()-1)))</f>
        <v/>
      </c>
      <c r="C154" s="282" t="str">
        <f>IF(Table1[[#This Row],[H_TGL]]="","",Table1[[#This Row],[H_TGL]]+C$1-1)</f>
        <v/>
      </c>
      <c r="H154" s="288" t="str">
        <f ca="1">IF(Table1[[#This Row],[h_No. Invoice :]]="","",CONCATENATE("AM"," ",Table1[[#This Row],[h_No. Invoice :]]))</f>
        <v/>
      </c>
      <c r="I154" s="289" t="str">
        <f>CONCATENATE(UPPER(Table1[[#This Row],[h_Kode Sales :_1]])," ",Table1[[#This Row],[h_Kode Sales :_2]])</f>
        <v xml:space="preserve"> </v>
      </c>
      <c r="J154" s="288" t="str">
        <f>IF(Table1[[#This Row],[h_toko]]="","",INDEX(Table2[e],IF(Table1[[#This Row],[h_toko]]="","",MATCH(Table1[[#This Row],[h_toko]],Table2[a],0)),))</f>
        <v/>
      </c>
      <c r="K154" s="281">
        <v>2</v>
      </c>
      <c r="L154" s="281" t="s">
        <v>125</v>
      </c>
      <c r="N154" s="281" t="s">
        <v>231</v>
      </c>
      <c r="O154" s="288" t="str">
        <f>IF(Table1[[#This Row],[h_Item Description]]="","",INDEX([1]!db[NB PAJAK],MATCH(Table1[[#This Row],[h_Item Description]],[1]!db[kode],0)))</f>
        <v>STIP / PENGHAPUS JOYKO 526-B20 PUTIH</v>
      </c>
      <c r="P154" s="281" t="s">
        <v>236</v>
      </c>
      <c r="Q154" s="284">
        <v>34100</v>
      </c>
      <c r="R154" s="285">
        <v>0.1</v>
      </c>
      <c r="T154" s="284">
        <f>Table1[[#This Row],[h_hargasetelahdiskon]]</f>
        <v>61380</v>
      </c>
      <c r="W154" s="288">
        <f ca="1">IF(Table1[[#This Row],[Item Description]]="","",IF(Table1[[#This Row],[//]]="",INDIRECT(ADDRESS(ROW()-1,COLUMN())),Table1[[#This Row],[//]]))</f>
        <v>153</v>
      </c>
      <c r="X154" s="288">
        <f ca="1">IF(Table1[[#This Row],[h_id]]="","",COUNTIF(Table1[h_id],Table1[[#This Row],[h_id]]))</f>
        <v>12</v>
      </c>
      <c r="Y154" s="284">
        <f>IF(Table1[Item Description]="","",Table1[[#This Row],[Qty]]*Table1[[#This Row],[Unit Price]])</f>
        <v>68200</v>
      </c>
      <c r="Z154" s="284">
        <f>IF(Table1[[#This Row],[h_hargasebelumdiskon]]="","",IF(Table1[[#This Row],[Disc 1]]="",0,Table1[[#This Row],[h_hargasebelumdiskon]]*Table1[[#This Row],[Disc 1]]))</f>
        <v>6820</v>
      </c>
      <c r="AA154" s="284">
        <f>IF(Table1[[#This Row],[h_hargasebelumdiskon]]="","",IF(Table1[[#This Row],[Disc 2]]="",0,(Table1[[#This Row],[h_hargasebelumdiskon]]-Table1[[#This Row],[h_disc 1]])*Table1[[#This Row],[Disc 2]]))</f>
        <v>0</v>
      </c>
      <c r="AB154" s="284">
        <f>IF(Table1[Item Description]="","",Table1[[#This Row],[h_disc 1]]+Table1[[#This Row],[h_disc 2]])</f>
        <v>6820</v>
      </c>
      <c r="AC154" s="284">
        <f>IF(Table1[Item Description]="","",Table1[[#This Row],[h_hargasebelumdiskon]]-Table1[[#This Row],[h_diskon]])</f>
        <v>61380</v>
      </c>
      <c r="AD154" s="284" t="str">
        <f ca="1">IF(Table1[//]="","",SUMIF(Table1[h_id],Table1[h_id],Table1[h_hargasetelahdiskon]))</f>
        <v/>
      </c>
      <c r="AE154" s="284"/>
      <c r="AF154" s="284" t="str">
        <f>Table1[[#This Row],[Item Description]]&amp;Table1[[#This Row],[Unit]]&amp;Table1[[#This Row],[Unit Price]]</f>
        <v>STIP / PENGHAPUS JOYKO 526-B20 PUTIHBOX34100</v>
      </c>
    </row>
    <row r="155" spans="1:32" x14ac:dyDescent="0.25">
      <c r="A155" s="288" t="str">
        <f ca="1">IF(Table1[[#This Row],[No. Invoice :]]="","",ROW())</f>
        <v/>
      </c>
      <c r="B155" s="288" t="str">
        <f ca="1">IF(Table1[h_Kode Sales :_1]="","",B$1+COUNT(INDIRECT("B$2:B"&amp;ROW()-1)))</f>
        <v/>
      </c>
      <c r="C155" s="282" t="str">
        <f>IF(Table1[[#This Row],[H_TGL]]="","",Table1[[#This Row],[H_TGL]]+C$1-1)</f>
        <v/>
      </c>
      <c r="H155" s="288" t="str">
        <f ca="1">IF(Table1[[#This Row],[h_No. Invoice :]]="","",CONCATENATE("AM"," ",Table1[[#This Row],[h_No. Invoice :]]))</f>
        <v/>
      </c>
      <c r="I155" s="289" t="str">
        <f>CONCATENATE(UPPER(Table1[[#This Row],[h_Kode Sales :_1]])," ",Table1[[#This Row],[h_Kode Sales :_2]])</f>
        <v xml:space="preserve"> </v>
      </c>
      <c r="J155" s="288" t="str">
        <f>IF(Table1[[#This Row],[h_toko]]="","",INDEX(Table2[e],IF(Table1[[#This Row],[h_toko]]="","",MATCH(Table1[[#This Row],[h_toko]],Table2[a],0)),))</f>
        <v/>
      </c>
      <c r="K155" s="281">
        <v>1</v>
      </c>
      <c r="L155" s="281" t="s">
        <v>142</v>
      </c>
      <c r="N155" s="281" t="s">
        <v>305</v>
      </c>
      <c r="O155" s="288" t="str">
        <f>IF(Table1[[#This Row],[h_Item Description]]="","",INDEX([1]!db[NB PAJAK],MATCH(Table1[[#This Row],[h_Item Description]],[1]!db[kode],0)))</f>
        <v>CUTTER 9 MM KENKO A-300 (KECIL)</v>
      </c>
      <c r="P155" s="281" t="s">
        <v>306</v>
      </c>
      <c r="Q155" s="284">
        <v>57000</v>
      </c>
      <c r="R155" s="285">
        <v>0.1</v>
      </c>
      <c r="T155" s="284">
        <f>Table1[[#This Row],[h_hargasetelahdiskon]]</f>
        <v>51300</v>
      </c>
      <c r="W155" s="288">
        <f ca="1">IF(Table1[[#This Row],[Item Description]]="","",IF(Table1[[#This Row],[//]]="",INDIRECT(ADDRESS(ROW()-1,COLUMN())),Table1[[#This Row],[//]]))</f>
        <v>153</v>
      </c>
      <c r="X155" s="288">
        <f ca="1">IF(Table1[[#This Row],[h_id]]="","",COUNTIF(Table1[h_id],Table1[[#This Row],[h_id]]))</f>
        <v>12</v>
      </c>
      <c r="Y155" s="284">
        <f>IF(Table1[Item Description]="","",Table1[[#This Row],[Qty]]*Table1[[#This Row],[Unit Price]])</f>
        <v>57000</v>
      </c>
      <c r="Z155" s="284">
        <f>IF(Table1[[#This Row],[h_hargasebelumdiskon]]="","",IF(Table1[[#This Row],[Disc 1]]="",0,Table1[[#This Row],[h_hargasebelumdiskon]]*Table1[[#This Row],[Disc 1]]))</f>
        <v>5700</v>
      </c>
      <c r="AA155" s="284">
        <f>IF(Table1[[#This Row],[h_hargasebelumdiskon]]="","",IF(Table1[[#This Row],[Disc 2]]="",0,(Table1[[#This Row],[h_hargasebelumdiskon]]-Table1[[#This Row],[h_disc 1]])*Table1[[#This Row],[Disc 2]]))</f>
        <v>0</v>
      </c>
      <c r="AB155" s="284">
        <f>IF(Table1[Item Description]="","",Table1[[#This Row],[h_disc 1]]+Table1[[#This Row],[h_disc 2]])</f>
        <v>5700</v>
      </c>
      <c r="AC155" s="284">
        <f>IF(Table1[Item Description]="","",Table1[[#This Row],[h_hargasebelumdiskon]]-Table1[[#This Row],[h_diskon]])</f>
        <v>51300</v>
      </c>
      <c r="AD155" s="284" t="str">
        <f ca="1">IF(Table1[//]="","",SUMIF(Table1[h_id],Table1[h_id],Table1[h_hargasetelahdiskon]))</f>
        <v/>
      </c>
      <c r="AE155" s="284"/>
      <c r="AF155" s="284" t="str">
        <f>Table1[[#This Row],[Item Description]]&amp;Table1[[#This Row],[Unit]]&amp;Table1[[#This Row],[Unit Price]]</f>
        <v>CUTTER 9 MM KENKO A-300 (KECIL)LSN57000</v>
      </c>
    </row>
    <row r="156" spans="1:32" x14ac:dyDescent="0.25">
      <c r="A156" s="288" t="str">
        <f ca="1">IF(Table1[[#This Row],[No. Invoice :]]="","",ROW())</f>
        <v/>
      </c>
      <c r="B156" s="288" t="str">
        <f ca="1">IF(Table1[h_Kode Sales :_1]="","",B$1+COUNT(INDIRECT("B$2:B"&amp;ROW()-1)))</f>
        <v/>
      </c>
      <c r="C156" s="282" t="str">
        <f>IF(Table1[[#This Row],[H_TGL]]="","",Table1[[#This Row],[H_TGL]]+C$1-1)</f>
        <v/>
      </c>
      <c r="H156" s="288" t="str">
        <f ca="1">IF(Table1[[#This Row],[h_No. Invoice :]]="","",CONCATENATE("AM"," ",Table1[[#This Row],[h_No. Invoice :]]))</f>
        <v/>
      </c>
      <c r="I156" s="289" t="str">
        <f>CONCATENATE(UPPER(Table1[[#This Row],[h_Kode Sales :_1]])," ",Table1[[#This Row],[h_Kode Sales :_2]])</f>
        <v xml:space="preserve"> </v>
      </c>
      <c r="J156" s="288" t="str">
        <f>IF(Table1[[#This Row],[h_toko]]="","",INDEX(Table2[e],IF(Table1[[#This Row],[h_toko]]="","",MATCH(Table1[[#This Row],[h_toko]],Table2[a],0)),))</f>
        <v/>
      </c>
      <c r="K156" s="281">
        <v>5</v>
      </c>
      <c r="L156" s="281" t="s">
        <v>125</v>
      </c>
      <c r="N156" s="281" t="s">
        <v>348</v>
      </c>
      <c r="O156" s="288" t="str">
        <f>IF(Table1[[#This Row],[h_Item Description]]="","",INDEX([1]!db[NB PAJAK],MATCH(Table1[[#This Row],[h_Item Description]],[1]!db[kode],0)))</f>
        <v>PAPER TRIGONAL CLIP KENKO NO. 3</v>
      </c>
      <c r="P156" s="281" t="s">
        <v>359</v>
      </c>
      <c r="Q156" s="284">
        <v>16000</v>
      </c>
      <c r="R156" s="285">
        <v>0.1</v>
      </c>
      <c r="T156" s="284">
        <f>Table1[[#This Row],[h_hargasetelahdiskon]]</f>
        <v>72000</v>
      </c>
      <c r="W156" s="288">
        <f ca="1">IF(Table1[[#This Row],[Item Description]]="","",IF(Table1[[#This Row],[//]]="",INDIRECT(ADDRESS(ROW()-1,COLUMN())),Table1[[#This Row],[//]]))</f>
        <v>153</v>
      </c>
      <c r="X156" s="288">
        <f ca="1">IF(Table1[[#This Row],[h_id]]="","",COUNTIF(Table1[h_id],Table1[[#This Row],[h_id]]))</f>
        <v>12</v>
      </c>
      <c r="Y156" s="284">
        <f>IF(Table1[Item Description]="","",Table1[[#This Row],[Qty]]*Table1[[#This Row],[Unit Price]])</f>
        <v>80000</v>
      </c>
      <c r="Z156" s="284">
        <f>IF(Table1[[#This Row],[h_hargasebelumdiskon]]="","",IF(Table1[[#This Row],[Disc 1]]="",0,Table1[[#This Row],[h_hargasebelumdiskon]]*Table1[[#This Row],[Disc 1]]))</f>
        <v>8000</v>
      </c>
      <c r="AA156" s="284">
        <f>IF(Table1[[#This Row],[h_hargasebelumdiskon]]="","",IF(Table1[[#This Row],[Disc 2]]="",0,(Table1[[#This Row],[h_hargasebelumdiskon]]-Table1[[#This Row],[h_disc 1]])*Table1[[#This Row],[Disc 2]]))</f>
        <v>0</v>
      </c>
      <c r="AB156" s="284">
        <f>IF(Table1[Item Description]="","",Table1[[#This Row],[h_disc 1]]+Table1[[#This Row],[h_disc 2]])</f>
        <v>8000</v>
      </c>
      <c r="AC156" s="284">
        <f>IF(Table1[Item Description]="","",Table1[[#This Row],[h_hargasebelumdiskon]]-Table1[[#This Row],[h_diskon]])</f>
        <v>72000</v>
      </c>
      <c r="AD156" s="284" t="str">
        <f ca="1">IF(Table1[//]="","",SUMIF(Table1[h_id],Table1[h_id],Table1[h_hargasetelahdiskon]))</f>
        <v/>
      </c>
      <c r="AE156" s="284"/>
      <c r="AF156" s="284" t="str">
        <f>Table1[[#This Row],[Item Description]]&amp;Table1[[#This Row],[Unit]]&amp;Table1[[#This Row],[Unit Price]]</f>
        <v>PAPER TRIGONAL CLIP KENKO NO. 3BOX16000</v>
      </c>
    </row>
    <row r="157" spans="1:32" x14ac:dyDescent="0.25">
      <c r="A157" s="288" t="str">
        <f ca="1">IF(Table1[[#This Row],[No. Invoice :]]="","",ROW())</f>
        <v/>
      </c>
      <c r="B157" s="288" t="str">
        <f ca="1">IF(Table1[h_Kode Sales :_1]="","",B$1+COUNT(INDIRECT("B$2:B"&amp;ROW()-1)))</f>
        <v/>
      </c>
      <c r="C157" s="282" t="str">
        <f>IF(Table1[[#This Row],[H_TGL]]="","",Table1[[#This Row],[H_TGL]]+C$1-1)</f>
        <v/>
      </c>
      <c r="H157" s="288" t="str">
        <f ca="1">IF(Table1[[#This Row],[h_No. Invoice :]]="","",CONCATENATE("AM"," ",Table1[[#This Row],[h_No. Invoice :]]))</f>
        <v/>
      </c>
      <c r="I157" s="289" t="str">
        <f>CONCATENATE(UPPER(Table1[[#This Row],[h_Kode Sales :_1]])," ",Table1[[#This Row],[h_Kode Sales :_2]])</f>
        <v xml:space="preserve"> </v>
      </c>
      <c r="J157" s="288" t="str">
        <f>IF(Table1[[#This Row],[h_toko]]="","",INDEX(Table2[e],IF(Table1[[#This Row],[h_toko]]="","",MATCH(Table1[[#This Row],[h_toko]],Table2[a],0)),))</f>
        <v/>
      </c>
      <c r="K157" s="281">
        <v>1</v>
      </c>
      <c r="L157" s="281" t="s">
        <v>142</v>
      </c>
      <c r="N157" s="281" t="s">
        <v>349</v>
      </c>
      <c r="O157" s="288" t="str">
        <f>IF(Table1[[#This Row],[h_Item Description]]="","",INDEX([1]!db[NB PAJAK],MATCH(Table1[[#This Row],[h_Item Description]],[1]!db[kode],0)))</f>
        <v>PENCIL CASE 23 x 8.5 MAGNET JH-220A</v>
      </c>
      <c r="P157" s="281" t="s">
        <v>350</v>
      </c>
      <c r="Q157" s="284">
        <v>175000</v>
      </c>
      <c r="R157" s="285"/>
      <c r="T157" s="284">
        <f>Table1[[#This Row],[h_hargasetelahdiskon]]</f>
        <v>175000</v>
      </c>
      <c r="W157" s="288">
        <f ca="1">IF(Table1[[#This Row],[Item Description]]="","",IF(Table1[[#This Row],[//]]="",INDIRECT(ADDRESS(ROW()-1,COLUMN())),Table1[[#This Row],[//]]))</f>
        <v>153</v>
      </c>
      <c r="X157" s="288">
        <f ca="1">IF(Table1[[#This Row],[h_id]]="","",COUNTIF(Table1[h_id],Table1[[#This Row],[h_id]]))</f>
        <v>12</v>
      </c>
      <c r="Y157" s="284">
        <f>IF(Table1[Item Description]="","",Table1[[#This Row],[Qty]]*Table1[[#This Row],[Unit Price]])</f>
        <v>175000</v>
      </c>
      <c r="Z157" s="284">
        <f>IF(Table1[[#This Row],[h_hargasebelumdiskon]]="","",IF(Table1[[#This Row],[Disc 1]]="",0,Table1[[#This Row],[h_hargasebelumdiskon]]*Table1[[#This Row],[Disc 1]]))</f>
        <v>0</v>
      </c>
      <c r="AA157" s="284">
        <f>IF(Table1[[#This Row],[h_hargasebelumdiskon]]="","",IF(Table1[[#This Row],[Disc 2]]="",0,(Table1[[#This Row],[h_hargasebelumdiskon]]-Table1[[#This Row],[h_disc 1]])*Table1[[#This Row],[Disc 2]]))</f>
        <v>0</v>
      </c>
      <c r="AB157" s="284">
        <f>IF(Table1[Item Description]="","",Table1[[#This Row],[h_disc 1]]+Table1[[#This Row],[h_disc 2]])</f>
        <v>0</v>
      </c>
      <c r="AC157" s="284">
        <f>IF(Table1[Item Description]="","",Table1[[#This Row],[h_hargasebelumdiskon]]-Table1[[#This Row],[h_diskon]])</f>
        <v>175000</v>
      </c>
      <c r="AD157" s="284" t="str">
        <f ca="1">IF(Table1[//]="","",SUMIF(Table1[h_id],Table1[h_id],Table1[h_hargasetelahdiskon]))</f>
        <v/>
      </c>
      <c r="AE157" s="284"/>
      <c r="AF157" s="284" t="str">
        <f>Table1[[#This Row],[Item Description]]&amp;Table1[[#This Row],[Unit]]&amp;Table1[[#This Row],[Unit Price]]</f>
        <v>PENCIL CASE 23 x 8.5 MAGNET JH-220ALSN175000</v>
      </c>
    </row>
    <row r="158" spans="1:32" x14ac:dyDescent="0.25">
      <c r="A158" s="288" t="str">
        <f ca="1">IF(Table1[[#This Row],[No. Invoice :]]="","",ROW())</f>
        <v/>
      </c>
      <c r="B158" s="288" t="str">
        <f ca="1">IF(Table1[h_Kode Sales :_1]="","",B$1+COUNT(INDIRECT("B$2:B"&amp;ROW()-1)))</f>
        <v/>
      </c>
      <c r="C158" s="282" t="str">
        <f>IF(Table1[[#This Row],[H_TGL]]="","",Table1[[#This Row],[H_TGL]]+C$1-1)</f>
        <v/>
      </c>
      <c r="H158" s="288" t="str">
        <f ca="1">IF(Table1[[#This Row],[h_No. Invoice :]]="","",CONCATENATE("AM"," ",Table1[[#This Row],[h_No. Invoice :]]))</f>
        <v/>
      </c>
      <c r="I158" s="289" t="str">
        <f>CONCATENATE(UPPER(Table1[[#This Row],[h_Kode Sales :_1]])," ",Table1[[#This Row],[h_Kode Sales :_2]])</f>
        <v xml:space="preserve"> </v>
      </c>
      <c r="J158" s="288" t="str">
        <f>IF(Table1[[#This Row],[h_toko]]="","",INDEX(Table2[e],IF(Table1[[#This Row],[h_toko]]="","",MATCH(Table1[[#This Row],[h_toko]],Table2[a],0)),))</f>
        <v/>
      </c>
      <c r="K158" s="281">
        <v>1</v>
      </c>
      <c r="L158" s="281" t="s">
        <v>142</v>
      </c>
      <c r="N158" s="281" t="s">
        <v>351</v>
      </c>
      <c r="O158" s="288" t="str">
        <f>IF(Table1[[#This Row],[h_Item Description]]="","",INDEX([1]!db[NB PAJAK],MATCH(Table1[[#This Row],[h_Item Description]],[1]!db[kode],0)))</f>
        <v>PENCIL CASE 22 x 7.5 MAGNET AC-1762</v>
      </c>
      <c r="P158" s="281" t="s">
        <v>352</v>
      </c>
      <c r="Q158" s="284">
        <v>175000</v>
      </c>
      <c r="R158" s="285"/>
      <c r="T158" s="284">
        <f>Table1[[#This Row],[h_hargasetelahdiskon]]</f>
        <v>175000</v>
      </c>
      <c r="W158" s="288">
        <f ca="1">IF(Table1[[#This Row],[Item Description]]="","",IF(Table1[[#This Row],[//]]="",INDIRECT(ADDRESS(ROW()-1,COLUMN())),Table1[[#This Row],[//]]))</f>
        <v>153</v>
      </c>
      <c r="X158" s="288">
        <f ca="1">IF(Table1[[#This Row],[h_id]]="","",COUNTIF(Table1[h_id],Table1[[#This Row],[h_id]]))</f>
        <v>12</v>
      </c>
      <c r="Y158" s="284">
        <f>IF(Table1[Item Description]="","",Table1[[#This Row],[Qty]]*Table1[[#This Row],[Unit Price]])</f>
        <v>175000</v>
      </c>
      <c r="Z158" s="284">
        <f>IF(Table1[[#This Row],[h_hargasebelumdiskon]]="","",IF(Table1[[#This Row],[Disc 1]]="",0,Table1[[#This Row],[h_hargasebelumdiskon]]*Table1[[#This Row],[Disc 1]]))</f>
        <v>0</v>
      </c>
      <c r="AA158" s="284">
        <f>IF(Table1[[#This Row],[h_hargasebelumdiskon]]="","",IF(Table1[[#This Row],[Disc 2]]="",0,(Table1[[#This Row],[h_hargasebelumdiskon]]-Table1[[#This Row],[h_disc 1]])*Table1[[#This Row],[Disc 2]]))</f>
        <v>0</v>
      </c>
      <c r="AB158" s="284">
        <f>IF(Table1[Item Description]="","",Table1[[#This Row],[h_disc 1]]+Table1[[#This Row],[h_disc 2]])</f>
        <v>0</v>
      </c>
      <c r="AC158" s="284">
        <f>IF(Table1[Item Description]="","",Table1[[#This Row],[h_hargasebelumdiskon]]-Table1[[#This Row],[h_diskon]])</f>
        <v>175000</v>
      </c>
      <c r="AD158" s="284" t="str">
        <f ca="1">IF(Table1[//]="","",SUMIF(Table1[h_id],Table1[h_id],Table1[h_hargasetelahdiskon]))</f>
        <v/>
      </c>
      <c r="AE158" s="284"/>
      <c r="AF158" s="284" t="str">
        <f>Table1[[#This Row],[Item Description]]&amp;Table1[[#This Row],[Unit]]&amp;Table1[[#This Row],[Unit Price]]</f>
        <v>PENCIL CASE 22 x 7.5 MAGNET AC-1762 COWOKLSN175000</v>
      </c>
    </row>
    <row r="159" spans="1:32" x14ac:dyDescent="0.25">
      <c r="A159" s="288" t="str">
        <f ca="1">IF(Table1[[#This Row],[No. Invoice :]]="","",ROW())</f>
        <v/>
      </c>
      <c r="B159" s="288" t="str">
        <f ca="1">IF(Table1[h_Kode Sales :_1]="","",B$1+COUNT(INDIRECT("B$2:B"&amp;ROW()-1)))</f>
        <v/>
      </c>
      <c r="C159" s="282" t="str">
        <f>IF(Table1[[#This Row],[H_TGL]]="","",Table1[[#This Row],[H_TGL]]+C$1-1)</f>
        <v/>
      </c>
      <c r="H159" s="288" t="str">
        <f ca="1">IF(Table1[[#This Row],[h_No. Invoice :]]="","",CONCATENATE("AM"," ",Table1[[#This Row],[h_No. Invoice :]]))</f>
        <v/>
      </c>
      <c r="I159" s="289" t="str">
        <f>CONCATENATE(UPPER(Table1[[#This Row],[h_Kode Sales :_1]])," ",Table1[[#This Row],[h_Kode Sales :_2]])</f>
        <v xml:space="preserve"> </v>
      </c>
      <c r="J159" s="288" t="str">
        <f>IF(Table1[[#This Row],[h_toko]]="","",INDEX(Table2[e],IF(Table1[[#This Row],[h_toko]]="","",MATCH(Table1[[#This Row],[h_toko]],Table2[a],0)),))</f>
        <v/>
      </c>
      <c r="K159" s="281">
        <v>1</v>
      </c>
      <c r="L159" s="281" t="s">
        <v>142</v>
      </c>
      <c r="N159" s="281" t="s">
        <v>351</v>
      </c>
      <c r="O159" s="288" t="str">
        <f>IF(Table1[[#This Row],[h_Item Description]]="","",INDEX([1]!db[NB PAJAK],MATCH(Table1[[#This Row],[h_Item Description]],[1]!db[kode],0)))</f>
        <v>PENCIL CASE 22 x 7.5 MAGNET AC-1762</v>
      </c>
      <c r="P159" s="281" t="s">
        <v>353</v>
      </c>
      <c r="Q159" s="284">
        <v>175000</v>
      </c>
      <c r="R159" s="285"/>
      <c r="T159" s="284">
        <f>Table1[[#This Row],[h_hargasetelahdiskon]]</f>
        <v>175000</v>
      </c>
      <c r="W159" s="288">
        <f ca="1">IF(Table1[[#This Row],[Item Description]]="","",IF(Table1[[#This Row],[//]]="",INDIRECT(ADDRESS(ROW()-1,COLUMN())),Table1[[#This Row],[//]]))</f>
        <v>153</v>
      </c>
      <c r="X159" s="288">
        <f ca="1">IF(Table1[[#This Row],[h_id]]="","",COUNTIF(Table1[h_id],Table1[[#This Row],[h_id]]))</f>
        <v>12</v>
      </c>
      <c r="Y159" s="284">
        <f>IF(Table1[Item Description]="","",Table1[[#This Row],[Qty]]*Table1[[#This Row],[Unit Price]])</f>
        <v>175000</v>
      </c>
      <c r="Z159" s="284">
        <f>IF(Table1[[#This Row],[h_hargasebelumdiskon]]="","",IF(Table1[[#This Row],[Disc 1]]="",0,Table1[[#This Row],[h_hargasebelumdiskon]]*Table1[[#This Row],[Disc 1]]))</f>
        <v>0</v>
      </c>
      <c r="AA159" s="284">
        <f>IF(Table1[[#This Row],[h_hargasebelumdiskon]]="","",IF(Table1[[#This Row],[Disc 2]]="",0,(Table1[[#This Row],[h_hargasebelumdiskon]]-Table1[[#This Row],[h_disc 1]])*Table1[[#This Row],[Disc 2]]))</f>
        <v>0</v>
      </c>
      <c r="AB159" s="284">
        <f>IF(Table1[Item Description]="","",Table1[[#This Row],[h_disc 1]]+Table1[[#This Row],[h_disc 2]])</f>
        <v>0</v>
      </c>
      <c r="AC159" s="284">
        <f>IF(Table1[Item Description]="","",Table1[[#This Row],[h_hargasebelumdiskon]]-Table1[[#This Row],[h_diskon]])</f>
        <v>175000</v>
      </c>
      <c r="AD159" s="284" t="str">
        <f ca="1">IF(Table1[//]="","",SUMIF(Table1[h_id],Table1[h_id],Table1[h_hargasetelahdiskon]))</f>
        <v/>
      </c>
      <c r="AE159" s="284"/>
      <c r="AF159" s="284" t="str">
        <f>Table1[[#This Row],[Item Description]]&amp;Table1[[#This Row],[Unit]]&amp;Table1[[#This Row],[Unit Price]]</f>
        <v>PENCIL CASE 22 x 7.5 MAGNET AC-1762 CEWEKLSN175000</v>
      </c>
    </row>
    <row r="160" spans="1:32" x14ac:dyDescent="0.25">
      <c r="A160" s="288" t="str">
        <f ca="1">IF(Table1[[#This Row],[No. Invoice :]]="","",ROW())</f>
        <v/>
      </c>
      <c r="B160" s="288" t="str">
        <f ca="1">IF(Table1[h_Kode Sales :_1]="","",B$1+COUNT(INDIRECT("B$2:B"&amp;ROW()-1)))</f>
        <v/>
      </c>
      <c r="C160" s="282" t="str">
        <f>IF(Table1[[#This Row],[H_TGL]]="","",Table1[[#This Row],[H_TGL]]+C$1-1)</f>
        <v/>
      </c>
      <c r="H160" s="288" t="str">
        <f ca="1">IF(Table1[[#This Row],[h_No. Invoice :]]="","",CONCATENATE("AM"," ",Table1[[#This Row],[h_No. Invoice :]]))</f>
        <v/>
      </c>
      <c r="I160" s="289" t="str">
        <f>CONCATENATE(UPPER(Table1[[#This Row],[h_Kode Sales :_1]])," ",Table1[[#This Row],[h_Kode Sales :_2]])</f>
        <v xml:space="preserve"> </v>
      </c>
      <c r="J160" s="288" t="str">
        <f>IF(Table1[[#This Row],[h_toko]]="","",INDEX(Table2[e],IF(Table1[[#This Row],[h_toko]]="","",MATCH(Table1[[#This Row],[h_toko]],Table2[a],0)),))</f>
        <v/>
      </c>
      <c r="K160" s="281">
        <v>1</v>
      </c>
      <c r="L160" s="281" t="s">
        <v>142</v>
      </c>
      <c r="N160" s="281" t="s">
        <v>354</v>
      </c>
      <c r="O160" s="288" t="str">
        <f>IF(Table1[[#This Row],[h_Item Description]]="","",INDEX([1]!db[NB PAJAK],MATCH(Table1[[#This Row],[h_Item Description]],[1]!db[kode],0)))</f>
        <v>PENCIL CASE 22 x 7.5 MAGNET FC-1758</v>
      </c>
      <c r="P160" s="281" t="s">
        <v>360</v>
      </c>
      <c r="Q160" s="284">
        <v>175000</v>
      </c>
      <c r="R160" s="285"/>
      <c r="T160" s="284">
        <f>Table1[[#This Row],[h_hargasetelahdiskon]]</f>
        <v>175000</v>
      </c>
      <c r="W160" s="288">
        <f ca="1">IF(Table1[[#This Row],[Item Description]]="","",IF(Table1[[#This Row],[//]]="",INDIRECT(ADDRESS(ROW()-1,COLUMN())),Table1[[#This Row],[//]]))</f>
        <v>153</v>
      </c>
      <c r="X160" s="288">
        <f ca="1">IF(Table1[[#This Row],[h_id]]="","",COUNTIF(Table1[h_id],Table1[[#This Row],[h_id]]))</f>
        <v>12</v>
      </c>
      <c r="Y160" s="284">
        <f>IF(Table1[Item Description]="","",Table1[[#This Row],[Qty]]*Table1[[#This Row],[Unit Price]])</f>
        <v>175000</v>
      </c>
      <c r="Z160" s="284">
        <f>IF(Table1[[#This Row],[h_hargasebelumdiskon]]="","",IF(Table1[[#This Row],[Disc 1]]="",0,Table1[[#This Row],[h_hargasebelumdiskon]]*Table1[[#This Row],[Disc 1]]))</f>
        <v>0</v>
      </c>
      <c r="AA160" s="284">
        <f>IF(Table1[[#This Row],[h_hargasebelumdiskon]]="","",IF(Table1[[#This Row],[Disc 2]]="",0,(Table1[[#This Row],[h_hargasebelumdiskon]]-Table1[[#This Row],[h_disc 1]])*Table1[[#This Row],[Disc 2]]))</f>
        <v>0</v>
      </c>
      <c r="AB160" s="284">
        <f>IF(Table1[Item Description]="","",Table1[[#This Row],[h_disc 1]]+Table1[[#This Row],[h_disc 2]])</f>
        <v>0</v>
      </c>
      <c r="AC160" s="284">
        <f>IF(Table1[Item Description]="","",Table1[[#This Row],[h_hargasebelumdiskon]]-Table1[[#This Row],[h_diskon]])</f>
        <v>175000</v>
      </c>
      <c r="AD160" s="284" t="str">
        <f ca="1">IF(Table1[//]="","",SUMIF(Table1[h_id],Table1[h_id],Table1[h_hargasetelahdiskon]))</f>
        <v/>
      </c>
      <c r="AE160" s="284"/>
      <c r="AF160" s="284" t="str">
        <f>Table1[[#This Row],[Item Description]]&amp;Table1[[#This Row],[Unit]]&amp;Table1[[#This Row],[Unit Price]]</f>
        <v>PENCIL CASE 22 x 7.5 MAGNET FC-1758LSN175000</v>
      </c>
    </row>
    <row r="161" spans="1:32" x14ac:dyDescent="0.25">
      <c r="A161" s="288" t="str">
        <f ca="1">IF(Table1[[#This Row],[No. Invoice :]]="","",ROW())</f>
        <v/>
      </c>
      <c r="B161" s="288" t="str">
        <f ca="1">IF(Table1[h_Kode Sales :_1]="","",B$1+COUNT(INDIRECT("B$2:B"&amp;ROW()-1)))</f>
        <v/>
      </c>
      <c r="C161" s="282" t="str">
        <f>IF(Table1[[#This Row],[H_TGL]]="","",Table1[[#This Row],[H_TGL]]+C$1-1)</f>
        <v/>
      </c>
      <c r="H161" s="288" t="str">
        <f ca="1">IF(Table1[[#This Row],[h_No. Invoice :]]="","",CONCATENATE("AM"," ",Table1[[#This Row],[h_No. Invoice :]]))</f>
        <v/>
      </c>
      <c r="I161" s="289" t="str">
        <f>CONCATENATE(UPPER(Table1[[#This Row],[h_Kode Sales :_1]])," ",Table1[[#This Row],[h_Kode Sales :_2]])</f>
        <v xml:space="preserve"> </v>
      </c>
      <c r="J161" s="288" t="str">
        <f>IF(Table1[[#This Row],[h_toko]]="","",INDEX(Table2[e],IF(Table1[[#This Row],[h_toko]]="","",MATCH(Table1[[#This Row],[h_toko]],Table2[a],0)),))</f>
        <v/>
      </c>
      <c r="K161" s="281">
        <v>1</v>
      </c>
      <c r="L161" s="281" t="s">
        <v>142</v>
      </c>
      <c r="N161" s="281" t="s">
        <v>355</v>
      </c>
      <c r="O161" s="288" t="str">
        <f>IF(Table1[[#This Row],[h_Item Description]]="","",INDEX([1]!db[NB PAJAK],MATCH(Table1[[#This Row],[h_Item Description]],[1]!db[kode],0)))</f>
        <v>PENCIL CASE 22 x 7.5 MAGNET FX-2275 (METALIK)</v>
      </c>
      <c r="P161" s="281" t="s">
        <v>361</v>
      </c>
      <c r="Q161" s="284">
        <v>200000</v>
      </c>
      <c r="R161" s="285"/>
      <c r="T161" s="284">
        <f>Table1[[#This Row],[h_hargasetelahdiskon]]</f>
        <v>200000</v>
      </c>
      <c r="W161" s="288">
        <f ca="1">IF(Table1[[#This Row],[Item Description]]="","",IF(Table1[[#This Row],[//]]="",INDIRECT(ADDRESS(ROW()-1,COLUMN())),Table1[[#This Row],[//]]))</f>
        <v>153</v>
      </c>
      <c r="X161" s="288">
        <f ca="1">IF(Table1[[#This Row],[h_id]]="","",COUNTIF(Table1[h_id],Table1[[#This Row],[h_id]]))</f>
        <v>12</v>
      </c>
      <c r="Y161" s="284">
        <f>IF(Table1[Item Description]="","",Table1[[#This Row],[Qty]]*Table1[[#This Row],[Unit Price]])</f>
        <v>200000</v>
      </c>
      <c r="Z161" s="284">
        <f>IF(Table1[[#This Row],[h_hargasebelumdiskon]]="","",IF(Table1[[#This Row],[Disc 1]]="",0,Table1[[#This Row],[h_hargasebelumdiskon]]*Table1[[#This Row],[Disc 1]]))</f>
        <v>0</v>
      </c>
      <c r="AA161" s="284">
        <f>IF(Table1[[#This Row],[h_hargasebelumdiskon]]="","",IF(Table1[[#This Row],[Disc 2]]="",0,(Table1[[#This Row],[h_hargasebelumdiskon]]-Table1[[#This Row],[h_disc 1]])*Table1[[#This Row],[Disc 2]]))</f>
        <v>0</v>
      </c>
      <c r="AB161" s="284">
        <f>IF(Table1[Item Description]="","",Table1[[#This Row],[h_disc 1]]+Table1[[#This Row],[h_disc 2]])</f>
        <v>0</v>
      </c>
      <c r="AC161" s="284">
        <f>IF(Table1[Item Description]="","",Table1[[#This Row],[h_hargasebelumdiskon]]-Table1[[#This Row],[h_diskon]])</f>
        <v>200000</v>
      </c>
      <c r="AD161" s="284" t="str">
        <f ca="1">IF(Table1[//]="","",SUMIF(Table1[h_id],Table1[h_id],Table1[h_hargasetelahdiskon]))</f>
        <v/>
      </c>
      <c r="AE161" s="284"/>
      <c r="AF161" s="284" t="str">
        <f>Table1[[#This Row],[Item Description]]&amp;Table1[[#This Row],[Unit]]&amp;Table1[[#This Row],[Unit Price]]</f>
        <v>PENCIL CASE 22 x 7.5 MAGNET FX-2275 (METALIK)LSN200000</v>
      </c>
    </row>
    <row r="162" spans="1:32" x14ac:dyDescent="0.25">
      <c r="A162" s="288" t="str">
        <f ca="1">IF(Table1[[#This Row],[No. Invoice :]]="","",ROW())</f>
        <v/>
      </c>
      <c r="B162" s="288" t="str">
        <f ca="1">IF(Table1[h_Kode Sales :_1]="","",B$1+COUNT(INDIRECT("B$2:B"&amp;ROW()-1)))</f>
        <v/>
      </c>
      <c r="C162" s="282" t="str">
        <f>IF(Table1[[#This Row],[H_TGL]]="","",Table1[[#This Row],[H_TGL]]+C$1-1)</f>
        <v/>
      </c>
      <c r="H162" s="288" t="str">
        <f ca="1">IF(Table1[[#This Row],[h_No. Invoice :]]="","",CONCATENATE("AM"," ",Table1[[#This Row],[h_No. Invoice :]]))</f>
        <v/>
      </c>
      <c r="I162" s="289" t="str">
        <f>CONCATENATE(UPPER(Table1[[#This Row],[h_Kode Sales :_1]])," ",Table1[[#This Row],[h_Kode Sales :_2]])</f>
        <v xml:space="preserve"> </v>
      </c>
      <c r="J162" s="288" t="str">
        <f>IF(Table1[[#This Row],[h_toko]]="","",INDEX(Table2[e],IF(Table1[[#This Row],[h_toko]]="","",MATCH(Table1[[#This Row],[h_toko]],Table2[a],0)),))</f>
        <v/>
      </c>
      <c r="K162" s="281">
        <v>1</v>
      </c>
      <c r="L162" s="281" t="s">
        <v>142</v>
      </c>
      <c r="N162" s="281" t="s">
        <v>356</v>
      </c>
      <c r="O162" s="288" t="str">
        <f>IF(Table1[[#This Row],[h_Item Description]]="","",INDEX([1]!db[NB PAJAK],MATCH(Table1[[#This Row],[h_Item Description]],[1]!db[kode],0)))</f>
        <v>PENCIL CASE 22 x 7.5 MAGNET C-1755-1</v>
      </c>
      <c r="P162" s="281" t="s">
        <v>362</v>
      </c>
      <c r="Q162" s="284">
        <v>175000</v>
      </c>
      <c r="R162" s="285"/>
      <c r="T162" s="284">
        <f>Table1[[#This Row],[h_hargasetelahdiskon]]</f>
        <v>175000</v>
      </c>
      <c r="W162" s="288">
        <f ca="1">IF(Table1[[#This Row],[Item Description]]="","",IF(Table1[[#This Row],[//]]="",INDIRECT(ADDRESS(ROW()-1,COLUMN())),Table1[[#This Row],[//]]))</f>
        <v>153</v>
      </c>
      <c r="X162" s="288">
        <f ca="1">IF(Table1[[#This Row],[h_id]]="","",COUNTIF(Table1[h_id],Table1[[#This Row],[h_id]]))</f>
        <v>12</v>
      </c>
      <c r="Y162" s="284">
        <f>IF(Table1[Item Description]="","",Table1[[#This Row],[Qty]]*Table1[[#This Row],[Unit Price]])</f>
        <v>175000</v>
      </c>
      <c r="Z162" s="284">
        <f>IF(Table1[[#This Row],[h_hargasebelumdiskon]]="","",IF(Table1[[#This Row],[Disc 1]]="",0,Table1[[#This Row],[h_hargasebelumdiskon]]*Table1[[#This Row],[Disc 1]]))</f>
        <v>0</v>
      </c>
      <c r="AA162" s="284">
        <f>IF(Table1[[#This Row],[h_hargasebelumdiskon]]="","",IF(Table1[[#This Row],[Disc 2]]="",0,(Table1[[#This Row],[h_hargasebelumdiskon]]-Table1[[#This Row],[h_disc 1]])*Table1[[#This Row],[Disc 2]]))</f>
        <v>0</v>
      </c>
      <c r="AB162" s="284">
        <f>IF(Table1[Item Description]="","",Table1[[#This Row],[h_disc 1]]+Table1[[#This Row],[h_disc 2]])</f>
        <v>0</v>
      </c>
      <c r="AC162" s="284">
        <f>IF(Table1[Item Description]="","",Table1[[#This Row],[h_hargasebelumdiskon]]-Table1[[#This Row],[h_diskon]])</f>
        <v>175000</v>
      </c>
      <c r="AD162" s="284" t="str">
        <f ca="1">IF(Table1[//]="","",SUMIF(Table1[h_id],Table1[h_id],Table1[h_hargasetelahdiskon]))</f>
        <v/>
      </c>
      <c r="AE162" s="284"/>
      <c r="AF162" s="284" t="str">
        <f>Table1[[#This Row],[Item Description]]&amp;Table1[[#This Row],[Unit]]&amp;Table1[[#This Row],[Unit Price]]</f>
        <v>PENCIL CASE 22 x 7.5 MAGNET C-1755-1LSN175000</v>
      </c>
    </row>
    <row r="163" spans="1:32" x14ac:dyDescent="0.25">
      <c r="A163" s="288" t="str">
        <f ca="1">IF(Table1[[#This Row],[No. Invoice :]]="","",ROW())</f>
        <v/>
      </c>
      <c r="B163" s="288" t="str">
        <f ca="1">IF(Table1[h_Kode Sales :_1]="","",B$1+COUNT(INDIRECT("B$2:B"&amp;ROW()-1)))</f>
        <v/>
      </c>
      <c r="C163" s="282" t="str">
        <f>IF(Table1[[#This Row],[H_TGL]]="","",Table1[[#This Row],[H_TGL]]+C$1-1)</f>
        <v/>
      </c>
      <c r="H163" s="288" t="str">
        <f ca="1">IF(Table1[[#This Row],[h_No. Invoice :]]="","",CONCATENATE("AM"," ",Table1[[#This Row],[h_No. Invoice :]]))</f>
        <v/>
      </c>
      <c r="I163" s="289" t="str">
        <f>CONCATENATE(UPPER(Table1[[#This Row],[h_Kode Sales :_1]])," ",Table1[[#This Row],[h_Kode Sales :_2]])</f>
        <v xml:space="preserve"> </v>
      </c>
      <c r="J163" s="288" t="str">
        <f>IF(Table1[[#This Row],[h_toko]]="","",INDEX(Table2[e],IF(Table1[[#This Row],[h_toko]]="","",MATCH(Table1[[#This Row],[h_toko]],Table2[a],0)),))</f>
        <v/>
      </c>
      <c r="K163" s="281">
        <v>25</v>
      </c>
      <c r="L163" s="281" t="s">
        <v>172</v>
      </c>
      <c r="N163" s="281" t="s">
        <v>357</v>
      </c>
      <c r="O163" s="288" t="str">
        <f>IF(Table1[[#This Row],[h_Item Description]]="","",INDEX([1]!db[NB PAJAK],MATCH(Table1[[#This Row],[h_Item Description]],[1]!db[kode],0)))</f>
        <v>LOOSE LEAF JOYKO A5-7020 (100S)</v>
      </c>
      <c r="P163" s="281" t="s">
        <v>364</v>
      </c>
      <c r="Q163" s="284">
        <v>7000</v>
      </c>
      <c r="R163" s="285">
        <v>0.1</v>
      </c>
      <c r="T163" s="284">
        <f>Table1[[#This Row],[h_hargasetelahdiskon]]</f>
        <v>157500</v>
      </c>
      <c r="W163" s="288">
        <f ca="1">IF(Table1[[#This Row],[Item Description]]="","",IF(Table1[[#This Row],[//]]="",INDIRECT(ADDRESS(ROW()-1,COLUMN())),Table1[[#This Row],[//]]))</f>
        <v>153</v>
      </c>
      <c r="X163" s="288">
        <f ca="1">IF(Table1[[#This Row],[h_id]]="","",COUNTIF(Table1[h_id],Table1[[#This Row],[h_id]]))</f>
        <v>12</v>
      </c>
      <c r="Y163" s="284">
        <f>IF(Table1[Item Description]="","",Table1[[#This Row],[Qty]]*Table1[[#This Row],[Unit Price]])</f>
        <v>175000</v>
      </c>
      <c r="Z163" s="284">
        <f>IF(Table1[[#This Row],[h_hargasebelumdiskon]]="","",IF(Table1[[#This Row],[Disc 1]]="",0,Table1[[#This Row],[h_hargasebelumdiskon]]*Table1[[#This Row],[Disc 1]]))</f>
        <v>17500</v>
      </c>
      <c r="AA163" s="284">
        <f>IF(Table1[[#This Row],[h_hargasebelumdiskon]]="","",IF(Table1[[#This Row],[Disc 2]]="",0,(Table1[[#This Row],[h_hargasebelumdiskon]]-Table1[[#This Row],[h_disc 1]])*Table1[[#This Row],[Disc 2]]))</f>
        <v>0</v>
      </c>
      <c r="AB163" s="284">
        <f>IF(Table1[Item Description]="","",Table1[[#This Row],[h_disc 1]]+Table1[[#This Row],[h_disc 2]])</f>
        <v>17500</v>
      </c>
      <c r="AC163" s="284">
        <f>IF(Table1[Item Description]="","",Table1[[#This Row],[h_hargasebelumdiskon]]-Table1[[#This Row],[h_diskon]])</f>
        <v>157500</v>
      </c>
      <c r="AD163" s="284" t="str">
        <f ca="1">IF(Table1[//]="","",SUMIF(Table1[h_id],Table1[h_id],Table1[h_hargasetelahdiskon]))</f>
        <v/>
      </c>
      <c r="AE163" s="284"/>
      <c r="AF163" s="284" t="str">
        <f>Table1[[#This Row],[Item Description]]&amp;Table1[[#This Row],[Unit]]&amp;Table1[[#This Row],[Unit Price]]</f>
        <v>LOOSE LEAF JOYKO A5-7020 (100S)PAK7000</v>
      </c>
    </row>
    <row r="164" spans="1:32" x14ac:dyDescent="0.25">
      <c r="A164" s="288" t="str">
        <f ca="1">IF(Table1[[#This Row],[No. Invoice :]]="","",ROW())</f>
        <v/>
      </c>
      <c r="B164" s="288" t="str">
        <f ca="1">IF(Table1[h_Kode Sales :_1]="","",B$1+COUNT(INDIRECT("B$2:B"&amp;ROW()-1)))</f>
        <v/>
      </c>
      <c r="C164" s="282" t="str">
        <f>IF(Table1[[#This Row],[H_TGL]]="","",Table1[[#This Row],[H_TGL]]+C$1-1)</f>
        <v/>
      </c>
      <c r="H164" s="288" t="str">
        <f ca="1">IF(Table1[[#This Row],[h_No. Invoice :]]="","",CONCATENATE("AM"," ",Table1[[#This Row],[h_No. Invoice :]]))</f>
        <v/>
      </c>
      <c r="I164" s="289" t="str">
        <f>CONCATENATE(UPPER(Table1[[#This Row],[h_Kode Sales :_1]])," ",Table1[[#This Row],[h_Kode Sales :_2]])</f>
        <v xml:space="preserve"> </v>
      </c>
      <c r="J164" s="288" t="str">
        <f>IF(Table1[[#This Row],[h_toko]]="","",INDEX(Table2[e],IF(Table1[[#This Row],[h_toko]]="","",MATCH(Table1[[#This Row],[h_toko]],Table2[a],0)),))</f>
        <v/>
      </c>
      <c r="K164" s="281">
        <v>200</v>
      </c>
      <c r="L164" s="281" t="s">
        <v>172</v>
      </c>
      <c r="M164" s="281">
        <v>1</v>
      </c>
      <c r="N164" s="281" t="s">
        <v>363</v>
      </c>
      <c r="O164" s="288" t="str">
        <f>IF(Table1[[#This Row],[h_Item Description]]="","",INDEX([1]!db[NB PAJAK],MATCH(Table1[[#This Row],[h_Item Description]],[1]!db[kode],0)))</f>
        <v>SAMPUL SAMSON KWARTO BATIK</v>
      </c>
      <c r="P164" s="281" t="s">
        <v>365</v>
      </c>
      <c r="Q164" s="284">
        <v>8000</v>
      </c>
      <c r="R164" s="285"/>
      <c r="T164" s="284">
        <f>Table1[[#This Row],[h_hargasetelahdiskon]]</f>
        <v>1600000</v>
      </c>
      <c r="W164" s="288">
        <f ca="1">IF(Table1[[#This Row],[Item Description]]="","",IF(Table1[[#This Row],[//]]="",INDIRECT(ADDRESS(ROW()-1,COLUMN())),Table1[[#This Row],[//]]))</f>
        <v>153</v>
      </c>
      <c r="X164" s="288">
        <f ca="1">IF(Table1[[#This Row],[h_id]]="","",COUNTIF(Table1[h_id],Table1[[#This Row],[h_id]]))</f>
        <v>12</v>
      </c>
      <c r="Y164" s="284">
        <f>IF(Table1[Item Description]="","",Table1[[#This Row],[Qty]]*Table1[[#This Row],[Unit Price]])</f>
        <v>1600000</v>
      </c>
      <c r="Z164" s="284">
        <f>IF(Table1[[#This Row],[h_hargasebelumdiskon]]="","",IF(Table1[[#This Row],[Disc 1]]="",0,Table1[[#This Row],[h_hargasebelumdiskon]]*Table1[[#This Row],[Disc 1]]))</f>
        <v>0</v>
      </c>
      <c r="AA164" s="284">
        <f>IF(Table1[[#This Row],[h_hargasebelumdiskon]]="","",IF(Table1[[#This Row],[Disc 2]]="",0,(Table1[[#This Row],[h_hargasebelumdiskon]]-Table1[[#This Row],[h_disc 1]])*Table1[[#This Row],[Disc 2]]))</f>
        <v>0</v>
      </c>
      <c r="AB164" s="284">
        <f>IF(Table1[Item Description]="","",Table1[[#This Row],[h_disc 1]]+Table1[[#This Row],[h_disc 2]])</f>
        <v>0</v>
      </c>
      <c r="AC164" s="284">
        <f>IF(Table1[Item Description]="","",Table1[[#This Row],[h_hargasebelumdiskon]]-Table1[[#This Row],[h_diskon]])</f>
        <v>1600000</v>
      </c>
      <c r="AD164" s="284" t="str">
        <f ca="1">IF(Table1[//]="","",SUMIF(Table1[h_id],Table1[h_id],Table1[h_hargasetelahdiskon]))</f>
        <v/>
      </c>
      <c r="AE164" s="284"/>
      <c r="AF164" s="284" t="str">
        <f>Table1[[#This Row],[Item Description]]&amp;Table1[[#This Row],[Unit]]&amp;Table1[[#This Row],[Unit Price]]</f>
        <v>SAMPUL SAMSON KWARTO BATIKPAK8000</v>
      </c>
    </row>
    <row r="165" spans="1:32" x14ac:dyDescent="0.25">
      <c r="A165" s="288" t="str">
        <f ca="1">IF(Table1[[#This Row],[No. Invoice :]]="","",ROW())</f>
        <v/>
      </c>
      <c r="B165" s="288" t="str">
        <f ca="1">IF(Table1[h_Kode Sales :_1]="","",B$1+COUNT(INDIRECT("B$2:B"&amp;ROW()-1)))</f>
        <v/>
      </c>
      <c r="C165" s="282" t="str">
        <f>IF(Table1[[#This Row],[H_TGL]]="","",Table1[[#This Row],[H_TGL]]+C$1-1)</f>
        <v/>
      </c>
      <c r="H165" s="288" t="str">
        <f ca="1">IF(Table1[[#This Row],[h_No. Invoice :]]="","",CONCATENATE("AM"," ",Table1[[#This Row],[h_No. Invoice :]]))</f>
        <v/>
      </c>
      <c r="I165" s="289" t="str">
        <f>CONCATENATE(UPPER(Table1[[#This Row],[h_Kode Sales :_1]])," ",Table1[[#This Row],[h_Kode Sales :_2]])</f>
        <v xml:space="preserve"> </v>
      </c>
      <c r="J165" s="288" t="str">
        <f>IF(Table1[[#This Row],[h_toko]]="","",INDEX(Table2[e],IF(Table1[[#This Row],[h_toko]]="","",MATCH(Table1[[#This Row],[h_toko]],Table2[a],0)),))</f>
        <v/>
      </c>
      <c r="O165" s="288" t="str">
        <f>IF(Table1[[#This Row],[h_Item Description]]="","",INDEX([1]!db[NB PAJAK],MATCH(Table1[[#This Row],[h_Item Description]],[1]!db[kode],0)))</f>
        <v/>
      </c>
      <c r="Q165" s="284"/>
      <c r="R165" s="285"/>
      <c r="T165" s="284" t="str">
        <f>Table1[[#This Row],[h_hargasetelahdiskon]]</f>
        <v/>
      </c>
      <c r="W165" s="288" t="str">
        <f ca="1">IF(Table1[[#This Row],[Item Description]]="","",IF(Table1[[#This Row],[//]]="",INDIRECT(ADDRESS(ROW()-1,COLUMN())),Table1[[#This Row],[//]]))</f>
        <v/>
      </c>
      <c r="X165" s="288" t="str">
        <f ca="1">IF(Table1[[#This Row],[h_id]]="","",COUNTIF(Table1[h_id],Table1[[#This Row],[h_id]]))</f>
        <v/>
      </c>
      <c r="Y165" s="284" t="str">
        <f>IF(Table1[Item Description]="","",Table1[[#This Row],[Qty]]*Table1[[#This Row],[Unit Price]])</f>
        <v/>
      </c>
      <c r="Z165" s="284" t="str">
        <f>IF(Table1[[#This Row],[h_hargasebelumdiskon]]="","",IF(Table1[[#This Row],[Disc 1]]="",0,Table1[[#This Row],[h_hargasebelumdiskon]]*Table1[[#This Row],[Disc 1]]))</f>
        <v/>
      </c>
      <c r="AA165" s="284" t="str">
        <f>IF(Table1[[#This Row],[h_hargasebelumdiskon]]="","",IF(Table1[[#This Row],[Disc 2]]="",0,(Table1[[#This Row],[h_hargasebelumdiskon]]-Table1[[#This Row],[h_disc 1]])*Table1[[#This Row],[Disc 2]]))</f>
        <v/>
      </c>
      <c r="AB165" s="284" t="str">
        <f>IF(Table1[Item Description]="","",Table1[[#This Row],[h_disc 1]]+Table1[[#This Row],[h_disc 2]])</f>
        <v/>
      </c>
      <c r="AC165" s="284" t="str">
        <f>IF(Table1[Item Description]="","",Table1[[#This Row],[h_hargasebelumdiskon]]-Table1[[#This Row],[h_diskon]])</f>
        <v/>
      </c>
      <c r="AD165" s="284" t="str">
        <f ca="1">IF(Table1[//]="","",SUMIF(Table1[h_id],Table1[h_id],Table1[h_hargasetelahdiskon]))</f>
        <v/>
      </c>
      <c r="AE165" s="284"/>
      <c r="AF165" s="284" t="str">
        <f>Table1[[#This Row],[Item Description]]&amp;Table1[[#This Row],[Unit]]&amp;Table1[[#This Row],[Unit Price]]</f>
        <v/>
      </c>
    </row>
    <row r="166" spans="1:32" x14ac:dyDescent="0.25">
      <c r="A166" s="288">
        <f ca="1">IF(Table1[[#This Row],[No. Invoice :]]="","",ROW())</f>
        <v>166</v>
      </c>
      <c r="B166" s="288">
        <f ca="1">IF(Table1[h_Kode Sales :_1]="","",B$1+COUNT(INDIRECT("B$2:B"&amp;ROW()-1)))</f>
        <v>23070042</v>
      </c>
      <c r="C166" s="282">
        <f>IF(Table1[[#This Row],[H_TGL]]="","",Table1[[#This Row],[H_TGL]]+C$1-1)</f>
        <v>45136</v>
      </c>
      <c r="D166" s="293">
        <v>29</v>
      </c>
      <c r="E166" s="281" t="s">
        <v>129</v>
      </c>
      <c r="F166" s="283" t="s">
        <v>366</v>
      </c>
      <c r="G166" s="281" t="s">
        <v>93</v>
      </c>
      <c r="H166" s="288" t="str">
        <f ca="1">IF(Table1[[#This Row],[h_No. Invoice :]]="","",CONCATENATE("AM"," ",Table1[[#This Row],[h_No. Invoice :]]))</f>
        <v>AM 23070042</v>
      </c>
      <c r="I166" s="289" t="str">
        <f>CONCATENATE(UPPER(Table1[[#This Row],[h_Kode Sales :_1]])," ",Table1[[#This Row],[h_Kode Sales :_2]])</f>
        <v>G 2686</v>
      </c>
      <c r="J166" s="288" t="str">
        <f>IF(Table1[[#This Row],[h_toko]]="","",INDEX(Table2[e],IF(Table1[[#This Row],[h_toko]]="","",MATCH(Table1[[#This Row],[h_toko]],Table2[a],0)),))</f>
        <v>LILY JULIAWATI (REJO AGUNG) JOMBANG</v>
      </c>
      <c r="K166" s="281">
        <v>288</v>
      </c>
      <c r="L166" s="281" t="s">
        <v>155</v>
      </c>
      <c r="M166" s="281">
        <v>1</v>
      </c>
      <c r="N166" s="281" t="s">
        <v>367</v>
      </c>
      <c r="O166" s="288" t="e">
        <f>IF(Table1[[#This Row],[h_Item Description]]="","",INDEX([1]!db[NB PAJAK],MATCH(Table1[[#This Row],[h_Item Description]],[1]!db[kode],0)))</f>
        <v>#N/A</v>
      </c>
      <c r="P166" s="281" t="s">
        <v>369</v>
      </c>
      <c r="Q166" s="284">
        <v>4800</v>
      </c>
      <c r="R166" s="285">
        <v>0.125</v>
      </c>
      <c r="T166" s="284">
        <f>Table1[[#This Row],[h_hargasetelahdiskon]]</f>
        <v>1209600</v>
      </c>
      <c r="U166" s="284" t="s">
        <v>149</v>
      </c>
      <c r="W166" s="288">
        <f ca="1">IF(Table1[[#This Row],[Item Description]]="","",IF(Table1[[#This Row],[//]]="",INDIRECT(ADDRESS(ROW()-1,COLUMN())),Table1[[#This Row],[//]]))</f>
        <v>166</v>
      </c>
      <c r="X166" s="288">
        <f ca="1">IF(Table1[[#This Row],[h_id]]="","",COUNTIF(Table1[h_id],Table1[[#This Row],[h_id]]))</f>
        <v>3</v>
      </c>
      <c r="Y166" s="284">
        <f>IF(Table1[Item Description]="","",Table1[[#This Row],[Qty]]*Table1[[#This Row],[Unit Price]])</f>
        <v>1382400</v>
      </c>
      <c r="Z166" s="284">
        <f>IF(Table1[[#This Row],[h_hargasebelumdiskon]]="","",IF(Table1[[#This Row],[Disc 1]]="",0,Table1[[#This Row],[h_hargasebelumdiskon]]*Table1[[#This Row],[Disc 1]]))</f>
        <v>172800</v>
      </c>
      <c r="AA166" s="284">
        <f>IF(Table1[[#This Row],[h_hargasebelumdiskon]]="","",IF(Table1[[#This Row],[Disc 2]]="",0,(Table1[[#This Row],[h_hargasebelumdiskon]]-Table1[[#This Row],[h_disc 1]])*Table1[[#This Row],[Disc 2]]))</f>
        <v>0</v>
      </c>
      <c r="AB166" s="284">
        <f>IF(Table1[Item Description]="","",Table1[[#This Row],[h_disc 1]]+Table1[[#This Row],[h_disc 2]])</f>
        <v>172800</v>
      </c>
      <c r="AC166" s="284">
        <f>IF(Table1[Item Description]="","",Table1[[#This Row],[h_hargasebelumdiskon]]-Table1[[#This Row],[h_diskon]])</f>
        <v>1209600</v>
      </c>
      <c r="AD166" s="284">
        <f ca="1">IF(Table1[//]="","",SUMIF(Table1[h_id],Table1[h_id],Table1[h_hargasetelahdiskon]))</f>
        <v>9185400</v>
      </c>
      <c r="AE166" s="284"/>
      <c r="AF166" s="284" t="str">
        <f>Table1[[#This Row],[Item Description]]&amp;Table1[[#This Row],[Unit]]&amp;Table1[[#This Row],[Unit Price]]</f>
        <v>PENCIL CASE JOYKO PC-0719 FANCYPCS4800</v>
      </c>
    </row>
    <row r="167" spans="1:32" x14ac:dyDescent="0.25">
      <c r="A167" s="288" t="str">
        <f ca="1">IF(Table1[[#This Row],[No. Invoice :]]="","",ROW())</f>
        <v/>
      </c>
      <c r="B167" s="288" t="str">
        <f ca="1">IF(Table1[h_Kode Sales :_1]="","",B$1+COUNT(INDIRECT("B$2:B"&amp;ROW()-1)))</f>
        <v/>
      </c>
      <c r="C167" s="282" t="str">
        <f>IF(Table1[[#This Row],[H_TGL]]="","",Table1[[#This Row],[H_TGL]]+C$1-1)</f>
        <v/>
      </c>
      <c r="H167" s="288" t="str">
        <f ca="1">IF(Table1[[#This Row],[h_No. Invoice :]]="","",CONCATENATE("AM"," ",Table1[[#This Row],[h_No. Invoice :]]))</f>
        <v/>
      </c>
      <c r="I167" s="289" t="str">
        <f>CONCATENATE(UPPER(Table1[[#This Row],[h_Kode Sales :_1]])," ",Table1[[#This Row],[h_Kode Sales :_2]])</f>
        <v xml:space="preserve"> </v>
      </c>
      <c r="J167" s="288" t="str">
        <f>IF(Table1[[#This Row],[h_toko]]="","",INDEX(Table2[e],IF(Table1[[#This Row],[h_toko]]="","",MATCH(Table1[[#This Row],[h_toko]],Table2[a],0)),))</f>
        <v/>
      </c>
      <c r="K167" s="281">
        <v>216</v>
      </c>
      <c r="L167" s="281" t="s">
        <v>155</v>
      </c>
      <c r="M167" s="281">
        <v>3</v>
      </c>
      <c r="N167" s="281" t="s">
        <v>368</v>
      </c>
      <c r="O167" s="288" t="e">
        <f>IF(Table1[[#This Row],[h_Item Description]]="","",INDEX([1]!db[NB PAJAK],MATCH(Table1[[#This Row],[h_Item Description]],[1]!db[kode],0)))</f>
        <v>#N/A</v>
      </c>
      <c r="P167" s="281" t="s">
        <v>370</v>
      </c>
      <c r="Q167" s="284">
        <v>15800</v>
      </c>
      <c r="R167" s="285">
        <v>0.125</v>
      </c>
      <c r="T167" s="284">
        <f>Table1[[#This Row],[h_hargasetelahdiskon]]</f>
        <v>2986200</v>
      </c>
      <c r="W167" s="288">
        <f ca="1">IF(Table1[[#This Row],[Item Description]]="","",IF(Table1[[#This Row],[//]]="",INDIRECT(ADDRESS(ROW()-1,COLUMN())),Table1[[#This Row],[//]]))</f>
        <v>166</v>
      </c>
      <c r="X167" s="288">
        <f ca="1">IF(Table1[[#This Row],[h_id]]="","",COUNTIF(Table1[h_id],Table1[[#This Row],[h_id]]))</f>
        <v>3</v>
      </c>
      <c r="Y167" s="284">
        <f>IF(Table1[Item Description]="","",Table1[[#This Row],[Qty]]*Table1[[#This Row],[Unit Price]])</f>
        <v>3412800</v>
      </c>
      <c r="Z167" s="284">
        <f>IF(Table1[[#This Row],[h_hargasebelumdiskon]]="","",IF(Table1[[#This Row],[Disc 1]]="",0,Table1[[#This Row],[h_hargasebelumdiskon]]*Table1[[#This Row],[Disc 1]]))</f>
        <v>426600</v>
      </c>
      <c r="AA167" s="284">
        <f>IF(Table1[[#This Row],[h_hargasebelumdiskon]]="","",IF(Table1[[#This Row],[Disc 2]]="",0,(Table1[[#This Row],[h_hargasebelumdiskon]]-Table1[[#This Row],[h_disc 1]])*Table1[[#This Row],[Disc 2]]))</f>
        <v>0</v>
      </c>
      <c r="AB167" s="284">
        <f>IF(Table1[Item Description]="","",Table1[[#This Row],[h_disc 1]]+Table1[[#This Row],[h_disc 2]])</f>
        <v>426600</v>
      </c>
      <c r="AC167" s="284">
        <f>IF(Table1[Item Description]="","",Table1[[#This Row],[h_hargasebelumdiskon]]-Table1[[#This Row],[h_diskon]])</f>
        <v>2986200</v>
      </c>
      <c r="AD167" s="284" t="str">
        <f ca="1">IF(Table1[//]="","",SUMIF(Table1[h_id],Table1[h_id],Table1[h_hargasetelahdiskon]))</f>
        <v/>
      </c>
      <c r="AE167" s="284"/>
      <c r="AF167" s="284" t="str">
        <f>Table1[[#This Row],[Item Description]]&amp;Table1[[#This Row],[Unit]]&amp;Table1[[#This Row],[Unit Price]]</f>
        <v>BINDER NOTE JOYKO A5 (CAMPUS/CLASSIC)PCS15800</v>
      </c>
    </row>
    <row r="168" spans="1:32" ht="16.5" x14ac:dyDescent="0.25">
      <c r="A168" s="288" t="str">
        <f ca="1">IF(Table1[[#This Row],[No. Invoice :]]="","",ROW())</f>
        <v/>
      </c>
      <c r="B168" s="288" t="str">
        <f ca="1">IF(Table1[h_Kode Sales :_1]="","",B$1+COUNT(INDIRECT("B$2:B"&amp;ROW()-1)))</f>
        <v/>
      </c>
      <c r="C168" s="282" t="str">
        <f>IF(Table1[[#This Row],[H_TGL]]="","",Table1[[#This Row],[H_TGL]]+C$1-1)</f>
        <v/>
      </c>
      <c r="H168" s="288" t="str">
        <f ca="1">IF(Table1[[#This Row],[h_No. Invoice :]]="","",CONCATENATE("AM"," ",Table1[[#This Row],[h_No. Invoice :]]))</f>
        <v/>
      </c>
      <c r="I168" s="289" t="str">
        <f>CONCATENATE(UPPER(Table1[[#This Row],[h_Kode Sales :_1]])," ",Table1[[#This Row],[h_Kode Sales :_2]])</f>
        <v xml:space="preserve"> </v>
      </c>
      <c r="J168" s="288" t="str">
        <f>IF(Table1[[#This Row],[h_toko]]="","",INDEX(Table2[e],IF(Table1[[#This Row],[h_toko]]="","",MATCH(Table1[[#This Row],[h_toko]],Table2[a],0)),))</f>
        <v/>
      </c>
      <c r="K168" s="281">
        <v>288</v>
      </c>
      <c r="L168" s="281" t="s">
        <v>142</v>
      </c>
      <c r="M168" s="281">
        <v>2</v>
      </c>
      <c r="N168" s="281" t="s">
        <v>282</v>
      </c>
      <c r="O168" s="288" t="str">
        <f>IF(Table1[[#This Row],[h_Item Description]]="","",INDEX([1]!db[NB PAJAK],MATCH(Table1[[#This Row],[h_Item Description]],[1]!db[kode],0)))</f>
        <v>ISI PENSIL 2B 2.0 MM JOYKO PL-10</v>
      </c>
      <c r="P168" s="291" t="s">
        <v>283</v>
      </c>
      <c r="Q168" s="284">
        <v>19800</v>
      </c>
      <c r="R168" s="285">
        <v>0.125</v>
      </c>
      <c r="T168" s="284">
        <f>Table1[[#This Row],[h_hargasetelahdiskon]]</f>
        <v>4989600</v>
      </c>
      <c r="W168" s="288">
        <f ca="1">IF(Table1[[#This Row],[Item Description]]="","",IF(Table1[[#This Row],[//]]="",INDIRECT(ADDRESS(ROW()-1,COLUMN())),Table1[[#This Row],[//]]))</f>
        <v>166</v>
      </c>
      <c r="X168" s="288">
        <f ca="1">IF(Table1[[#This Row],[h_id]]="","",COUNTIF(Table1[h_id],Table1[[#This Row],[h_id]]))</f>
        <v>3</v>
      </c>
      <c r="Y168" s="284">
        <f>IF(Table1[Item Description]="","",Table1[[#This Row],[Qty]]*Table1[[#This Row],[Unit Price]])</f>
        <v>5702400</v>
      </c>
      <c r="Z168" s="284">
        <f>IF(Table1[[#This Row],[h_hargasebelumdiskon]]="","",IF(Table1[[#This Row],[Disc 1]]="",0,Table1[[#This Row],[h_hargasebelumdiskon]]*Table1[[#This Row],[Disc 1]]))</f>
        <v>712800</v>
      </c>
      <c r="AA168" s="284">
        <f>IF(Table1[[#This Row],[h_hargasebelumdiskon]]="","",IF(Table1[[#This Row],[Disc 2]]="",0,(Table1[[#This Row],[h_hargasebelumdiskon]]-Table1[[#This Row],[h_disc 1]])*Table1[[#This Row],[Disc 2]]))</f>
        <v>0</v>
      </c>
      <c r="AB168" s="284">
        <f>IF(Table1[Item Description]="","",Table1[[#This Row],[h_disc 1]]+Table1[[#This Row],[h_disc 2]])</f>
        <v>712800</v>
      </c>
      <c r="AC168" s="284">
        <f>IF(Table1[Item Description]="","",Table1[[#This Row],[h_hargasebelumdiskon]]-Table1[[#This Row],[h_diskon]])</f>
        <v>4989600</v>
      </c>
      <c r="AD168" s="284" t="str">
        <f ca="1">IF(Table1[//]="","",SUMIF(Table1[h_id],Table1[h_id],Table1[h_hargasetelahdiskon]))</f>
        <v/>
      </c>
      <c r="AE168" s="284"/>
      <c r="AF168" s="284" t="str">
        <f>Table1[[#This Row],[Item Description]]&amp;Table1[[#This Row],[Unit]]&amp;Table1[[#This Row],[Unit Price]]</f>
        <v>ISI PENSIL 2B 2.0 MM JOYKO PL-10LSN19800</v>
      </c>
    </row>
    <row r="169" spans="1:32" x14ac:dyDescent="0.25">
      <c r="A169" s="288" t="str">
        <f ca="1">IF(Table1[[#This Row],[No. Invoice :]]="","",ROW())</f>
        <v/>
      </c>
      <c r="B169" s="288" t="str">
        <f ca="1">IF(Table1[h_Kode Sales :_1]="","",B$1+COUNT(INDIRECT("B$2:B"&amp;ROW()-1)))</f>
        <v/>
      </c>
      <c r="C169" s="282" t="str">
        <f>IF(Table1[[#This Row],[H_TGL]]="","",Table1[[#This Row],[H_TGL]]+C$1-1)</f>
        <v/>
      </c>
      <c r="H169" s="288" t="str">
        <f ca="1">IF(Table1[[#This Row],[h_No. Invoice :]]="","",CONCATENATE("AM"," ",Table1[[#This Row],[h_No. Invoice :]]))</f>
        <v/>
      </c>
      <c r="I169" s="289" t="str">
        <f>CONCATENATE(UPPER(Table1[[#This Row],[h_Kode Sales :_1]])," ",Table1[[#This Row],[h_Kode Sales :_2]])</f>
        <v xml:space="preserve"> </v>
      </c>
      <c r="J169" s="288" t="str">
        <f>IF(Table1[[#This Row],[h_toko]]="","",INDEX(Table2[e],IF(Table1[[#This Row],[h_toko]]="","",MATCH(Table1[[#This Row],[h_toko]],Table2[a],0)),))</f>
        <v/>
      </c>
      <c r="O169" s="288" t="str">
        <f>IF(Table1[[#This Row],[h_Item Description]]="","",INDEX([1]!db[NB PAJAK],MATCH(Table1[[#This Row],[h_Item Description]],[1]!db[kode],0)))</f>
        <v/>
      </c>
      <c r="Q169" s="284"/>
      <c r="R169" s="285"/>
      <c r="T169" s="284" t="str">
        <f>Table1[[#This Row],[h_hargasetelahdiskon]]</f>
        <v/>
      </c>
      <c r="W169" s="288" t="str">
        <f ca="1">IF(Table1[[#This Row],[Item Description]]="","",IF(Table1[[#This Row],[//]]="",INDIRECT(ADDRESS(ROW()-1,COLUMN())),Table1[[#This Row],[//]]))</f>
        <v/>
      </c>
      <c r="X169" s="288" t="str">
        <f ca="1">IF(Table1[[#This Row],[h_id]]="","",COUNTIF(Table1[h_id],Table1[[#This Row],[h_id]]))</f>
        <v/>
      </c>
      <c r="Y169" s="284" t="str">
        <f>IF(Table1[Item Description]="","",Table1[[#This Row],[Qty]]*Table1[[#This Row],[Unit Price]])</f>
        <v/>
      </c>
      <c r="Z169" s="284" t="str">
        <f>IF(Table1[[#This Row],[h_hargasebelumdiskon]]="","",IF(Table1[[#This Row],[Disc 1]]="",0,Table1[[#This Row],[h_hargasebelumdiskon]]*Table1[[#This Row],[Disc 1]]))</f>
        <v/>
      </c>
      <c r="AA169" s="284" t="str">
        <f>IF(Table1[[#This Row],[h_hargasebelumdiskon]]="","",IF(Table1[[#This Row],[Disc 2]]="",0,(Table1[[#This Row],[h_hargasebelumdiskon]]-Table1[[#This Row],[h_disc 1]])*Table1[[#This Row],[Disc 2]]))</f>
        <v/>
      </c>
      <c r="AB169" s="284" t="str">
        <f>IF(Table1[Item Description]="","",Table1[[#This Row],[h_disc 1]]+Table1[[#This Row],[h_disc 2]])</f>
        <v/>
      </c>
      <c r="AC169" s="284" t="str">
        <f>IF(Table1[Item Description]="","",Table1[[#This Row],[h_hargasebelumdiskon]]-Table1[[#This Row],[h_diskon]])</f>
        <v/>
      </c>
      <c r="AD169" s="284" t="str">
        <f ca="1">IF(Table1[//]="","",SUMIF(Table1[h_id],Table1[h_id],Table1[h_hargasetelahdiskon]))</f>
        <v/>
      </c>
      <c r="AE169" s="284"/>
      <c r="AF169" s="284" t="str">
        <f>Table1[[#This Row],[Item Description]]&amp;Table1[[#This Row],[Unit]]&amp;Table1[[#This Row],[Unit Price]]</f>
        <v/>
      </c>
    </row>
    <row r="170" spans="1:32" x14ac:dyDescent="0.25">
      <c r="A170" s="288">
        <f ca="1">IF(Table1[[#This Row],[No. Invoice :]]="","",ROW())</f>
        <v>170</v>
      </c>
      <c r="B170" s="288">
        <f ca="1">IF(Table1[h_Kode Sales :_1]="","",B$1+COUNT(INDIRECT("B$2:B"&amp;ROW()-1)))</f>
        <v>23070043</v>
      </c>
      <c r="C170" s="282">
        <f>IF(Table1[[#This Row],[H_TGL]]="","",Table1[[#This Row],[H_TGL]]+C$1-1)</f>
        <v>45138</v>
      </c>
      <c r="D170" s="293">
        <v>31</v>
      </c>
      <c r="E170" s="281" t="s">
        <v>122</v>
      </c>
      <c r="F170" s="283" t="s">
        <v>371</v>
      </c>
      <c r="G170" s="281" t="s">
        <v>91</v>
      </c>
      <c r="H170" s="288" t="str">
        <f ca="1">IF(Table1[[#This Row],[h_No. Invoice :]]="","",CONCATENATE("AM"," ",Table1[[#This Row],[h_No. Invoice :]]))</f>
        <v>AM 23070043</v>
      </c>
      <c r="I170" s="289" t="str">
        <f>CONCATENATE(UPPER(Table1[[#This Row],[h_Kode Sales :_1]])," ",Table1[[#This Row],[h_Kode Sales :_2]])</f>
        <v>KO 2379</v>
      </c>
      <c r="J170" s="288" t="str">
        <f>IF(Table1[[#This Row],[h_toko]]="","",INDEX(Table2[e],IF(Table1[[#This Row],[h_toko]]="","",MATCH(Table1[[#This Row],[h_toko]],Table2[a],0)),))</f>
        <v>CV  WISUDA PURWOKERTO</v>
      </c>
      <c r="K170" s="281">
        <v>10</v>
      </c>
      <c r="L170" s="281" t="s">
        <v>142</v>
      </c>
      <c r="N170" s="281" t="s">
        <v>333</v>
      </c>
      <c r="O170" s="288" t="str">
        <f>IF(Table1[[#This Row],[h_Item Description]]="","",INDEX([1]!db[NB PAJAK],MATCH(Table1[[#This Row],[h_Item Description]],[1]!db[kode],0)))</f>
        <v>ISI CUTTER 9 MM KENKO A-100 (KECIL)</v>
      </c>
      <c r="P170" s="281" t="s">
        <v>343</v>
      </c>
      <c r="Q170" s="284">
        <v>32400</v>
      </c>
      <c r="R170" s="285">
        <v>0.1</v>
      </c>
      <c r="T170" s="284">
        <f>Table1[[#This Row],[h_hargasetelahdiskon]]</f>
        <v>291600</v>
      </c>
      <c r="U170" s="284" t="s">
        <v>149</v>
      </c>
      <c r="W170" s="288">
        <f ca="1">IF(Table1[[#This Row],[Item Description]]="","",IF(Table1[[#This Row],[//]]="",INDIRECT(ADDRESS(ROW()-1,COLUMN())),Table1[[#This Row],[//]]))</f>
        <v>170</v>
      </c>
      <c r="X170" s="288">
        <f ca="1">IF(Table1[[#This Row],[h_id]]="","",COUNTIF(Table1[h_id],Table1[[#This Row],[h_id]]))</f>
        <v>3</v>
      </c>
      <c r="Y170" s="284">
        <f>IF(Table1[Item Description]="","",Table1[[#This Row],[Qty]]*Table1[[#This Row],[Unit Price]])</f>
        <v>324000</v>
      </c>
      <c r="Z170" s="284">
        <f>IF(Table1[[#This Row],[h_hargasebelumdiskon]]="","",IF(Table1[[#This Row],[Disc 1]]="",0,Table1[[#This Row],[h_hargasebelumdiskon]]*Table1[[#This Row],[Disc 1]]))</f>
        <v>32400</v>
      </c>
      <c r="AA170" s="284">
        <f>IF(Table1[[#This Row],[h_hargasebelumdiskon]]="","",IF(Table1[[#This Row],[Disc 2]]="",0,(Table1[[#This Row],[h_hargasebelumdiskon]]-Table1[[#This Row],[h_disc 1]])*Table1[[#This Row],[Disc 2]]))</f>
        <v>0</v>
      </c>
      <c r="AB170" s="284">
        <f>IF(Table1[Item Description]="","",Table1[[#This Row],[h_disc 1]]+Table1[[#This Row],[h_disc 2]])</f>
        <v>32400</v>
      </c>
      <c r="AC170" s="284">
        <f>IF(Table1[Item Description]="","",Table1[[#This Row],[h_hargasebelumdiskon]]-Table1[[#This Row],[h_diskon]])</f>
        <v>291600</v>
      </c>
      <c r="AD170" s="284">
        <f ca="1">IF(Table1[//]="","",SUMIF(Table1[h_id],Table1[h_id],Table1[h_hargasetelahdiskon]))</f>
        <v>727200</v>
      </c>
      <c r="AE170" s="284"/>
      <c r="AF170" s="284" t="str">
        <f>Table1[[#This Row],[Item Description]]&amp;Table1[[#This Row],[Unit]]&amp;Table1[[#This Row],[Unit Price]]</f>
        <v>ISI CUTTER 9 MM KENKO A-100 (KECIL)LSN32400</v>
      </c>
    </row>
    <row r="171" spans="1:32" x14ac:dyDescent="0.25">
      <c r="A171" s="288" t="str">
        <f ca="1">IF(Table1[[#This Row],[No. Invoice :]]="","",ROW())</f>
        <v/>
      </c>
      <c r="B171" s="288" t="str">
        <f ca="1">IF(Table1[h_Kode Sales :_1]="","",B$1+COUNT(INDIRECT("B$2:B"&amp;ROW()-1)))</f>
        <v/>
      </c>
      <c r="C171" s="282" t="str">
        <f>IF(Table1[[#This Row],[H_TGL]]="","",Table1[[#This Row],[H_TGL]]+C$1-1)</f>
        <v/>
      </c>
      <c r="H171" s="288" t="str">
        <f ca="1">IF(Table1[[#This Row],[h_No. Invoice :]]="","",CONCATENATE("AM"," ",Table1[[#This Row],[h_No. Invoice :]]))</f>
        <v/>
      </c>
      <c r="I171" s="289" t="str">
        <f>CONCATENATE(UPPER(Table1[[#This Row],[h_Kode Sales :_1]])," ",Table1[[#This Row],[h_Kode Sales :_2]])</f>
        <v xml:space="preserve"> </v>
      </c>
      <c r="J171" s="288" t="str">
        <f>IF(Table1[[#This Row],[h_toko]]="","",INDEX(Table2[e],IF(Table1[[#This Row],[h_toko]]="","",MATCH(Table1[[#This Row],[h_toko]],Table2[a],0)),))</f>
        <v/>
      </c>
      <c r="K171" s="281">
        <v>100</v>
      </c>
      <c r="L171" s="281" t="s">
        <v>155</v>
      </c>
      <c r="O171" s="288" t="s">
        <v>372</v>
      </c>
      <c r="P171" s="281" t="s">
        <v>372</v>
      </c>
      <c r="Q171" s="284">
        <v>3700</v>
      </c>
      <c r="R171" s="285">
        <v>0.1</v>
      </c>
      <c r="T171" s="284">
        <f>Table1[[#This Row],[h_hargasetelahdiskon]]</f>
        <v>333000</v>
      </c>
      <c r="W171" s="288">
        <f ca="1">IF(Table1[[#This Row],[Item Description]]="","",IF(Table1[[#This Row],[//]]="",INDIRECT(ADDRESS(ROW()-1,COLUMN())),Table1[[#This Row],[//]]))</f>
        <v>170</v>
      </c>
      <c r="X171" s="288">
        <f ca="1">IF(Table1[[#This Row],[h_id]]="","",COUNTIF(Table1[h_id],Table1[[#This Row],[h_id]]))</f>
        <v>3</v>
      </c>
      <c r="Y171" s="284">
        <f>IF(Table1[Item Description]="","",Table1[[#This Row],[Qty]]*Table1[[#This Row],[Unit Price]])</f>
        <v>370000</v>
      </c>
      <c r="Z171" s="284">
        <f>IF(Table1[[#This Row],[h_hargasebelumdiskon]]="","",IF(Table1[[#This Row],[Disc 1]]="",0,Table1[[#This Row],[h_hargasebelumdiskon]]*Table1[[#This Row],[Disc 1]]))</f>
        <v>37000</v>
      </c>
      <c r="AA171" s="284">
        <f>IF(Table1[[#This Row],[h_hargasebelumdiskon]]="","",IF(Table1[[#This Row],[Disc 2]]="",0,(Table1[[#This Row],[h_hargasebelumdiskon]]-Table1[[#This Row],[h_disc 1]])*Table1[[#This Row],[Disc 2]]))</f>
        <v>0</v>
      </c>
      <c r="AB171" s="284">
        <f>IF(Table1[Item Description]="","",Table1[[#This Row],[h_disc 1]]+Table1[[#This Row],[h_disc 2]])</f>
        <v>37000</v>
      </c>
      <c r="AC171" s="284">
        <f>IF(Table1[Item Description]="","",Table1[[#This Row],[h_hargasebelumdiskon]]-Table1[[#This Row],[h_diskon]])</f>
        <v>333000</v>
      </c>
      <c r="AD171" s="284" t="str">
        <f ca="1">IF(Table1[//]="","",SUMIF(Table1[h_id],Table1[h_id],Table1[h_hargasetelahdiskon]))</f>
        <v/>
      </c>
      <c r="AE171" s="284"/>
      <c r="AF171" s="284" t="str">
        <f>Table1[[#This Row],[Item Description]]&amp;Table1[[#This Row],[Unit]]&amp;Table1[[#This Row],[Unit Price]]</f>
        <v>HIGHLIGHTER / STABILLO JOYKO HL-MIX PINK / ORANGEPCS3700</v>
      </c>
    </row>
    <row r="172" spans="1:32" x14ac:dyDescent="0.25">
      <c r="A172" s="288" t="str">
        <f ca="1">IF(Table1[[#This Row],[No. Invoice :]]="","",ROW())</f>
        <v/>
      </c>
      <c r="B172" s="288" t="str">
        <f ca="1">IF(Table1[h_Kode Sales :_1]="","",B$1+COUNT(INDIRECT("B$2:B"&amp;ROW()-1)))</f>
        <v/>
      </c>
      <c r="C172" s="282" t="str">
        <f>IF(Table1[[#This Row],[H_TGL]]="","",Table1[[#This Row],[H_TGL]]+C$1-1)</f>
        <v/>
      </c>
      <c r="H172" s="288" t="str">
        <f ca="1">IF(Table1[[#This Row],[h_No. Invoice :]]="","",CONCATENATE("AM"," ",Table1[[#This Row],[h_No. Invoice :]]))</f>
        <v/>
      </c>
      <c r="I172" s="289" t="str">
        <f>CONCATENATE(UPPER(Table1[[#This Row],[h_Kode Sales :_1]])," ",Table1[[#This Row],[h_Kode Sales :_2]])</f>
        <v xml:space="preserve"> </v>
      </c>
      <c r="J172" s="288" t="str">
        <f>IF(Table1[[#This Row],[h_toko]]="","",INDEX(Table2[e],IF(Table1[[#This Row],[h_toko]]="","",MATCH(Table1[[#This Row],[h_toko]],Table2[a],0)),))</f>
        <v/>
      </c>
      <c r="K172" s="281">
        <v>2</v>
      </c>
      <c r="L172" s="281" t="s">
        <v>142</v>
      </c>
      <c r="N172" s="281" t="s">
        <v>305</v>
      </c>
      <c r="O172" s="288" t="str">
        <f>IF(Table1[[#This Row],[h_Item Description]]="","",INDEX([1]!db[NB PAJAK],MATCH(Table1[[#This Row],[h_Item Description]],[1]!db[kode],0)))</f>
        <v>CUTTER 9 MM KENKO A-300 (KECIL)</v>
      </c>
      <c r="P172" s="281" t="s">
        <v>306</v>
      </c>
      <c r="Q172" s="284">
        <v>57000</v>
      </c>
      <c r="R172" s="285">
        <v>0.1</v>
      </c>
      <c r="T172" s="284">
        <f>Table1[[#This Row],[h_hargasetelahdiskon]]</f>
        <v>102600</v>
      </c>
      <c r="W172" s="288">
        <f ca="1">IF(Table1[[#This Row],[Item Description]]="","",IF(Table1[[#This Row],[//]]="",INDIRECT(ADDRESS(ROW()-1,COLUMN())),Table1[[#This Row],[//]]))</f>
        <v>170</v>
      </c>
      <c r="X172" s="288">
        <f ca="1">IF(Table1[[#This Row],[h_id]]="","",COUNTIF(Table1[h_id],Table1[[#This Row],[h_id]]))</f>
        <v>3</v>
      </c>
      <c r="Y172" s="284">
        <f>IF(Table1[Item Description]="","",Table1[[#This Row],[Qty]]*Table1[[#This Row],[Unit Price]])</f>
        <v>114000</v>
      </c>
      <c r="Z172" s="284">
        <f>IF(Table1[[#This Row],[h_hargasebelumdiskon]]="","",IF(Table1[[#This Row],[Disc 1]]="",0,Table1[[#This Row],[h_hargasebelumdiskon]]*Table1[[#This Row],[Disc 1]]))</f>
        <v>11400</v>
      </c>
      <c r="AA172" s="284">
        <f>IF(Table1[[#This Row],[h_hargasebelumdiskon]]="","",IF(Table1[[#This Row],[Disc 2]]="",0,(Table1[[#This Row],[h_hargasebelumdiskon]]-Table1[[#This Row],[h_disc 1]])*Table1[[#This Row],[Disc 2]]))</f>
        <v>0</v>
      </c>
      <c r="AB172" s="284">
        <f>IF(Table1[Item Description]="","",Table1[[#This Row],[h_disc 1]]+Table1[[#This Row],[h_disc 2]])</f>
        <v>11400</v>
      </c>
      <c r="AC172" s="284">
        <f>IF(Table1[Item Description]="","",Table1[[#This Row],[h_hargasebelumdiskon]]-Table1[[#This Row],[h_diskon]])</f>
        <v>102600</v>
      </c>
      <c r="AD172" s="284" t="str">
        <f ca="1">IF(Table1[//]="","",SUMIF(Table1[h_id],Table1[h_id],Table1[h_hargasetelahdiskon]))</f>
        <v/>
      </c>
      <c r="AE172" s="284"/>
      <c r="AF172" s="284" t="str">
        <f>Table1[[#This Row],[Item Description]]&amp;Table1[[#This Row],[Unit]]&amp;Table1[[#This Row],[Unit Price]]</f>
        <v>CUTTER 9 MM KENKO A-300 (KECIL)LSN57000</v>
      </c>
    </row>
    <row r="173" spans="1:32" x14ac:dyDescent="0.25">
      <c r="A173" s="288" t="str">
        <f ca="1">IF(Table1[[#This Row],[No. Invoice :]]="","",ROW())</f>
        <v/>
      </c>
      <c r="B173" s="288" t="str">
        <f ca="1">IF(Table1[h_Kode Sales :_1]="","",B$1+COUNT(INDIRECT("B$2:B"&amp;ROW()-1)))</f>
        <v/>
      </c>
      <c r="C173" s="282" t="str">
        <f>IF(Table1[[#This Row],[H_TGL]]="","",Table1[[#This Row],[H_TGL]]+C$1-1)</f>
        <v/>
      </c>
      <c r="H173" s="288" t="str">
        <f ca="1">IF(Table1[[#This Row],[h_No. Invoice :]]="","",CONCATENATE("AM"," ",Table1[[#This Row],[h_No. Invoice :]]))</f>
        <v/>
      </c>
      <c r="I173" s="289" t="str">
        <f>CONCATENATE(UPPER(Table1[[#This Row],[h_Kode Sales :_1]])," ",Table1[[#This Row],[h_Kode Sales :_2]])</f>
        <v xml:space="preserve"> </v>
      </c>
      <c r="J173" s="288" t="str">
        <f>IF(Table1[[#This Row],[h_toko]]="","",INDEX(Table2[e],IF(Table1[[#This Row],[h_toko]]="","",MATCH(Table1[[#This Row],[h_toko]],Table2[a],0)),))</f>
        <v/>
      </c>
      <c r="O173" s="288" t="str">
        <f>IF(Table1[[#This Row],[h_Item Description]]="","",INDEX([1]!db[NB PAJAK],MATCH(Table1[[#This Row],[h_Item Description]],[1]!db[kode],0)))</f>
        <v/>
      </c>
      <c r="Q173" s="284"/>
      <c r="R173" s="285"/>
      <c r="T173" s="284" t="str">
        <f>Table1[[#This Row],[h_hargasetelahdiskon]]</f>
        <v/>
      </c>
      <c r="W173" s="288" t="str">
        <f ca="1">IF(Table1[[#This Row],[Item Description]]="","",IF(Table1[[#This Row],[//]]="",INDIRECT(ADDRESS(ROW()-1,COLUMN())),Table1[[#This Row],[//]]))</f>
        <v/>
      </c>
      <c r="X173" s="288" t="str">
        <f ca="1">IF(Table1[[#This Row],[h_id]]="","",COUNTIF(Table1[h_id],Table1[[#This Row],[h_id]]))</f>
        <v/>
      </c>
      <c r="Y173" s="284" t="str">
        <f>IF(Table1[Item Description]="","",Table1[[#This Row],[Qty]]*Table1[[#This Row],[Unit Price]])</f>
        <v/>
      </c>
      <c r="Z173" s="284" t="str">
        <f>IF(Table1[[#This Row],[h_hargasebelumdiskon]]="","",IF(Table1[[#This Row],[Disc 1]]="",0,Table1[[#This Row],[h_hargasebelumdiskon]]*Table1[[#This Row],[Disc 1]]))</f>
        <v/>
      </c>
      <c r="AA173" s="284" t="str">
        <f>IF(Table1[[#This Row],[h_hargasebelumdiskon]]="","",IF(Table1[[#This Row],[Disc 2]]="",0,(Table1[[#This Row],[h_hargasebelumdiskon]]-Table1[[#This Row],[h_disc 1]])*Table1[[#This Row],[Disc 2]]))</f>
        <v/>
      </c>
      <c r="AB173" s="284" t="str">
        <f>IF(Table1[Item Description]="","",Table1[[#This Row],[h_disc 1]]+Table1[[#This Row],[h_disc 2]])</f>
        <v/>
      </c>
      <c r="AC173" s="284" t="str">
        <f>IF(Table1[Item Description]="","",Table1[[#This Row],[h_hargasebelumdiskon]]-Table1[[#This Row],[h_diskon]])</f>
        <v/>
      </c>
      <c r="AD173" s="284" t="str">
        <f ca="1">IF(Table1[//]="","",SUMIF(Table1[h_id],Table1[h_id],Table1[h_hargasetelahdiskon]))</f>
        <v/>
      </c>
      <c r="AE173" s="284"/>
      <c r="AF173" s="284" t="str">
        <f>Table1[[#This Row],[Item Description]]&amp;Table1[[#This Row],[Unit]]&amp;Table1[[#This Row],[Unit Price]]</f>
        <v/>
      </c>
    </row>
    <row r="174" spans="1:32" x14ac:dyDescent="0.25">
      <c r="A174" s="288">
        <f ca="1">IF(Table1[[#This Row],[No. Invoice :]]="","",ROW())</f>
        <v>174</v>
      </c>
      <c r="B174" s="288">
        <f ca="1">IF(Table1[h_Kode Sales :_1]="","",B$1+COUNT(INDIRECT("B$2:B"&amp;ROW()-1)))</f>
        <v>23070044</v>
      </c>
      <c r="C174" s="282">
        <f>IF(Table1[[#This Row],[H_TGL]]="","",Table1[[#This Row],[H_TGL]]+C$1-1)</f>
        <v>45138</v>
      </c>
      <c r="D174" s="293">
        <v>31</v>
      </c>
      <c r="E174" s="281" t="s">
        <v>122</v>
      </c>
      <c r="F174" s="283" t="s">
        <v>373</v>
      </c>
      <c r="G174" s="281" t="s">
        <v>84</v>
      </c>
      <c r="H174" s="288" t="str">
        <f ca="1">IF(Table1[[#This Row],[h_No. Invoice :]]="","",CONCATENATE("AM"," ",Table1[[#This Row],[h_No. Invoice :]]))</f>
        <v>AM 23070044</v>
      </c>
      <c r="I174" s="289" t="str">
        <f>CONCATENATE(UPPER(Table1[[#This Row],[h_Kode Sales :_1]])," ",Table1[[#This Row],[h_Kode Sales :_2]])</f>
        <v>KO 1816</v>
      </c>
      <c r="J174" s="288" t="str">
        <f>IF(Table1[[#This Row],[h_toko]]="","",INDEX(Table2[e],IF(Table1[[#This Row],[h_toko]]="","",MATCH(Table1[[#This Row],[h_toko]],Table2[a],0)),))</f>
        <v>CV PELITA JAYA (ANUGERAH SEJAHTERA) PURWOKERTO</v>
      </c>
      <c r="K174" s="281">
        <v>288</v>
      </c>
      <c r="L174" s="281" t="s">
        <v>142</v>
      </c>
      <c r="M174" s="281">
        <v>2</v>
      </c>
      <c r="N174" s="281" t="s">
        <v>303</v>
      </c>
      <c r="O174" s="288" t="str">
        <f>IF(Table1[[#This Row],[h_Item Description]]="","",INDEX([1]!db[NB PAJAK],MATCH(Table1[[#This Row],[h_Item Description]],[1]!db[kode],0)))</f>
        <v>BALLPEN JOYKO BP-338 VOCUS HITAM</v>
      </c>
      <c r="P174" s="281" t="s">
        <v>304</v>
      </c>
      <c r="Q174" s="284">
        <v>12600</v>
      </c>
      <c r="R174" s="285">
        <v>0.13500000000000001</v>
      </c>
      <c r="T174" s="284">
        <f>Table1[[#This Row],[h_hargasetelahdiskon]]</f>
        <v>3138912</v>
      </c>
      <c r="U174" s="284" t="s">
        <v>149</v>
      </c>
      <c r="W174" s="288">
        <f ca="1">IF(Table1[[#This Row],[Item Description]]="","",IF(Table1[[#This Row],[//]]="",INDIRECT(ADDRESS(ROW()-1,COLUMN())),Table1[[#This Row],[//]]))</f>
        <v>174</v>
      </c>
      <c r="X174" s="288">
        <f ca="1">IF(Table1[[#This Row],[h_id]]="","",COUNTIF(Table1[h_id],Table1[[#This Row],[h_id]]))</f>
        <v>1</v>
      </c>
      <c r="Y174" s="284">
        <f>IF(Table1[Item Description]="","",Table1[[#This Row],[Qty]]*Table1[[#This Row],[Unit Price]])</f>
        <v>3628800</v>
      </c>
      <c r="Z174" s="284">
        <f>IF(Table1[[#This Row],[h_hargasebelumdiskon]]="","",IF(Table1[[#This Row],[Disc 1]]="",0,Table1[[#This Row],[h_hargasebelumdiskon]]*Table1[[#This Row],[Disc 1]]))</f>
        <v>489888.00000000006</v>
      </c>
      <c r="AA174" s="284">
        <f>IF(Table1[[#This Row],[h_hargasebelumdiskon]]="","",IF(Table1[[#This Row],[Disc 2]]="",0,(Table1[[#This Row],[h_hargasebelumdiskon]]-Table1[[#This Row],[h_disc 1]])*Table1[[#This Row],[Disc 2]]))</f>
        <v>0</v>
      </c>
      <c r="AB174" s="284">
        <f>IF(Table1[Item Description]="","",Table1[[#This Row],[h_disc 1]]+Table1[[#This Row],[h_disc 2]])</f>
        <v>489888.00000000006</v>
      </c>
      <c r="AC174" s="284">
        <f>IF(Table1[Item Description]="","",Table1[[#This Row],[h_hargasebelumdiskon]]-Table1[[#This Row],[h_diskon]])</f>
        <v>3138912</v>
      </c>
      <c r="AD174" s="284">
        <f ca="1">IF(Table1[//]="","",SUMIF(Table1[h_id],Table1[h_id],Table1[h_hargasetelahdiskon]))</f>
        <v>3138912</v>
      </c>
      <c r="AE174" s="284"/>
      <c r="AF174" s="284" t="str">
        <f>Table1[[#This Row],[Item Description]]&amp;Table1[[#This Row],[Unit]]&amp;Table1[[#This Row],[Unit Price]]</f>
        <v>BALLPEN JOYKO BP-338 VOCUS HITAMLSN12600</v>
      </c>
    </row>
    <row r="175" spans="1:32" x14ac:dyDescent="0.25">
      <c r="A175" s="288" t="str">
        <f ca="1">IF(Table1[[#This Row],[No. Invoice :]]="","",ROW())</f>
        <v/>
      </c>
      <c r="B175" s="288" t="str">
        <f ca="1">IF(Table1[h_Kode Sales :_1]="","",B$1+COUNT(INDIRECT("B$2:B"&amp;ROW()-1)))</f>
        <v/>
      </c>
      <c r="C175" s="282" t="str">
        <f>IF(Table1[[#This Row],[H_TGL]]="","",Table1[[#This Row],[H_TGL]]+C$1-1)</f>
        <v/>
      </c>
      <c r="H175" s="288" t="str">
        <f ca="1">IF(Table1[[#This Row],[h_No. Invoice :]]="","",CONCATENATE("AM"," ",Table1[[#This Row],[h_No. Invoice :]]))</f>
        <v/>
      </c>
      <c r="I175" s="289" t="str">
        <f>CONCATENATE(UPPER(Table1[[#This Row],[h_Kode Sales :_1]])," ",Table1[[#This Row],[h_Kode Sales :_2]])</f>
        <v xml:space="preserve"> </v>
      </c>
      <c r="J175" s="288" t="str">
        <f>IF(Table1[[#This Row],[h_toko]]="","",INDEX(Table2[e],IF(Table1[[#This Row],[h_toko]]="","",MATCH(Table1[[#This Row],[h_toko]],Table2[a],0)),))</f>
        <v/>
      </c>
      <c r="O175" s="288" t="str">
        <f>IF(Table1[[#This Row],[h_Item Description]]="","",INDEX([1]!db[NB PAJAK],MATCH(Table1[[#This Row],[h_Item Description]],[1]!db[kode],0)))</f>
        <v/>
      </c>
      <c r="Q175" s="284"/>
      <c r="R175" s="285"/>
      <c r="T175" s="284" t="str">
        <f>Table1[[#This Row],[h_hargasetelahdiskon]]</f>
        <v/>
      </c>
      <c r="W175" s="288" t="str">
        <f ca="1">IF(Table1[[#This Row],[Item Description]]="","",IF(Table1[[#This Row],[//]]="",INDIRECT(ADDRESS(ROW()-1,COLUMN())),Table1[[#This Row],[//]]))</f>
        <v/>
      </c>
      <c r="X175" s="288" t="str">
        <f ca="1">IF(Table1[[#This Row],[h_id]]="","",COUNTIF(Table1[h_id],Table1[[#This Row],[h_id]]))</f>
        <v/>
      </c>
      <c r="Y175" s="284" t="str">
        <f>IF(Table1[Item Description]="","",Table1[[#This Row],[Qty]]*Table1[[#This Row],[Unit Price]])</f>
        <v/>
      </c>
      <c r="Z175" s="284" t="str">
        <f>IF(Table1[[#This Row],[h_hargasebelumdiskon]]="","",IF(Table1[[#This Row],[Disc 1]]="",0,Table1[[#This Row],[h_hargasebelumdiskon]]*Table1[[#This Row],[Disc 1]]))</f>
        <v/>
      </c>
      <c r="AA175" s="284" t="str">
        <f>IF(Table1[[#This Row],[h_hargasebelumdiskon]]="","",IF(Table1[[#This Row],[Disc 2]]="",0,(Table1[[#This Row],[h_hargasebelumdiskon]]-Table1[[#This Row],[h_disc 1]])*Table1[[#This Row],[Disc 2]]))</f>
        <v/>
      </c>
      <c r="AB175" s="284" t="str">
        <f>IF(Table1[Item Description]="","",Table1[[#This Row],[h_disc 1]]+Table1[[#This Row],[h_disc 2]])</f>
        <v/>
      </c>
      <c r="AC175" s="284" t="str">
        <f>IF(Table1[Item Description]="","",Table1[[#This Row],[h_hargasebelumdiskon]]-Table1[[#This Row],[h_diskon]])</f>
        <v/>
      </c>
      <c r="AD175" s="284" t="str">
        <f ca="1">IF(Table1[//]="","",SUMIF(Table1[h_id],Table1[h_id],Table1[h_hargasetelahdiskon]))</f>
        <v/>
      </c>
      <c r="AE175" s="284"/>
      <c r="AF175" s="284" t="str">
        <f>Table1[[#This Row],[Item Description]]&amp;Table1[[#This Row],[Unit]]&amp;Table1[[#This Row],[Unit Price]]</f>
        <v/>
      </c>
    </row>
    <row r="176" spans="1:32" x14ac:dyDescent="0.25">
      <c r="A176" s="288" t="str">
        <f ca="1">IF(Table1[[#This Row],[No. Invoice :]]="","",ROW())</f>
        <v/>
      </c>
      <c r="B176" s="288" t="str">
        <f ca="1">IF(Table1[h_Kode Sales :_1]="","",B$1+COUNT(INDIRECT("B$2:B"&amp;ROW()-1)))</f>
        <v/>
      </c>
      <c r="C176" s="282" t="str">
        <f>IF(Table1[[#This Row],[H_TGL]]="","",Table1[[#This Row],[H_TGL]]+C$1-1)</f>
        <v/>
      </c>
      <c r="H176" s="288" t="str">
        <f ca="1">IF(Table1[[#This Row],[h_No. Invoice :]]="","",CONCATENATE("AM"," ",Table1[[#This Row],[h_No. Invoice :]]))</f>
        <v/>
      </c>
      <c r="I176" s="289" t="str">
        <f>CONCATENATE(UPPER(Table1[[#This Row],[h_Kode Sales :_1]])," ",Table1[[#This Row],[h_Kode Sales :_2]])</f>
        <v xml:space="preserve"> </v>
      </c>
      <c r="J176" s="288" t="str">
        <f>IF(Table1[[#This Row],[h_toko]]="","",INDEX(Table2[e],IF(Table1[[#This Row],[h_toko]]="","",MATCH(Table1[[#This Row],[h_toko]],Table2[a],0)),))</f>
        <v/>
      </c>
      <c r="O176" s="288" t="str">
        <f>IF(Table1[[#This Row],[h_Item Description]]="","",INDEX([1]!db[NB PAJAK],MATCH(Table1[[#This Row],[h_Item Description]],[1]!db[kode],0)))</f>
        <v/>
      </c>
      <c r="Q176" s="284"/>
      <c r="R176" s="285"/>
      <c r="T176" s="284" t="str">
        <f>Table1[[#This Row],[h_hargasetelahdiskon]]</f>
        <v/>
      </c>
      <c r="W176" s="288" t="str">
        <f ca="1">IF(Table1[[#This Row],[Item Description]]="","",IF(Table1[[#This Row],[//]]="",INDIRECT(ADDRESS(ROW()-1,COLUMN())),Table1[[#This Row],[//]]))</f>
        <v/>
      </c>
      <c r="X176" s="288" t="str">
        <f ca="1">IF(Table1[[#This Row],[h_id]]="","",COUNTIF(Table1[h_id],Table1[[#This Row],[h_id]]))</f>
        <v/>
      </c>
      <c r="Y176" s="284" t="str">
        <f>IF(Table1[Item Description]="","",Table1[[#This Row],[Qty]]*Table1[[#This Row],[Unit Price]])</f>
        <v/>
      </c>
      <c r="Z176" s="284" t="str">
        <f>IF(Table1[[#This Row],[h_hargasebelumdiskon]]="","",IF(Table1[[#This Row],[Disc 1]]="",0,Table1[[#This Row],[h_hargasebelumdiskon]]*Table1[[#This Row],[Disc 1]]))</f>
        <v/>
      </c>
      <c r="AA176" s="284" t="str">
        <f>IF(Table1[[#This Row],[h_hargasebelumdiskon]]="","",IF(Table1[[#This Row],[Disc 2]]="",0,(Table1[[#This Row],[h_hargasebelumdiskon]]-Table1[[#This Row],[h_disc 1]])*Table1[[#This Row],[Disc 2]]))</f>
        <v/>
      </c>
      <c r="AB176" s="284" t="str">
        <f>IF(Table1[Item Description]="","",Table1[[#This Row],[h_disc 1]]+Table1[[#This Row],[h_disc 2]])</f>
        <v/>
      </c>
      <c r="AC176" s="284" t="str">
        <f>IF(Table1[Item Description]="","",Table1[[#This Row],[h_hargasebelumdiskon]]-Table1[[#This Row],[h_diskon]])</f>
        <v/>
      </c>
      <c r="AD176" s="284" t="str">
        <f ca="1">IF(Table1[//]="","",SUMIF(Table1[h_id],Table1[h_id],Table1[h_hargasetelahdiskon]))</f>
        <v/>
      </c>
      <c r="AE176" s="284"/>
      <c r="AF176" s="284" t="str">
        <f>Table1[[#This Row],[Item Description]]&amp;Table1[[#This Row],[Unit]]&amp;Table1[[#This Row],[Unit Price]]</f>
        <v/>
      </c>
    </row>
    <row r="177" spans="1:32" x14ac:dyDescent="0.25">
      <c r="A177" s="288" t="str">
        <f ca="1">IF(Table1[[#This Row],[No. Invoice :]]="","",ROW())</f>
        <v/>
      </c>
      <c r="B177" s="288" t="str">
        <f ca="1">IF(Table1[h_Kode Sales :_1]="","",B$1+COUNT(INDIRECT("B$2:B"&amp;ROW()-1)))</f>
        <v/>
      </c>
      <c r="C177" s="282" t="str">
        <f>IF(Table1[[#This Row],[H_TGL]]="","",Table1[[#This Row],[H_TGL]]+C$1-1)</f>
        <v/>
      </c>
      <c r="H177" s="288" t="str">
        <f ca="1">IF(Table1[[#This Row],[h_No. Invoice :]]="","",CONCATENATE("AM"," ",Table1[[#This Row],[h_No. Invoice :]]))</f>
        <v/>
      </c>
      <c r="I177" s="289" t="str">
        <f>CONCATENATE(UPPER(Table1[[#This Row],[h_Kode Sales :_1]])," ",Table1[[#This Row],[h_Kode Sales :_2]])</f>
        <v xml:space="preserve"> </v>
      </c>
      <c r="J177" s="288" t="str">
        <f>IF(Table1[[#This Row],[h_toko]]="","",INDEX(Table2[e],IF(Table1[[#This Row],[h_toko]]="","",MATCH(Table1[[#This Row],[h_toko]],Table2[a],0)),))</f>
        <v/>
      </c>
      <c r="O177" s="288" t="str">
        <f>IF(Table1[[#This Row],[h_Item Description]]="","",INDEX([1]!db[NB PAJAK],MATCH(Table1[[#This Row],[h_Item Description]],[1]!db[kode],0)))</f>
        <v/>
      </c>
      <c r="Q177" s="284"/>
      <c r="R177" s="285"/>
      <c r="T177" s="284" t="str">
        <f>Table1[[#This Row],[h_hargasetelahdiskon]]</f>
        <v/>
      </c>
      <c r="W177" s="288" t="str">
        <f ca="1">IF(Table1[[#This Row],[Item Description]]="","",IF(Table1[[#This Row],[//]]="",INDIRECT(ADDRESS(ROW()-1,COLUMN())),Table1[[#This Row],[//]]))</f>
        <v/>
      </c>
      <c r="X177" s="288" t="str">
        <f ca="1">IF(Table1[[#This Row],[h_id]]="","",COUNTIF(Table1[h_id],Table1[[#This Row],[h_id]]))</f>
        <v/>
      </c>
      <c r="Y177" s="284" t="str">
        <f>IF(Table1[Item Description]="","",Table1[[#This Row],[Qty]]*Table1[[#This Row],[Unit Price]])</f>
        <v/>
      </c>
      <c r="Z177" s="284" t="str">
        <f>IF(Table1[[#This Row],[h_hargasebelumdiskon]]="","",IF(Table1[[#This Row],[Disc 1]]="",0,Table1[[#This Row],[h_hargasebelumdiskon]]*Table1[[#This Row],[Disc 1]]))</f>
        <v/>
      </c>
      <c r="AA177" s="284" t="str">
        <f>IF(Table1[[#This Row],[h_hargasebelumdiskon]]="","",IF(Table1[[#This Row],[Disc 2]]="",0,(Table1[[#This Row],[h_hargasebelumdiskon]]-Table1[[#This Row],[h_disc 1]])*Table1[[#This Row],[Disc 2]]))</f>
        <v/>
      </c>
      <c r="AB177" s="284" t="str">
        <f>IF(Table1[Item Description]="","",Table1[[#This Row],[h_disc 1]]+Table1[[#This Row],[h_disc 2]])</f>
        <v/>
      </c>
      <c r="AC177" s="284" t="str">
        <f>IF(Table1[Item Description]="","",Table1[[#This Row],[h_hargasebelumdiskon]]-Table1[[#This Row],[h_diskon]])</f>
        <v/>
      </c>
      <c r="AD177" s="284" t="str">
        <f ca="1">IF(Table1[//]="","",SUMIF(Table1[h_id],Table1[h_id],Table1[h_hargasetelahdiskon]))</f>
        <v/>
      </c>
      <c r="AE177" s="284"/>
      <c r="AF177" s="284" t="str">
        <f>Table1[[#This Row],[Item Description]]&amp;Table1[[#This Row],[Unit]]&amp;Table1[[#This Row],[Unit Price]]</f>
        <v/>
      </c>
    </row>
    <row r="178" spans="1:32" x14ac:dyDescent="0.25">
      <c r="A178" s="288" t="str">
        <f ca="1">IF(Table1[[#This Row],[No. Invoice :]]="","",ROW())</f>
        <v/>
      </c>
      <c r="B178" s="288" t="str">
        <f ca="1">IF(Table1[h_Kode Sales :_1]="","",B$1+COUNT(INDIRECT("B$2:B"&amp;ROW()-1)))</f>
        <v/>
      </c>
      <c r="C178" s="282" t="str">
        <f>IF(Table1[[#This Row],[H_TGL]]="","",Table1[[#This Row],[H_TGL]]+C$1-1)</f>
        <v/>
      </c>
      <c r="H178" s="288" t="str">
        <f ca="1">IF(Table1[[#This Row],[h_No. Invoice :]]="","",CONCATENATE("AM"," ",Table1[[#This Row],[h_No. Invoice :]]))</f>
        <v/>
      </c>
      <c r="I178" s="289" t="str">
        <f>CONCATENATE(UPPER(Table1[[#This Row],[h_Kode Sales :_1]])," ",Table1[[#This Row],[h_Kode Sales :_2]])</f>
        <v xml:space="preserve"> </v>
      </c>
      <c r="J178" s="288" t="str">
        <f>IF(Table1[[#This Row],[h_toko]]="","",INDEX(Table2[e],IF(Table1[[#This Row],[h_toko]]="","",MATCH(Table1[[#This Row],[h_toko]],Table2[a],0)),))</f>
        <v/>
      </c>
      <c r="O178" s="288" t="str">
        <f>IF(Table1[[#This Row],[h_Item Description]]="","",INDEX([1]!db[NB PAJAK],MATCH(Table1[[#This Row],[h_Item Description]],[1]!db[kode],0)))</f>
        <v/>
      </c>
      <c r="Q178" s="284"/>
      <c r="R178" s="285"/>
      <c r="T178" s="284" t="str">
        <f>Table1[[#This Row],[h_hargasetelahdiskon]]</f>
        <v/>
      </c>
      <c r="W178" s="288" t="str">
        <f ca="1">IF(Table1[[#This Row],[Item Description]]="","",IF(Table1[[#This Row],[//]]="",INDIRECT(ADDRESS(ROW()-1,COLUMN())),Table1[[#This Row],[//]]))</f>
        <v/>
      </c>
      <c r="X178" s="288" t="str">
        <f ca="1">IF(Table1[[#This Row],[h_id]]="","",COUNTIF(Table1[h_id],Table1[[#This Row],[h_id]]))</f>
        <v/>
      </c>
      <c r="Y178" s="284" t="str">
        <f>IF(Table1[Item Description]="","",Table1[[#This Row],[Qty]]*Table1[[#This Row],[Unit Price]])</f>
        <v/>
      </c>
      <c r="Z178" s="284" t="str">
        <f>IF(Table1[[#This Row],[h_hargasebelumdiskon]]="","",IF(Table1[[#This Row],[Disc 1]]="",0,Table1[[#This Row],[h_hargasebelumdiskon]]*Table1[[#This Row],[Disc 1]]))</f>
        <v/>
      </c>
      <c r="AA178" s="284" t="str">
        <f>IF(Table1[[#This Row],[h_hargasebelumdiskon]]="","",IF(Table1[[#This Row],[Disc 2]]="",0,(Table1[[#This Row],[h_hargasebelumdiskon]]-Table1[[#This Row],[h_disc 1]])*Table1[[#This Row],[Disc 2]]))</f>
        <v/>
      </c>
      <c r="AB178" s="284" t="str">
        <f>IF(Table1[Item Description]="","",Table1[[#This Row],[h_disc 1]]+Table1[[#This Row],[h_disc 2]])</f>
        <v/>
      </c>
      <c r="AC178" s="284" t="str">
        <f>IF(Table1[Item Description]="","",Table1[[#This Row],[h_hargasebelumdiskon]]-Table1[[#This Row],[h_diskon]])</f>
        <v/>
      </c>
      <c r="AD178" s="284" t="str">
        <f ca="1">IF(Table1[//]="","",SUMIF(Table1[h_id],Table1[h_id],Table1[h_hargasetelahdiskon]))</f>
        <v/>
      </c>
      <c r="AE178" s="284"/>
      <c r="AF178" s="284" t="str">
        <f>Table1[[#This Row],[Item Description]]&amp;Table1[[#This Row],[Unit]]&amp;Table1[[#This Row],[Unit Price]]</f>
        <v/>
      </c>
    </row>
    <row r="179" spans="1:32" x14ac:dyDescent="0.25">
      <c r="A179" s="288" t="str">
        <f ca="1">IF(Table1[[#This Row],[No. Invoice :]]="","",ROW())</f>
        <v/>
      </c>
      <c r="B179" s="288" t="str">
        <f ca="1">IF(Table1[h_Kode Sales :_1]="","",B$1+COUNT(INDIRECT("B$2:B"&amp;ROW()-1)))</f>
        <v/>
      </c>
      <c r="C179" s="282" t="str">
        <f>IF(Table1[[#This Row],[H_TGL]]="","",Table1[[#This Row],[H_TGL]]+C$1-1)</f>
        <v/>
      </c>
      <c r="H179" s="288" t="str">
        <f ca="1">IF(Table1[[#This Row],[h_No. Invoice :]]="","",CONCATENATE("AM"," ",Table1[[#This Row],[h_No. Invoice :]]))</f>
        <v/>
      </c>
      <c r="I179" s="289" t="str">
        <f>CONCATENATE(UPPER(Table1[[#This Row],[h_Kode Sales :_1]])," ",Table1[[#This Row],[h_Kode Sales :_2]])</f>
        <v xml:space="preserve"> </v>
      </c>
      <c r="J179" s="288" t="str">
        <f>IF(Table1[[#This Row],[h_toko]]="","",INDEX(Table2[e],IF(Table1[[#This Row],[h_toko]]="","",MATCH(Table1[[#This Row],[h_toko]],Table2[a],0)),))</f>
        <v/>
      </c>
      <c r="O179" s="288" t="str">
        <f>IF(Table1[[#This Row],[h_Item Description]]="","",INDEX([1]!db[NB PAJAK],MATCH(Table1[[#This Row],[h_Item Description]],[1]!db[kode],0)))</f>
        <v/>
      </c>
      <c r="Q179" s="284"/>
      <c r="R179" s="285"/>
      <c r="T179" s="284" t="str">
        <f>Table1[[#This Row],[h_hargasetelahdiskon]]</f>
        <v/>
      </c>
      <c r="W179" s="288" t="str">
        <f ca="1">IF(Table1[[#This Row],[Item Description]]="","",IF(Table1[[#This Row],[//]]="",INDIRECT(ADDRESS(ROW()-1,COLUMN())),Table1[[#This Row],[//]]))</f>
        <v/>
      </c>
      <c r="X179" s="288" t="str">
        <f ca="1">IF(Table1[[#This Row],[h_id]]="","",COUNTIF(Table1[h_id],Table1[[#This Row],[h_id]]))</f>
        <v/>
      </c>
      <c r="Y179" s="284" t="str">
        <f>IF(Table1[Item Description]="","",Table1[[#This Row],[Qty]]*Table1[[#This Row],[Unit Price]])</f>
        <v/>
      </c>
      <c r="Z179" s="284" t="str">
        <f>IF(Table1[[#This Row],[h_hargasebelumdiskon]]="","",IF(Table1[[#This Row],[Disc 1]]="",0,Table1[[#This Row],[h_hargasebelumdiskon]]*Table1[[#This Row],[Disc 1]]))</f>
        <v/>
      </c>
      <c r="AA179" s="284" t="str">
        <f>IF(Table1[[#This Row],[h_hargasebelumdiskon]]="","",IF(Table1[[#This Row],[Disc 2]]="",0,(Table1[[#This Row],[h_hargasebelumdiskon]]-Table1[[#This Row],[h_disc 1]])*Table1[[#This Row],[Disc 2]]))</f>
        <v/>
      </c>
      <c r="AB179" s="284" t="str">
        <f>IF(Table1[Item Description]="","",Table1[[#This Row],[h_disc 1]]+Table1[[#This Row],[h_disc 2]])</f>
        <v/>
      </c>
      <c r="AC179" s="284" t="str">
        <f>IF(Table1[Item Description]="","",Table1[[#This Row],[h_hargasebelumdiskon]]-Table1[[#This Row],[h_diskon]])</f>
        <v/>
      </c>
      <c r="AD179" s="284" t="str">
        <f ca="1">IF(Table1[//]="","",SUMIF(Table1[h_id],Table1[h_id],Table1[h_hargasetelahdiskon]))</f>
        <v/>
      </c>
      <c r="AE179" s="284"/>
      <c r="AF179" s="284" t="str">
        <f>Table1[[#This Row],[Item Description]]&amp;Table1[[#This Row],[Unit]]&amp;Table1[[#This Row],[Unit Price]]</f>
        <v/>
      </c>
    </row>
    <row r="180" spans="1:32" x14ac:dyDescent="0.25">
      <c r="A180" s="288" t="str">
        <f ca="1">IF(Table1[[#This Row],[No. Invoice :]]="","",ROW())</f>
        <v/>
      </c>
      <c r="B180" s="288" t="str">
        <f ca="1">IF(Table1[h_Kode Sales :_1]="","",B$1+COUNT(INDIRECT("B$2:B"&amp;ROW()-1)))</f>
        <v/>
      </c>
      <c r="C180" s="282" t="str">
        <f>IF(Table1[[#This Row],[H_TGL]]="","",Table1[[#This Row],[H_TGL]]+C$1-1)</f>
        <v/>
      </c>
      <c r="H180" s="288" t="str">
        <f ca="1">IF(Table1[[#This Row],[h_No. Invoice :]]="","",CONCATENATE("AM"," ",Table1[[#This Row],[h_No. Invoice :]]))</f>
        <v/>
      </c>
      <c r="I180" s="289" t="str">
        <f>CONCATENATE(UPPER(Table1[[#This Row],[h_Kode Sales :_1]])," ",Table1[[#This Row],[h_Kode Sales :_2]])</f>
        <v xml:space="preserve"> </v>
      </c>
      <c r="J180" s="288" t="str">
        <f>IF(Table1[[#This Row],[h_toko]]="","",INDEX(Table2[e],IF(Table1[[#This Row],[h_toko]]="","",MATCH(Table1[[#This Row],[h_toko]],Table2[a],0)),))</f>
        <v/>
      </c>
      <c r="O180" s="288" t="str">
        <f>IF(Table1[[#This Row],[h_Item Description]]="","",INDEX([1]!db[NB PAJAK],MATCH(Table1[[#This Row],[h_Item Description]],[1]!db[kode],0)))</f>
        <v/>
      </c>
      <c r="Q180" s="284"/>
      <c r="R180" s="285"/>
      <c r="T180" s="284" t="str">
        <f>Table1[[#This Row],[h_hargasetelahdiskon]]</f>
        <v/>
      </c>
      <c r="W180" s="288" t="str">
        <f ca="1">IF(Table1[[#This Row],[Item Description]]="","",IF(Table1[[#This Row],[//]]="",INDIRECT(ADDRESS(ROW()-1,COLUMN())),Table1[[#This Row],[//]]))</f>
        <v/>
      </c>
      <c r="X180" s="288" t="str">
        <f ca="1">IF(Table1[[#This Row],[h_id]]="","",COUNTIF(Table1[h_id],Table1[[#This Row],[h_id]]))</f>
        <v/>
      </c>
      <c r="Y180" s="284" t="str">
        <f>IF(Table1[Item Description]="","",Table1[[#This Row],[Qty]]*Table1[[#This Row],[Unit Price]])</f>
        <v/>
      </c>
      <c r="Z180" s="284" t="str">
        <f>IF(Table1[[#This Row],[h_hargasebelumdiskon]]="","",IF(Table1[[#This Row],[Disc 1]]="",0,Table1[[#This Row],[h_hargasebelumdiskon]]*Table1[[#This Row],[Disc 1]]))</f>
        <v/>
      </c>
      <c r="AA180" s="284" t="str">
        <f>IF(Table1[[#This Row],[h_hargasebelumdiskon]]="","",IF(Table1[[#This Row],[Disc 2]]="",0,(Table1[[#This Row],[h_hargasebelumdiskon]]-Table1[[#This Row],[h_disc 1]])*Table1[[#This Row],[Disc 2]]))</f>
        <v/>
      </c>
      <c r="AB180" s="284" t="str">
        <f>IF(Table1[Item Description]="","",Table1[[#This Row],[h_disc 1]]+Table1[[#This Row],[h_disc 2]])</f>
        <v/>
      </c>
      <c r="AC180" s="284" t="str">
        <f>IF(Table1[Item Description]="","",Table1[[#This Row],[h_hargasebelumdiskon]]-Table1[[#This Row],[h_diskon]])</f>
        <v/>
      </c>
      <c r="AD180" s="284" t="str">
        <f ca="1">IF(Table1[//]="","",SUMIF(Table1[h_id],Table1[h_id],Table1[h_hargasetelahdiskon]))</f>
        <v/>
      </c>
      <c r="AE180" s="284"/>
      <c r="AF180" s="284" t="str">
        <f>Table1[[#This Row],[Item Description]]&amp;Table1[[#This Row],[Unit]]&amp;Table1[[#This Row],[Unit Price]]</f>
        <v/>
      </c>
    </row>
    <row r="181" spans="1:32" x14ac:dyDescent="0.25">
      <c r="A181" s="288" t="str">
        <f ca="1">IF(Table1[[#This Row],[No. Invoice :]]="","",ROW())</f>
        <v/>
      </c>
      <c r="B181" s="288" t="str">
        <f ca="1">IF(Table1[h_Kode Sales :_1]="","",B$1+COUNT(INDIRECT("B$2:B"&amp;ROW()-1)))</f>
        <v/>
      </c>
      <c r="C181" s="282" t="str">
        <f>IF(Table1[[#This Row],[H_TGL]]="","",Table1[[#This Row],[H_TGL]]+C$1-1)</f>
        <v/>
      </c>
      <c r="H181" s="288" t="str">
        <f ca="1">IF(Table1[[#This Row],[h_No. Invoice :]]="","",CONCATENATE("AM"," ",Table1[[#This Row],[h_No. Invoice :]]))</f>
        <v/>
      </c>
      <c r="I181" s="289" t="str">
        <f>CONCATENATE(UPPER(Table1[[#This Row],[h_Kode Sales :_1]])," ",Table1[[#This Row],[h_Kode Sales :_2]])</f>
        <v xml:space="preserve"> </v>
      </c>
      <c r="J181" s="288" t="str">
        <f>IF(Table1[[#This Row],[h_toko]]="","",INDEX(Table2[e],IF(Table1[[#This Row],[h_toko]]="","",MATCH(Table1[[#This Row],[h_toko]],Table2[a],0)),))</f>
        <v/>
      </c>
      <c r="O181" s="288" t="str">
        <f>IF(Table1[[#This Row],[h_Item Description]]="","",INDEX([1]!db[NB PAJAK],MATCH(Table1[[#This Row],[h_Item Description]],[1]!db[kode],0)))</f>
        <v/>
      </c>
      <c r="Q181" s="284"/>
      <c r="R181" s="285"/>
      <c r="T181" s="284" t="str">
        <f>Table1[[#This Row],[h_hargasetelahdiskon]]</f>
        <v/>
      </c>
      <c r="W181" s="288" t="str">
        <f ca="1">IF(Table1[[#This Row],[Item Description]]="","",IF(Table1[[#This Row],[//]]="",INDIRECT(ADDRESS(ROW()-1,COLUMN())),Table1[[#This Row],[//]]))</f>
        <v/>
      </c>
      <c r="X181" s="288" t="str">
        <f ca="1">IF(Table1[[#This Row],[h_id]]="","",COUNTIF(Table1[h_id],Table1[[#This Row],[h_id]]))</f>
        <v/>
      </c>
      <c r="Y181" s="284" t="str">
        <f>IF(Table1[Item Description]="","",Table1[[#This Row],[Qty]]*Table1[[#This Row],[Unit Price]])</f>
        <v/>
      </c>
      <c r="Z181" s="284" t="str">
        <f>IF(Table1[[#This Row],[h_hargasebelumdiskon]]="","",IF(Table1[[#This Row],[Disc 1]]="",0,Table1[[#This Row],[h_hargasebelumdiskon]]*Table1[[#This Row],[Disc 1]]))</f>
        <v/>
      </c>
      <c r="AA181" s="284" t="str">
        <f>IF(Table1[[#This Row],[h_hargasebelumdiskon]]="","",IF(Table1[[#This Row],[Disc 2]]="",0,(Table1[[#This Row],[h_hargasebelumdiskon]]-Table1[[#This Row],[h_disc 1]])*Table1[[#This Row],[Disc 2]]))</f>
        <v/>
      </c>
      <c r="AB181" s="284" t="str">
        <f>IF(Table1[Item Description]="","",Table1[[#This Row],[h_disc 1]]+Table1[[#This Row],[h_disc 2]])</f>
        <v/>
      </c>
      <c r="AC181" s="284" t="str">
        <f>IF(Table1[Item Description]="","",Table1[[#This Row],[h_hargasebelumdiskon]]-Table1[[#This Row],[h_diskon]])</f>
        <v/>
      </c>
      <c r="AD181" s="284" t="str">
        <f ca="1">IF(Table1[//]="","",SUMIF(Table1[h_id],Table1[h_id],Table1[h_hargasetelahdiskon]))</f>
        <v/>
      </c>
      <c r="AE181" s="284"/>
      <c r="AF181" s="284" t="str">
        <f>Table1[[#This Row],[Item Description]]&amp;Table1[[#This Row],[Unit]]&amp;Table1[[#This Row],[Unit Price]]</f>
        <v/>
      </c>
    </row>
    <row r="182" spans="1:32" x14ac:dyDescent="0.25">
      <c r="A182" s="288" t="str">
        <f ca="1">IF(Table1[[#This Row],[No. Invoice :]]="","",ROW())</f>
        <v/>
      </c>
      <c r="B182" s="288" t="str">
        <f ca="1">IF(Table1[h_Kode Sales :_1]="","",B$1+COUNT(INDIRECT("B$2:B"&amp;ROW()-1)))</f>
        <v/>
      </c>
      <c r="C182" s="282" t="str">
        <f>IF(Table1[[#This Row],[H_TGL]]="","",Table1[[#This Row],[H_TGL]]+C$1-1)</f>
        <v/>
      </c>
      <c r="H182" s="288" t="str">
        <f ca="1">IF(Table1[[#This Row],[h_No. Invoice :]]="","",CONCATENATE("AM"," ",Table1[[#This Row],[h_No. Invoice :]]))</f>
        <v/>
      </c>
      <c r="I182" s="289" t="str">
        <f>CONCATENATE(UPPER(Table1[[#This Row],[h_Kode Sales :_1]])," ",Table1[[#This Row],[h_Kode Sales :_2]])</f>
        <v xml:space="preserve"> </v>
      </c>
      <c r="J182" s="288" t="str">
        <f>IF(Table1[[#This Row],[h_toko]]="","",INDEX(Table2[e],IF(Table1[[#This Row],[h_toko]]="","",MATCH(Table1[[#This Row],[h_toko]],Table2[a],0)),))</f>
        <v/>
      </c>
      <c r="O182" s="288" t="str">
        <f>IF(Table1[[#This Row],[h_Item Description]]="","",INDEX([1]!db[NB PAJAK],MATCH(Table1[[#This Row],[h_Item Description]],[1]!db[kode],0)))</f>
        <v/>
      </c>
      <c r="Q182" s="284"/>
      <c r="R182" s="285"/>
      <c r="T182" s="284" t="str">
        <f>Table1[[#This Row],[h_hargasetelahdiskon]]</f>
        <v/>
      </c>
      <c r="W182" s="288" t="str">
        <f ca="1">IF(Table1[[#This Row],[Item Description]]="","",IF(Table1[[#This Row],[//]]="",INDIRECT(ADDRESS(ROW()-1,COLUMN())),Table1[[#This Row],[//]]))</f>
        <v/>
      </c>
      <c r="X182" s="288" t="str">
        <f ca="1">IF(Table1[[#This Row],[h_id]]="","",COUNTIF(Table1[h_id],Table1[[#This Row],[h_id]]))</f>
        <v/>
      </c>
      <c r="Y182" s="284" t="str">
        <f>IF(Table1[Item Description]="","",Table1[[#This Row],[Qty]]*Table1[[#This Row],[Unit Price]])</f>
        <v/>
      </c>
      <c r="Z182" s="284" t="str">
        <f>IF(Table1[[#This Row],[h_hargasebelumdiskon]]="","",IF(Table1[[#This Row],[Disc 1]]="",0,Table1[[#This Row],[h_hargasebelumdiskon]]*Table1[[#This Row],[Disc 1]]))</f>
        <v/>
      </c>
      <c r="AA182" s="284" t="str">
        <f>IF(Table1[[#This Row],[h_hargasebelumdiskon]]="","",IF(Table1[[#This Row],[Disc 2]]="",0,(Table1[[#This Row],[h_hargasebelumdiskon]]-Table1[[#This Row],[h_disc 1]])*Table1[[#This Row],[Disc 2]]))</f>
        <v/>
      </c>
      <c r="AB182" s="284" t="str">
        <f>IF(Table1[Item Description]="","",Table1[[#This Row],[h_disc 1]]+Table1[[#This Row],[h_disc 2]])</f>
        <v/>
      </c>
      <c r="AC182" s="284" t="str">
        <f>IF(Table1[Item Description]="","",Table1[[#This Row],[h_hargasebelumdiskon]]-Table1[[#This Row],[h_diskon]])</f>
        <v/>
      </c>
      <c r="AD182" s="284" t="str">
        <f ca="1">IF(Table1[//]="","",SUMIF(Table1[h_id],Table1[h_id],Table1[h_hargasetelahdiskon]))</f>
        <v/>
      </c>
      <c r="AE182" s="284"/>
      <c r="AF182" s="284" t="str">
        <f>Table1[[#This Row],[Item Description]]&amp;Table1[[#This Row],[Unit]]&amp;Table1[[#This Row],[Unit Price]]</f>
        <v/>
      </c>
    </row>
    <row r="183" spans="1:32" x14ac:dyDescent="0.25">
      <c r="A183" s="288" t="str">
        <f ca="1">IF(Table1[[#This Row],[No. Invoice :]]="","",ROW())</f>
        <v/>
      </c>
      <c r="B183" s="288" t="str">
        <f ca="1">IF(Table1[h_Kode Sales :_1]="","",B$1+COUNT(INDIRECT("B$2:B"&amp;ROW()-1)))</f>
        <v/>
      </c>
      <c r="C183" s="282" t="str">
        <f>IF(Table1[[#This Row],[H_TGL]]="","",Table1[[#This Row],[H_TGL]]+C$1-1)</f>
        <v/>
      </c>
      <c r="H183" s="288" t="str">
        <f ca="1">IF(Table1[[#This Row],[h_No. Invoice :]]="","",CONCATENATE("AM"," ",Table1[[#This Row],[h_No. Invoice :]]))</f>
        <v/>
      </c>
      <c r="I183" s="289" t="str">
        <f>CONCATENATE(UPPER(Table1[[#This Row],[h_Kode Sales :_1]])," ",Table1[[#This Row],[h_Kode Sales :_2]])</f>
        <v xml:space="preserve"> </v>
      </c>
      <c r="J183" s="288" t="str">
        <f>IF(Table1[[#This Row],[h_toko]]="","",INDEX(Table2[e],IF(Table1[[#This Row],[h_toko]]="","",MATCH(Table1[[#This Row],[h_toko]],Table2[a],0)),))</f>
        <v/>
      </c>
      <c r="O183" s="288" t="str">
        <f>IF(Table1[[#This Row],[h_Item Description]]="","",INDEX([1]!db[NB PAJAK],MATCH(Table1[[#This Row],[h_Item Description]],[1]!db[kode],0)))</f>
        <v/>
      </c>
      <c r="Q183" s="284"/>
      <c r="R183" s="285"/>
      <c r="T183" s="284" t="str">
        <f>Table1[[#This Row],[h_hargasetelahdiskon]]</f>
        <v/>
      </c>
      <c r="W183" s="288" t="str">
        <f ca="1">IF(Table1[[#This Row],[Item Description]]="","",IF(Table1[[#This Row],[//]]="",INDIRECT(ADDRESS(ROW()-1,COLUMN())),Table1[[#This Row],[//]]))</f>
        <v/>
      </c>
      <c r="X183" s="288" t="str">
        <f ca="1">IF(Table1[[#This Row],[h_id]]="","",COUNTIF(Table1[h_id],Table1[[#This Row],[h_id]]))</f>
        <v/>
      </c>
      <c r="Y183" s="284" t="str">
        <f>IF(Table1[Item Description]="","",Table1[[#This Row],[Qty]]*Table1[[#This Row],[Unit Price]])</f>
        <v/>
      </c>
      <c r="Z183" s="284" t="str">
        <f>IF(Table1[[#This Row],[h_hargasebelumdiskon]]="","",IF(Table1[[#This Row],[Disc 1]]="",0,Table1[[#This Row],[h_hargasebelumdiskon]]*Table1[[#This Row],[Disc 1]]))</f>
        <v/>
      </c>
      <c r="AA183" s="284" t="str">
        <f>IF(Table1[[#This Row],[h_hargasebelumdiskon]]="","",IF(Table1[[#This Row],[Disc 2]]="",0,(Table1[[#This Row],[h_hargasebelumdiskon]]-Table1[[#This Row],[h_disc 1]])*Table1[[#This Row],[Disc 2]]))</f>
        <v/>
      </c>
      <c r="AB183" s="284" t="str">
        <f>IF(Table1[Item Description]="","",Table1[[#This Row],[h_disc 1]]+Table1[[#This Row],[h_disc 2]])</f>
        <v/>
      </c>
      <c r="AC183" s="284" t="str">
        <f>IF(Table1[Item Description]="","",Table1[[#This Row],[h_hargasebelumdiskon]]-Table1[[#This Row],[h_diskon]])</f>
        <v/>
      </c>
      <c r="AD183" s="284" t="str">
        <f ca="1">IF(Table1[//]="","",SUMIF(Table1[h_id],Table1[h_id],Table1[h_hargasetelahdiskon]))</f>
        <v/>
      </c>
      <c r="AE183" s="284"/>
      <c r="AF183" s="284" t="str">
        <f>Table1[[#This Row],[Item Description]]&amp;Table1[[#This Row],[Unit]]&amp;Table1[[#This Row],[Unit Price]]</f>
        <v/>
      </c>
    </row>
    <row r="184" spans="1:32" x14ac:dyDescent="0.25">
      <c r="A184" s="288" t="str">
        <f ca="1">IF(Table1[[#This Row],[No. Invoice :]]="","",ROW())</f>
        <v/>
      </c>
      <c r="B184" s="288" t="str">
        <f ca="1">IF(Table1[h_Kode Sales :_1]="","",B$1+COUNT(INDIRECT("B$2:B"&amp;ROW()-1)))</f>
        <v/>
      </c>
      <c r="C184" s="282" t="str">
        <f>IF(Table1[[#This Row],[H_TGL]]="","",Table1[[#This Row],[H_TGL]]+C$1-1)</f>
        <v/>
      </c>
      <c r="H184" s="288" t="str">
        <f ca="1">IF(Table1[[#This Row],[h_No. Invoice :]]="","",CONCATENATE("AM"," ",Table1[[#This Row],[h_No. Invoice :]]))</f>
        <v/>
      </c>
      <c r="I184" s="289" t="str">
        <f>CONCATENATE(UPPER(Table1[[#This Row],[h_Kode Sales :_1]])," ",Table1[[#This Row],[h_Kode Sales :_2]])</f>
        <v xml:space="preserve"> </v>
      </c>
      <c r="J184" s="288" t="str">
        <f>IF(Table1[[#This Row],[h_toko]]="","",INDEX(Table2[e],IF(Table1[[#This Row],[h_toko]]="","",MATCH(Table1[[#This Row],[h_toko]],Table2[a],0)),))</f>
        <v/>
      </c>
      <c r="O184" s="288" t="str">
        <f>IF(Table1[[#This Row],[h_Item Description]]="","",INDEX([1]!db[NB PAJAK],MATCH(Table1[[#This Row],[h_Item Description]],[1]!db[kode],0)))</f>
        <v/>
      </c>
      <c r="Q184" s="284"/>
      <c r="R184" s="285"/>
      <c r="T184" s="284" t="str">
        <f>Table1[[#This Row],[h_hargasetelahdiskon]]</f>
        <v/>
      </c>
      <c r="W184" s="288" t="str">
        <f ca="1">IF(Table1[[#This Row],[Item Description]]="","",IF(Table1[[#This Row],[//]]="",INDIRECT(ADDRESS(ROW()-1,COLUMN())),Table1[[#This Row],[//]]))</f>
        <v/>
      </c>
      <c r="X184" s="288" t="str">
        <f ca="1">IF(Table1[[#This Row],[h_id]]="","",COUNTIF(Table1[h_id],Table1[[#This Row],[h_id]]))</f>
        <v/>
      </c>
      <c r="Y184" s="284" t="str">
        <f>IF(Table1[Item Description]="","",Table1[[#This Row],[Qty]]*Table1[[#This Row],[Unit Price]])</f>
        <v/>
      </c>
      <c r="Z184" s="284" t="str">
        <f>IF(Table1[[#This Row],[h_hargasebelumdiskon]]="","",IF(Table1[[#This Row],[Disc 1]]="",0,Table1[[#This Row],[h_hargasebelumdiskon]]*Table1[[#This Row],[Disc 1]]))</f>
        <v/>
      </c>
      <c r="AA184" s="284" t="str">
        <f>IF(Table1[[#This Row],[h_hargasebelumdiskon]]="","",IF(Table1[[#This Row],[Disc 2]]="",0,(Table1[[#This Row],[h_hargasebelumdiskon]]-Table1[[#This Row],[h_disc 1]])*Table1[[#This Row],[Disc 2]]))</f>
        <v/>
      </c>
      <c r="AB184" s="284" t="str">
        <f>IF(Table1[Item Description]="","",Table1[[#This Row],[h_disc 1]]+Table1[[#This Row],[h_disc 2]])</f>
        <v/>
      </c>
      <c r="AC184" s="284" t="str">
        <f>IF(Table1[Item Description]="","",Table1[[#This Row],[h_hargasebelumdiskon]]-Table1[[#This Row],[h_diskon]])</f>
        <v/>
      </c>
      <c r="AD184" s="284" t="str">
        <f ca="1">IF(Table1[//]="","",SUMIF(Table1[h_id],Table1[h_id],Table1[h_hargasetelahdiskon]))</f>
        <v/>
      </c>
      <c r="AE184" s="284"/>
      <c r="AF184" s="284" t="str">
        <f>Table1[[#This Row],[Item Description]]&amp;Table1[[#This Row],[Unit]]&amp;Table1[[#This Row],[Unit Price]]</f>
        <v/>
      </c>
    </row>
    <row r="185" spans="1:32" x14ac:dyDescent="0.25">
      <c r="A185" s="288" t="str">
        <f ca="1">IF(Table1[[#This Row],[No. Invoice :]]="","",ROW())</f>
        <v/>
      </c>
      <c r="B185" s="288" t="str">
        <f ca="1">IF(Table1[h_Kode Sales :_1]="","",B$1+COUNT(INDIRECT("B$2:B"&amp;ROW()-1)))</f>
        <v/>
      </c>
      <c r="C185" s="282" t="str">
        <f>IF(Table1[[#This Row],[H_TGL]]="","",Table1[[#This Row],[H_TGL]]+C$1-1)</f>
        <v/>
      </c>
      <c r="H185" s="288" t="str">
        <f ca="1">IF(Table1[[#This Row],[h_No. Invoice :]]="","",CONCATENATE("AM"," ",Table1[[#This Row],[h_No. Invoice :]]))</f>
        <v/>
      </c>
      <c r="I185" s="289" t="str">
        <f>CONCATENATE(UPPER(Table1[[#This Row],[h_Kode Sales :_1]])," ",Table1[[#This Row],[h_Kode Sales :_2]])</f>
        <v xml:space="preserve"> </v>
      </c>
      <c r="J185" s="288" t="str">
        <f>IF(Table1[[#This Row],[h_toko]]="","",INDEX(Table2[e],IF(Table1[[#This Row],[h_toko]]="","",MATCH(Table1[[#This Row],[h_toko]],Table2[a],0)),))</f>
        <v/>
      </c>
      <c r="O185" s="288" t="str">
        <f>IF(Table1[[#This Row],[h_Item Description]]="","",INDEX([1]!db[NB PAJAK],MATCH(Table1[[#This Row],[h_Item Description]],[1]!db[kode],0)))</f>
        <v/>
      </c>
      <c r="Q185" s="284"/>
      <c r="R185" s="285"/>
      <c r="T185" s="284" t="str">
        <f>Table1[[#This Row],[h_hargasetelahdiskon]]</f>
        <v/>
      </c>
      <c r="W185" s="288" t="str">
        <f ca="1">IF(Table1[[#This Row],[Item Description]]="","",IF(Table1[[#This Row],[//]]="",INDIRECT(ADDRESS(ROW()-1,COLUMN())),Table1[[#This Row],[//]]))</f>
        <v/>
      </c>
      <c r="X185" s="288" t="str">
        <f ca="1">IF(Table1[[#This Row],[h_id]]="","",COUNTIF(Table1[h_id],Table1[[#This Row],[h_id]]))</f>
        <v/>
      </c>
      <c r="Y185" s="284" t="str">
        <f>IF(Table1[Item Description]="","",Table1[[#This Row],[Qty]]*Table1[[#This Row],[Unit Price]])</f>
        <v/>
      </c>
      <c r="Z185" s="284" t="str">
        <f>IF(Table1[[#This Row],[h_hargasebelumdiskon]]="","",IF(Table1[[#This Row],[Disc 1]]="",0,Table1[[#This Row],[h_hargasebelumdiskon]]*Table1[[#This Row],[Disc 1]]))</f>
        <v/>
      </c>
      <c r="AA185" s="284" t="str">
        <f>IF(Table1[[#This Row],[h_hargasebelumdiskon]]="","",IF(Table1[[#This Row],[Disc 2]]="",0,(Table1[[#This Row],[h_hargasebelumdiskon]]-Table1[[#This Row],[h_disc 1]])*Table1[[#This Row],[Disc 2]]))</f>
        <v/>
      </c>
      <c r="AB185" s="284" t="str">
        <f>IF(Table1[Item Description]="","",Table1[[#This Row],[h_disc 1]]+Table1[[#This Row],[h_disc 2]])</f>
        <v/>
      </c>
      <c r="AC185" s="284" t="str">
        <f>IF(Table1[Item Description]="","",Table1[[#This Row],[h_hargasebelumdiskon]]-Table1[[#This Row],[h_diskon]])</f>
        <v/>
      </c>
      <c r="AD185" s="284" t="str">
        <f ca="1">IF(Table1[//]="","",SUMIF(Table1[h_id],Table1[h_id],Table1[h_hargasetelahdiskon]))</f>
        <v/>
      </c>
      <c r="AE185" s="284"/>
      <c r="AF185" s="284" t="str">
        <f>Table1[[#This Row],[Item Description]]&amp;Table1[[#This Row],[Unit]]&amp;Table1[[#This Row],[Unit Price]]</f>
        <v/>
      </c>
    </row>
    <row r="186" spans="1:32" x14ac:dyDescent="0.25">
      <c r="A186" s="288" t="str">
        <f ca="1">IF(Table1[[#This Row],[No. Invoice :]]="","",ROW())</f>
        <v/>
      </c>
      <c r="B186" s="288" t="str">
        <f ca="1">IF(Table1[h_Kode Sales :_1]="","",B$1+COUNT(INDIRECT("B$2:B"&amp;ROW()-1)))</f>
        <v/>
      </c>
      <c r="C186" s="282" t="str">
        <f>IF(Table1[[#This Row],[H_TGL]]="","",Table1[[#This Row],[H_TGL]]+C$1-1)</f>
        <v/>
      </c>
      <c r="H186" s="288" t="str">
        <f ca="1">IF(Table1[[#This Row],[h_No. Invoice :]]="","",CONCATENATE("AM"," ",Table1[[#This Row],[h_No. Invoice :]]))</f>
        <v/>
      </c>
      <c r="I186" s="289" t="str">
        <f>CONCATENATE(UPPER(Table1[[#This Row],[h_Kode Sales :_1]])," ",Table1[[#This Row],[h_Kode Sales :_2]])</f>
        <v xml:space="preserve"> </v>
      </c>
      <c r="J186" s="288" t="str">
        <f>IF(Table1[[#This Row],[h_toko]]="","",INDEX(Table2[e],IF(Table1[[#This Row],[h_toko]]="","",MATCH(Table1[[#This Row],[h_toko]],Table2[a],0)),))</f>
        <v/>
      </c>
      <c r="O186" s="288" t="str">
        <f>IF(Table1[[#This Row],[h_Item Description]]="","",INDEX([1]!db[NB PAJAK],MATCH(Table1[[#This Row],[h_Item Description]],[1]!db[kode],0)))</f>
        <v/>
      </c>
      <c r="Q186" s="284"/>
      <c r="R186" s="285"/>
      <c r="T186" s="284" t="str">
        <f>Table1[[#This Row],[h_hargasetelahdiskon]]</f>
        <v/>
      </c>
      <c r="W186" s="288" t="str">
        <f ca="1">IF(Table1[[#This Row],[Item Description]]="","",IF(Table1[[#This Row],[//]]="",INDIRECT(ADDRESS(ROW()-1,COLUMN())),Table1[[#This Row],[//]]))</f>
        <v/>
      </c>
      <c r="X186" s="288" t="str">
        <f ca="1">IF(Table1[[#This Row],[h_id]]="","",COUNTIF(Table1[h_id],Table1[[#This Row],[h_id]]))</f>
        <v/>
      </c>
      <c r="Y186" s="284" t="str">
        <f>IF(Table1[Item Description]="","",Table1[[#This Row],[Qty]]*Table1[[#This Row],[Unit Price]])</f>
        <v/>
      </c>
      <c r="Z186" s="284" t="str">
        <f>IF(Table1[[#This Row],[h_hargasebelumdiskon]]="","",IF(Table1[[#This Row],[Disc 1]]="",0,Table1[[#This Row],[h_hargasebelumdiskon]]*Table1[[#This Row],[Disc 1]]))</f>
        <v/>
      </c>
      <c r="AA186" s="284" t="str">
        <f>IF(Table1[[#This Row],[h_hargasebelumdiskon]]="","",IF(Table1[[#This Row],[Disc 2]]="",0,(Table1[[#This Row],[h_hargasebelumdiskon]]-Table1[[#This Row],[h_disc 1]])*Table1[[#This Row],[Disc 2]]))</f>
        <v/>
      </c>
      <c r="AB186" s="284" t="str">
        <f>IF(Table1[Item Description]="","",Table1[[#This Row],[h_disc 1]]+Table1[[#This Row],[h_disc 2]])</f>
        <v/>
      </c>
      <c r="AC186" s="284" t="str">
        <f>IF(Table1[Item Description]="","",Table1[[#This Row],[h_hargasebelumdiskon]]-Table1[[#This Row],[h_diskon]])</f>
        <v/>
      </c>
      <c r="AD186" s="284" t="str">
        <f ca="1">IF(Table1[//]="","",SUMIF(Table1[h_id],Table1[h_id],Table1[h_hargasetelahdiskon]))</f>
        <v/>
      </c>
      <c r="AE186" s="284"/>
      <c r="AF186" s="284" t="str">
        <f>Table1[[#This Row],[Item Description]]&amp;Table1[[#This Row],[Unit]]&amp;Table1[[#This Row],[Unit Price]]</f>
        <v/>
      </c>
    </row>
    <row r="187" spans="1:32" x14ac:dyDescent="0.25">
      <c r="A187" s="288" t="str">
        <f ca="1">IF(Table1[[#This Row],[No. Invoice :]]="","",ROW())</f>
        <v/>
      </c>
      <c r="B187" s="288" t="str">
        <f ca="1">IF(Table1[h_Kode Sales :_1]="","",B$1+COUNT(INDIRECT("B$2:B"&amp;ROW()-1)))</f>
        <v/>
      </c>
      <c r="C187" s="282" t="str">
        <f>IF(Table1[[#This Row],[H_TGL]]="","",Table1[[#This Row],[H_TGL]]+C$1-1)</f>
        <v/>
      </c>
      <c r="H187" s="288" t="str">
        <f ca="1">IF(Table1[[#This Row],[h_No. Invoice :]]="","",CONCATENATE("AM"," ",Table1[[#This Row],[h_No. Invoice :]]))</f>
        <v/>
      </c>
      <c r="I187" s="289" t="str">
        <f>CONCATENATE(UPPER(Table1[[#This Row],[h_Kode Sales :_1]])," ",Table1[[#This Row],[h_Kode Sales :_2]])</f>
        <v xml:space="preserve"> </v>
      </c>
      <c r="J187" s="288" t="str">
        <f>IF(Table1[[#This Row],[h_toko]]="","",INDEX(Table2[e],IF(Table1[[#This Row],[h_toko]]="","",MATCH(Table1[[#This Row],[h_toko]],Table2[a],0)),))</f>
        <v/>
      </c>
      <c r="O187" s="288" t="str">
        <f>IF(Table1[[#This Row],[h_Item Description]]="","",INDEX([1]!db[NB PAJAK],MATCH(Table1[[#This Row],[h_Item Description]],[1]!db[kode],0)))</f>
        <v/>
      </c>
      <c r="Q187" s="284"/>
      <c r="R187" s="285"/>
      <c r="T187" s="284" t="str">
        <f>Table1[[#This Row],[h_hargasetelahdiskon]]</f>
        <v/>
      </c>
      <c r="W187" s="288" t="str">
        <f ca="1">IF(Table1[[#This Row],[Item Description]]="","",IF(Table1[[#This Row],[//]]="",INDIRECT(ADDRESS(ROW()-1,COLUMN())),Table1[[#This Row],[//]]))</f>
        <v/>
      </c>
      <c r="X187" s="288" t="str">
        <f ca="1">IF(Table1[[#This Row],[h_id]]="","",COUNTIF(Table1[h_id],Table1[[#This Row],[h_id]]))</f>
        <v/>
      </c>
      <c r="Y187" s="284" t="str">
        <f>IF(Table1[Item Description]="","",Table1[[#This Row],[Qty]]*Table1[[#This Row],[Unit Price]])</f>
        <v/>
      </c>
      <c r="Z187" s="284" t="str">
        <f>IF(Table1[[#This Row],[h_hargasebelumdiskon]]="","",IF(Table1[[#This Row],[Disc 1]]="",0,Table1[[#This Row],[h_hargasebelumdiskon]]*Table1[[#This Row],[Disc 1]]))</f>
        <v/>
      </c>
      <c r="AA187" s="284" t="str">
        <f>IF(Table1[[#This Row],[h_hargasebelumdiskon]]="","",IF(Table1[[#This Row],[Disc 2]]="",0,(Table1[[#This Row],[h_hargasebelumdiskon]]-Table1[[#This Row],[h_disc 1]])*Table1[[#This Row],[Disc 2]]))</f>
        <v/>
      </c>
      <c r="AB187" s="284" t="str">
        <f>IF(Table1[Item Description]="","",Table1[[#This Row],[h_disc 1]]+Table1[[#This Row],[h_disc 2]])</f>
        <v/>
      </c>
      <c r="AC187" s="284" t="str">
        <f>IF(Table1[Item Description]="","",Table1[[#This Row],[h_hargasebelumdiskon]]-Table1[[#This Row],[h_diskon]])</f>
        <v/>
      </c>
      <c r="AD187" s="284" t="str">
        <f ca="1">IF(Table1[//]="","",SUMIF(Table1[h_id],Table1[h_id],Table1[h_hargasetelahdiskon]))</f>
        <v/>
      </c>
      <c r="AE187" s="284"/>
      <c r="AF187" s="284" t="str">
        <f>Table1[[#This Row],[Item Description]]&amp;Table1[[#This Row],[Unit]]&amp;Table1[[#This Row],[Unit Price]]</f>
        <v/>
      </c>
    </row>
    <row r="188" spans="1:32" x14ac:dyDescent="0.25">
      <c r="A188" s="288" t="str">
        <f ca="1">IF(Table1[[#This Row],[No. Invoice :]]="","",ROW())</f>
        <v/>
      </c>
      <c r="B188" s="288" t="str">
        <f ca="1">IF(Table1[h_Kode Sales :_1]="","",B$1+COUNT(INDIRECT("B$2:B"&amp;ROW()-1)))</f>
        <v/>
      </c>
      <c r="C188" s="282" t="str">
        <f>IF(Table1[[#This Row],[H_TGL]]="","",Table1[[#This Row],[H_TGL]]+C$1-1)</f>
        <v/>
      </c>
      <c r="H188" s="288" t="str">
        <f ca="1">IF(Table1[[#This Row],[h_No. Invoice :]]="","",CONCATENATE("AM"," ",Table1[[#This Row],[h_No. Invoice :]]))</f>
        <v/>
      </c>
      <c r="I188" s="289" t="str">
        <f>CONCATENATE(UPPER(Table1[[#This Row],[h_Kode Sales :_1]])," ",Table1[[#This Row],[h_Kode Sales :_2]])</f>
        <v xml:space="preserve"> </v>
      </c>
      <c r="J188" s="288" t="str">
        <f>IF(Table1[[#This Row],[h_toko]]="","",INDEX(Table2[e],IF(Table1[[#This Row],[h_toko]]="","",MATCH(Table1[[#This Row],[h_toko]],Table2[a],0)),))</f>
        <v/>
      </c>
      <c r="O188" s="288" t="str">
        <f>IF(Table1[[#This Row],[h_Item Description]]="","",INDEX([1]!db[NB PAJAK],MATCH(Table1[[#This Row],[h_Item Description]],[1]!db[kode],0)))</f>
        <v/>
      </c>
      <c r="Q188" s="284"/>
      <c r="R188" s="285"/>
      <c r="T188" s="284" t="str">
        <f>Table1[[#This Row],[h_hargasetelahdiskon]]</f>
        <v/>
      </c>
      <c r="W188" s="288" t="str">
        <f ca="1">IF(Table1[[#This Row],[Item Description]]="","",IF(Table1[[#This Row],[//]]="",INDIRECT(ADDRESS(ROW()-1,COLUMN())),Table1[[#This Row],[//]]))</f>
        <v/>
      </c>
      <c r="X188" s="288" t="str">
        <f ca="1">IF(Table1[[#This Row],[h_id]]="","",COUNTIF(Table1[h_id],Table1[[#This Row],[h_id]]))</f>
        <v/>
      </c>
      <c r="Y188" s="284" t="str">
        <f>IF(Table1[Item Description]="","",Table1[[#This Row],[Qty]]*Table1[[#This Row],[Unit Price]])</f>
        <v/>
      </c>
      <c r="Z188" s="284" t="str">
        <f>IF(Table1[[#This Row],[h_hargasebelumdiskon]]="","",IF(Table1[[#This Row],[Disc 1]]="",0,Table1[[#This Row],[h_hargasebelumdiskon]]*Table1[[#This Row],[Disc 1]]))</f>
        <v/>
      </c>
      <c r="AA188" s="284" t="str">
        <f>IF(Table1[[#This Row],[h_hargasebelumdiskon]]="","",IF(Table1[[#This Row],[Disc 2]]="",0,(Table1[[#This Row],[h_hargasebelumdiskon]]-Table1[[#This Row],[h_disc 1]])*Table1[[#This Row],[Disc 2]]))</f>
        <v/>
      </c>
      <c r="AB188" s="284" t="str">
        <f>IF(Table1[Item Description]="","",Table1[[#This Row],[h_disc 1]]+Table1[[#This Row],[h_disc 2]])</f>
        <v/>
      </c>
      <c r="AC188" s="284" t="str">
        <f>IF(Table1[Item Description]="","",Table1[[#This Row],[h_hargasebelumdiskon]]-Table1[[#This Row],[h_diskon]])</f>
        <v/>
      </c>
      <c r="AD188" s="284" t="str">
        <f ca="1">IF(Table1[//]="","",SUMIF(Table1[h_id],Table1[h_id],Table1[h_hargasetelahdiskon]))</f>
        <v/>
      </c>
      <c r="AE188" s="284"/>
      <c r="AF188" s="284" t="str">
        <f>Table1[[#This Row],[Item Description]]&amp;Table1[[#This Row],[Unit]]&amp;Table1[[#This Row],[Unit Price]]</f>
        <v/>
      </c>
    </row>
    <row r="189" spans="1:32" x14ac:dyDescent="0.25">
      <c r="A189" s="288" t="str">
        <f ca="1">IF(Table1[[#This Row],[No. Invoice :]]="","",ROW())</f>
        <v/>
      </c>
      <c r="B189" s="288" t="str">
        <f ca="1">IF(Table1[h_Kode Sales :_1]="","",B$1+COUNT(INDIRECT("B$2:B"&amp;ROW()-1)))</f>
        <v/>
      </c>
      <c r="C189" s="282" t="str">
        <f>IF(Table1[[#This Row],[H_TGL]]="","",Table1[[#This Row],[H_TGL]]+C$1-1)</f>
        <v/>
      </c>
      <c r="H189" s="288" t="str">
        <f ca="1">IF(Table1[[#This Row],[h_No. Invoice :]]="","",CONCATENATE("AM"," ",Table1[[#This Row],[h_No. Invoice :]]))</f>
        <v/>
      </c>
      <c r="I189" s="289" t="str">
        <f>CONCATENATE(UPPER(Table1[[#This Row],[h_Kode Sales :_1]])," ",Table1[[#This Row],[h_Kode Sales :_2]])</f>
        <v xml:space="preserve"> </v>
      </c>
      <c r="J189" s="288" t="str">
        <f>IF(Table1[[#This Row],[h_toko]]="","",INDEX(Table2[e],IF(Table1[[#This Row],[h_toko]]="","",MATCH(Table1[[#This Row],[h_toko]],Table2[a],0)),))</f>
        <v/>
      </c>
      <c r="O189" s="288" t="str">
        <f>IF(Table1[[#This Row],[h_Item Description]]="","",INDEX([1]!db[NB PAJAK],MATCH(Table1[[#This Row],[h_Item Description]],[1]!db[kode],0)))</f>
        <v/>
      </c>
      <c r="Q189" s="284"/>
      <c r="R189" s="285"/>
      <c r="T189" s="284" t="str">
        <f>Table1[[#This Row],[h_hargasetelahdiskon]]</f>
        <v/>
      </c>
      <c r="W189" s="288" t="str">
        <f ca="1">IF(Table1[[#This Row],[Item Description]]="","",IF(Table1[[#This Row],[//]]="",INDIRECT(ADDRESS(ROW()-1,COLUMN())),Table1[[#This Row],[//]]))</f>
        <v/>
      </c>
      <c r="X189" s="288" t="str">
        <f ca="1">IF(Table1[[#This Row],[h_id]]="","",COUNTIF(Table1[h_id],Table1[[#This Row],[h_id]]))</f>
        <v/>
      </c>
      <c r="Y189" s="284" t="str">
        <f>IF(Table1[Item Description]="","",Table1[[#This Row],[Qty]]*Table1[[#This Row],[Unit Price]])</f>
        <v/>
      </c>
      <c r="Z189" s="284" t="str">
        <f>IF(Table1[[#This Row],[h_hargasebelumdiskon]]="","",IF(Table1[[#This Row],[Disc 1]]="",0,Table1[[#This Row],[h_hargasebelumdiskon]]*Table1[[#This Row],[Disc 1]]))</f>
        <v/>
      </c>
      <c r="AA189" s="284" t="str">
        <f>IF(Table1[[#This Row],[h_hargasebelumdiskon]]="","",IF(Table1[[#This Row],[Disc 2]]="",0,(Table1[[#This Row],[h_hargasebelumdiskon]]-Table1[[#This Row],[h_disc 1]])*Table1[[#This Row],[Disc 2]]))</f>
        <v/>
      </c>
      <c r="AB189" s="284" t="str">
        <f>IF(Table1[Item Description]="","",Table1[[#This Row],[h_disc 1]]+Table1[[#This Row],[h_disc 2]])</f>
        <v/>
      </c>
      <c r="AC189" s="284" t="str">
        <f>IF(Table1[Item Description]="","",Table1[[#This Row],[h_hargasebelumdiskon]]-Table1[[#This Row],[h_diskon]])</f>
        <v/>
      </c>
      <c r="AD189" s="284" t="str">
        <f ca="1">IF(Table1[//]="","",SUMIF(Table1[h_id],Table1[h_id],Table1[h_hargasetelahdiskon]))</f>
        <v/>
      </c>
      <c r="AE189" s="284"/>
      <c r="AF189" s="284" t="str">
        <f>Table1[[#This Row],[Item Description]]&amp;Table1[[#This Row],[Unit]]&amp;Table1[[#This Row],[Unit Price]]</f>
        <v/>
      </c>
    </row>
    <row r="190" spans="1:32" x14ac:dyDescent="0.25">
      <c r="A190" s="288" t="str">
        <f ca="1">IF(Table1[[#This Row],[No. Invoice :]]="","",ROW())</f>
        <v/>
      </c>
      <c r="B190" s="288" t="str">
        <f ca="1">IF(Table1[h_Kode Sales :_1]="","",B$1+COUNT(INDIRECT("B$2:B"&amp;ROW()-1)))</f>
        <v/>
      </c>
      <c r="C190" s="282" t="str">
        <f>IF(Table1[[#This Row],[H_TGL]]="","",Table1[[#This Row],[H_TGL]]+C$1-1)</f>
        <v/>
      </c>
      <c r="H190" s="288" t="str">
        <f ca="1">IF(Table1[[#This Row],[h_No. Invoice :]]="","",CONCATENATE("AM"," ",Table1[[#This Row],[h_No. Invoice :]]))</f>
        <v/>
      </c>
      <c r="I190" s="289" t="str">
        <f>CONCATENATE(UPPER(Table1[[#This Row],[h_Kode Sales :_1]])," ",Table1[[#This Row],[h_Kode Sales :_2]])</f>
        <v xml:space="preserve"> </v>
      </c>
      <c r="J190" s="288" t="str">
        <f>IF(Table1[[#This Row],[h_toko]]="","",INDEX(Table2[e],IF(Table1[[#This Row],[h_toko]]="","",MATCH(Table1[[#This Row],[h_toko]],Table2[a],0)),))</f>
        <v/>
      </c>
      <c r="O190" s="288" t="str">
        <f>IF(Table1[[#This Row],[h_Item Description]]="","",INDEX([1]!db[NB PAJAK],MATCH(Table1[[#This Row],[h_Item Description]],[1]!db[kode],0)))</f>
        <v/>
      </c>
      <c r="Q190" s="284"/>
      <c r="R190" s="285"/>
      <c r="T190" s="284" t="str">
        <f>Table1[[#This Row],[h_hargasetelahdiskon]]</f>
        <v/>
      </c>
      <c r="W190" s="288" t="str">
        <f ca="1">IF(Table1[[#This Row],[Item Description]]="","",IF(Table1[[#This Row],[//]]="",INDIRECT(ADDRESS(ROW()-1,COLUMN())),Table1[[#This Row],[//]]))</f>
        <v/>
      </c>
      <c r="X190" s="288" t="str">
        <f ca="1">IF(Table1[[#This Row],[h_id]]="","",COUNTIF(Table1[h_id],Table1[[#This Row],[h_id]]))</f>
        <v/>
      </c>
      <c r="Y190" s="284" t="str">
        <f>IF(Table1[Item Description]="","",Table1[[#This Row],[Qty]]*Table1[[#This Row],[Unit Price]])</f>
        <v/>
      </c>
      <c r="Z190" s="284" t="str">
        <f>IF(Table1[[#This Row],[h_hargasebelumdiskon]]="","",IF(Table1[[#This Row],[Disc 1]]="",0,Table1[[#This Row],[h_hargasebelumdiskon]]*Table1[[#This Row],[Disc 1]]))</f>
        <v/>
      </c>
      <c r="AA190" s="284" t="str">
        <f>IF(Table1[[#This Row],[h_hargasebelumdiskon]]="","",IF(Table1[[#This Row],[Disc 2]]="",0,(Table1[[#This Row],[h_hargasebelumdiskon]]-Table1[[#This Row],[h_disc 1]])*Table1[[#This Row],[Disc 2]]))</f>
        <v/>
      </c>
      <c r="AB190" s="284" t="str">
        <f>IF(Table1[Item Description]="","",Table1[[#This Row],[h_disc 1]]+Table1[[#This Row],[h_disc 2]])</f>
        <v/>
      </c>
      <c r="AC190" s="284" t="str">
        <f>IF(Table1[Item Description]="","",Table1[[#This Row],[h_hargasebelumdiskon]]-Table1[[#This Row],[h_diskon]])</f>
        <v/>
      </c>
      <c r="AD190" s="284" t="str">
        <f ca="1">IF(Table1[//]="","",SUMIF(Table1[h_id],Table1[h_id],Table1[h_hargasetelahdiskon]))</f>
        <v/>
      </c>
      <c r="AE190" s="284"/>
      <c r="AF190" s="284" t="str">
        <f>Table1[[#This Row],[Item Description]]&amp;Table1[[#This Row],[Unit]]&amp;Table1[[#This Row],[Unit Price]]</f>
        <v/>
      </c>
    </row>
    <row r="191" spans="1:32" x14ac:dyDescent="0.25">
      <c r="A191" s="288" t="str">
        <f ca="1">IF(Table1[[#This Row],[No. Invoice :]]="","",ROW())</f>
        <v/>
      </c>
      <c r="B191" s="288" t="str">
        <f ca="1">IF(Table1[h_Kode Sales :_1]="","",B$1+COUNT(INDIRECT("B$2:B"&amp;ROW()-1)))</f>
        <v/>
      </c>
      <c r="C191" s="282" t="str">
        <f>IF(Table1[[#This Row],[H_TGL]]="","",Table1[[#This Row],[H_TGL]]+C$1-1)</f>
        <v/>
      </c>
      <c r="H191" s="288" t="str">
        <f ca="1">IF(Table1[[#This Row],[h_No. Invoice :]]="","",CONCATENATE("AM"," ",Table1[[#This Row],[h_No. Invoice :]]))</f>
        <v/>
      </c>
      <c r="I191" s="289" t="str">
        <f>CONCATENATE(UPPER(Table1[[#This Row],[h_Kode Sales :_1]])," ",Table1[[#This Row],[h_Kode Sales :_2]])</f>
        <v xml:space="preserve"> </v>
      </c>
      <c r="J191" s="288" t="str">
        <f>IF(Table1[[#This Row],[h_toko]]="","",INDEX(Table2[e],IF(Table1[[#This Row],[h_toko]]="","",MATCH(Table1[[#This Row],[h_toko]],Table2[a],0)),))</f>
        <v/>
      </c>
      <c r="O191" s="288" t="str">
        <f>IF(Table1[[#This Row],[h_Item Description]]="","",INDEX([1]!db[NB PAJAK],MATCH(Table1[[#This Row],[h_Item Description]],[1]!db[kode],0)))</f>
        <v/>
      </c>
      <c r="Q191" s="284"/>
      <c r="R191" s="285"/>
      <c r="T191" s="284" t="str">
        <f>Table1[[#This Row],[h_hargasetelahdiskon]]</f>
        <v/>
      </c>
      <c r="W191" s="288" t="str">
        <f ca="1">IF(Table1[[#This Row],[Item Description]]="","",IF(Table1[[#This Row],[//]]="",INDIRECT(ADDRESS(ROW()-1,COLUMN())),Table1[[#This Row],[//]]))</f>
        <v/>
      </c>
      <c r="X191" s="288" t="str">
        <f ca="1">IF(Table1[[#This Row],[h_id]]="","",COUNTIF(Table1[h_id],Table1[[#This Row],[h_id]]))</f>
        <v/>
      </c>
      <c r="Y191" s="284" t="str">
        <f>IF(Table1[Item Description]="","",Table1[[#This Row],[Qty]]*Table1[[#This Row],[Unit Price]])</f>
        <v/>
      </c>
      <c r="Z191" s="284" t="str">
        <f>IF(Table1[[#This Row],[h_hargasebelumdiskon]]="","",IF(Table1[[#This Row],[Disc 1]]="",0,Table1[[#This Row],[h_hargasebelumdiskon]]*Table1[[#This Row],[Disc 1]]))</f>
        <v/>
      </c>
      <c r="AA191" s="284" t="str">
        <f>IF(Table1[[#This Row],[h_hargasebelumdiskon]]="","",IF(Table1[[#This Row],[Disc 2]]="",0,(Table1[[#This Row],[h_hargasebelumdiskon]]-Table1[[#This Row],[h_disc 1]])*Table1[[#This Row],[Disc 2]]))</f>
        <v/>
      </c>
      <c r="AB191" s="284" t="str">
        <f>IF(Table1[Item Description]="","",Table1[[#This Row],[h_disc 1]]+Table1[[#This Row],[h_disc 2]])</f>
        <v/>
      </c>
      <c r="AC191" s="284" t="str">
        <f>IF(Table1[Item Description]="","",Table1[[#This Row],[h_hargasebelumdiskon]]-Table1[[#This Row],[h_diskon]])</f>
        <v/>
      </c>
      <c r="AD191" s="284" t="str">
        <f ca="1">IF(Table1[//]="","",SUMIF(Table1[h_id],Table1[h_id],Table1[h_hargasetelahdiskon]))</f>
        <v/>
      </c>
      <c r="AE191" s="284"/>
      <c r="AF191" s="284" t="str">
        <f>Table1[[#This Row],[Item Description]]&amp;Table1[[#This Row],[Unit]]&amp;Table1[[#This Row],[Unit Price]]</f>
        <v/>
      </c>
    </row>
    <row r="192" spans="1:32" x14ac:dyDescent="0.25">
      <c r="A192" s="288" t="str">
        <f ca="1">IF(Table1[[#This Row],[No. Invoice :]]="","",ROW())</f>
        <v/>
      </c>
      <c r="B192" s="288" t="str">
        <f ca="1">IF(Table1[h_Kode Sales :_1]="","",B$1+COUNT(INDIRECT("B$2:B"&amp;ROW()-1)))</f>
        <v/>
      </c>
      <c r="C192" s="282" t="str">
        <f>IF(Table1[[#This Row],[H_TGL]]="","",Table1[[#This Row],[H_TGL]]+C$1-1)</f>
        <v/>
      </c>
      <c r="H192" s="288" t="str">
        <f ca="1">IF(Table1[[#This Row],[h_No. Invoice :]]="","",CONCATENATE("AM"," ",Table1[[#This Row],[h_No. Invoice :]]))</f>
        <v/>
      </c>
      <c r="I192" s="289" t="str">
        <f>CONCATENATE(UPPER(Table1[[#This Row],[h_Kode Sales :_1]])," ",Table1[[#This Row],[h_Kode Sales :_2]])</f>
        <v xml:space="preserve"> </v>
      </c>
      <c r="J192" s="288" t="str">
        <f>IF(Table1[[#This Row],[h_toko]]="","",INDEX(Table2[e],IF(Table1[[#This Row],[h_toko]]="","",MATCH(Table1[[#This Row],[h_toko]],Table2[a],0)),))</f>
        <v/>
      </c>
      <c r="O192" s="288" t="str">
        <f>IF(Table1[[#This Row],[h_Item Description]]="","",INDEX([1]!db[NB PAJAK],MATCH(Table1[[#This Row],[h_Item Description]],[1]!db[kode],0)))</f>
        <v/>
      </c>
      <c r="Q192" s="284"/>
      <c r="R192" s="285"/>
      <c r="T192" s="284" t="str">
        <f>Table1[[#This Row],[h_hargasetelahdiskon]]</f>
        <v/>
      </c>
      <c r="W192" s="288" t="str">
        <f ca="1">IF(Table1[[#This Row],[Item Description]]="","",IF(Table1[[#This Row],[//]]="",INDIRECT(ADDRESS(ROW()-1,COLUMN())),Table1[[#This Row],[//]]))</f>
        <v/>
      </c>
      <c r="X192" s="288" t="str">
        <f ca="1">IF(Table1[[#This Row],[h_id]]="","",COUNTIF(Table1[h_id],Table1[[#This Row],[h_id]]))</f>
        <v/>
      </c>
      <c r="Y192" s="284" t="str">
        <f>IF(Table1[Item Description]="","",Table1[[#This Row],[Qty]]*Table1[[#This Row],[Unit Price]])</f>
        <v/>
      </c>
      <c r="Z192" s="284" t="str">
        <f>IF(Table1[[#This Row],[h_hargasebelumdiskon]]="","",IF(Table1[[#This Row],[Disc 1]]="",0,Table1[[#This Row],[h_hargasebelumdiskon]]*Table1[[#This Row],[Disc 1]]))</f>
        <v/>
      </c>
      <c r="AA192" s="284" t="str">
        <f>IF(Table1[[#This Row],[h_hargasebelumdiskon]]="","",IF(Table1[[#This Row],[Disc 2]]="",0,(Table1[[#This Row],[h_hargasebelumdiskon]]-Table1[[#This Row],[h_disc 1]])*Table1[[#This Row],[Disc 2]]))</f>
        <v/>
      </c>
      <c r="AB192" s="284" t="str">
        <f>IF(Table1[Item Description]="","",Table1[[#This Row],[h_disc 1]]+Table1[[#This Row],[h_disc 2]])</f>
        <v/>
      </c>
      <c r="AC192" s="284" t="str">
        <f>IF(Table1[Item Description]="","",Table1[[#This Row],[h_hargasebelumdiskon]]-Table1[[#This Row],[h_diskon]])</f>
        <v/>
      </c>
      <c r="AD192" s="284" t="str">
        <f ca="1">IF(Table1[//]="","",SUMIF(Table1[h_id],Table1[h_id],Table1[h_hargasetelahdiskon]))</f>
        <v/>
      </c>
      <c r="AE192" s="284"/>
      <c r="AF192" s="284" t="str">
        <f>Table1[[#This Row],[Item Description]]&amp;Table1[[#This Row],[Unit]]&amp;Table1[[#This Row],[Unit Price]]</f>
        <v/>
      </c>
    </row>
    <row r="193" spans="1:32" x14ac:dyDescent="0.25">
      <c r="A193" s="288" t="str">
        <f ca="1">IF(Table1[[#This Row],[No. Invoice :]]="","",ROW())</f>
        <v/>
      </c>
      <c r="B193" s="288" t="str">
        <f ca="1">IF(Table1[h_Kode Sales :_1]="","",B$1+COUNT(INDIRECT("B$2:B"&amp;ROW()-1)))</f>
        <v/>
      </c>
      <c r="C193" s="282" t="str">
        <f>IF(Table1[[#This Row],[H_TGL]]="","",Table1[[#This Row],[H_TGL]]+C$1-1)</f>
        <v/>
      </c>
      <c r="H193" s="288" t="str">
        <f ca="1">IF(Table1[[#This Row],[h_No. Invoice :]]="","",CONCATENATE("AM"," ",Table1[[#This Row],[h_No. Invoice :]]))</f>
        <v/>
      </c>
      <c r="I193" s="289" t="str">
        <f>CONCATENATE(UPPER(Table1[[#This Row],[h_Kode Sales :_1]])," ",Table1[[#This Row],[h_Kode Sales :_2]])</f>
        <v xml:space="preserve"> </v>
      </c>
      <c r="J193" s="288" t="str">
        <f>IF(Table1[[#This Row],[h_toko]]="","",INDEX(Table2[e],IF(Table1[[#This Row],[h_toko]]="","",MATCH(Table1[[#This Row],[h_toko]],Table2[a],0)),))</f>
        <v/>
      </c>
      <c r="O193" s="288" t="str">
        <f>IF(Table1[[#This Row],[h_Item Description]]="","",INDEX([1]!db[NB PAJAK],MATCH(Table1[[#This Row],[h_Item Description]],[1]!db[kode],0)))</f>
        <v/>
      </c>
      <c r="Q193" s="284"/>
      <c r="R193" s="285"/>
      <c r="T193" s="284" t="str">
        <f>Table1[[#This Row],[h_hargasetelahdiskon]]</f>
        <v/>
      </c>
      <c r="W193" s="288" t="str">
        <f ca="1">IF(Table1[[#This Row],[Item Description]]="","",IF(Table1[[#This Row],[//]]="",INDIRECT(ADDRESS(ROW()-1,COLUMN())),Table1[[#This Row],[//]]))</f>
        <v/>
      </c>
      <c r="X193" s="288" t="str">
        <f ca="1">IF(Table1[[#This Row],[h_id]]="","",COUNTIF(Table1[h_id],Table1[[#This Row],[h_id]]))</f>
        <v/>
      </c>
      <c r="Y193" s="284" t="str">
        <f>IF(Table1[Item Description]="","",Table1[[#This Row],[Qty]]*Table1[[#This Row],[Unit Price]])</f>
        <v/>
      </c>
      <c r="Z193" s="284" t="str">
        <f>IF(Table1[[#This Row],[h_hargasebelumdiskon]]="","",IF(Table1[[#This Row],[Disc 1]]="",0,Table1[[#This Row],[h_hargasebelumdiskon]]*Table1[[#This Row],[Disc 1]]))</f>
        <v/>
      </c>
      <c r="AA193" s="284" t="str">
        <f>IF(Table1[[#This Row],[h_hargasebelumdiskon]]="","",IF(Table1[[#This Row],[Disc 2]]="",0,(Table1[[#This Row],[h_hargasebelumdiskon]]-Table1[[#This Row],[h_disc 1]])*Table1[[#This Row],[Disc 2]]))</f>
        <v/>
      </c>
      <c r="AB193" s="284" t="str">
        <f>IF(Table1[Item Description]="","",Table1[[#This Row],[h_disc 1]]+Table1[[#This Row],[h_disc 2]])</f>
        <v/>
      </c>
      <c r="AC193" s="284" t="str">
        <f>IF(Table1[Item Description]="","",Table1[[#This Row],[h_hargasebelumdiskon]]-Table1[[#This Row],[h_diskon]])</f>
        <v/>
      </c>
      <c r="AD193" s="284" t="str">
        <f ca="1">IF(Table1[//]="","",SUMIF(Table1[h_id],Table1[h_id],Table1[h_hargasetelahdiskon]))</f>
        <v/>
      </c>
      <c r="AE193" s="284"/>
      <c r="AF193" s="284" t="str">
        <f>Table1[[#This Row],[Item Description]]&amp;Table1[[#This Row],[Unit]]&amp;Table1[[#This Row],[Unit Price]]</f>
        <v/>
      </c>
    </row>
    <row r="194" spans="1:32" x14ac:dyDescent="0.25">
      <c r="A194" s="288" t="str">
        <f ca="1">IF(Table1[[#This Row],[No. Invoice :]]="","",ROW())</f>
        <v/>
      </c>
      <c r="B194" s="288" t="str">
        <f ca="1">IF(Table1[h_Kode Sales :_1]="","",B$1+COUNT(INDIRECT("B$2:B"&amp;ROW()-1)))</f>
        <v/>
      </c>
      <c r="C194" s="282" t="str">
        <f>IF(Table1[[#This Row],[H_TGL]]="","",Table1[[#This Row],[H_TGL]]+C$1-1)</f>
        <v/>
      </c>
      <c r="H194" s="288" t="str">
        <f ca="1">IF(Table1[[#This Row],[h_No. Invoice :]]="","",CONCATENATE("AM"," ",Table1[[#This Row],[h_No. Invoice :]]))</f>
        <v/>
      </c>
      <c r="I194" s="289" t="str">
        <f>CONCATENATE(UPPER(Table1[[#This Row],[h_Kode Sales :_1]])," ",Table1[[#This Row],[h_Kode Sales :_2]])</f>
        <v xml:space="preserve"> </v>
      </c>
      <c r="J194" s="288" t="str">
        <f>IF(Table1[[#This Row],[h_toko]]="","",INDEX(Table2[e],IF(Table1[[#This Row],[h_toko]]="","",MATCH(Table1[[#This Row],[h_toko]],Table2[a],0)),))</f>
        <v/>
      </c>
      <c r="O194" s="288" t="str">
        <f>IF(Table1[[#This Row],[h_Item Description]]="","",INDEX([1]!db[NB PAJAK],MATCH(Table1[[#This Row],[h_Item Description]],[1]!db[kode],0)))</f>
        <v/>
      </c>
      <c r="Q194" s="284"/>
      <c r="R194" s="285"/>
      <c r="T194" s="284" t="str">
        <f>Table1[[#This Row],[h_hargasetelahdiskon]]</f>
        <v/>
      </c>
      <c r="W194" s="288" t="str">
        <f ca="1">IF(Table1[[#This Row],[Item Description]]="","",IF(Table1[[#This Row],[//]]="",INDIRECT(ADDRESS(ROW()-1,COLUMN())),Table1[[#This Row],[//]]))</f>
        <v/>
      </c>
      <c r="X194" s="288" t="str">
        <f ca="1">IF(Table1[[#This Row],[h_id]]="","",COUNTIF(Table1[h_id],Table1[[#This Row],[h_id]]))</f>
        <v/>
      </c>
      <c r="Y194" s="284" t="str">
        <f>IF(Table1[Item Description]="","",Table1[[#This Row],[Qty]]*Table1[[#This Row],[Unit Price]])</f>
        <v/>
      </c>
      <c r="Z194" s="284" t="str">
        <f>IF(Table1[[#This Row],[h_hargasebelumdiskon]]="","",IF(Table1[[#This Row],[Disc 1]]="",0,Table1[[#This Row],[h_hargasebelumdiskon]]*Table1[[#This Row],[Disc 1]]))</f>
        <v/>
      </c>
      <c r="AA194" s="284" t="str">
        <f>IF(Table1[[#This Row],[h_hargasebelumdiskon]]="","",IF(Table1[[#This Row],[Disc 2]]="",0,(Table1[[#This Row],[h_hargasebelumdiskon]]-Table1[[#This Row],[h_disc 1]])*Table1[[#This Row],[Disc 2]]))</f>
        <v/>
      </c>
      <c r="AB194" s="284" t="str">
        <f>IF(Table1[Item Description]="","",Table1[[#This Row],[h_disc 1]]+Table1[[#This Row],[h_disc 2]])</f>
        <v/>
      </c>
      <c r="AC194" s="284" t="str">
        <f>IF(Table1[Item Description]="","",Table1[[#This Row],[h_hargasebelumdiskon]]-Table1[[#This Row],[h_diskon]])</f>
        <v/>
      </c>
      <c r="AD194" s="284" t="str">
        <f ca="1">IF(Table1[//]="","",SUMIF(Table1[h_id],Table1[h_id],Table1[h_hargasetelahdiskon]))</f>
        <v/>
      </c>
      <c r="AE194" s="284"/>
      <c r="AF194" s="284" t="str">
        <f>Table1[[#This Row],[Item Description]]&amp;Table1[[#This Row],[Unit]]&amp;Table1[[#This Row],[Unit Price]]</f>
        <v/>
      </c>
    </row>
    <row r="195" spans="1:32" x14ac:dyDescent="0.25">
      <c r="A195" s="288" t="str">
        <f ca="1">IF(Table1[[#This Row],[No. Invoice :]]="","",ROW())</f>
        <v/>
      </c>
      <c r="B195" s="288" t="str">
        <f ca="1">IF(Table1[h_Kode Sales :_1]="","",B$1+COUNT(INDIRECT("B$2:B"&amp;ROW()-1)))</f>
        <v/>
      </c>
      <c r="C195" s="282" t="str">
        <f>IF(Table1[[#This Row],[H_TGL]]="","",Table1[[#This Row],[H_TGL]]+C$1-1)</f>
        <v/>
      </c>
      <c r="H195" s="288" t="str">
        <f ca="1">IF(Table1[[#This Row],[h_No. Invoice :]]="","",CONCATENATE("AM"," ",Table1[[#This Row],[h_No. Invoice :]]))</f>
        <v/>
      </c>
      <c r="I195" s="289" t="str">
        <f>CONCATENATE(UPPER(Table1[[#This Row],[h_Kode Sales :_1]])," ",Table1[[#This Row],[h_Kode Sales :_2]])</f>
        <v xml:space="preserve"> </v>
      </c>
      <c r="J195" s="288" t="str">
        <f>IF(Table1[[#This Row],[h_toko]]="","",INDEX(Table2[e],IF(Table1[[#This Row],[h_toko]]="","",MATCH(Table1[[#This Row],[h_toko]],Table2[a],0)),))</f>
        <v/>
      </c>
      <c r="O195" s="288" t="str">
        <f>IF(Table1[[#This Row],[h_Item Description]]="","",INDEX([1]!db[NB PAJAK],MATCH(Table1[[#This Row],[h_Item Description]],[1]!db[kode],0)))</f>
        <v/>
      </c>
      <c r="Q195" s="284"/>
      <c r="R195" s="285"/>
      <c r="T195" s="284" t="str">
        <f>Table1[[#This Row],[h_hargasetelahdiskon]]</f>
        <v/>
      </c>
      <c r="W195" s="288" t="str">
        <f ca="1">IF(Table1[[#This Row],[Item Description]]="","",IF(Table1[[#This Row],[//]]="",INDIRECT(ADDRESS(ROW()-1,COLUMN())),Table1[[#This Row],[//]]))</f>
        <v/>
      </c>
      <c r="X195" s="288" t="str">
        <f ca="1">IF(Table1[[#This Row],[h_id]]="","",COUNTIF(Table1[h_id],Table1[[#This Row],[h_id]]))</f>
        <v/>
      </c>
      <c r="Y195" s="284" t="str">
        <f>IF(Table1[Item Description]="","",Table1[[#This Row],[Qty]]*Table1[[#This Row],[Unit Price]])</f>
        <v/>
      </c>
      <c r="Z195" s="284" t="str">
        <f>IF(Table1[[#This Row],[h_hargasebelumdiskon]]="","",IF(Table1[[#This Row],[Disc 1]]="",0,Table1[[#This Row],[h_hargasebelumdiskon]]*Table1[[#This Row],[Disc 1]]))</f>
        <v/>
      </c>
      <c r="AA195" s="284" t="str">
        <f>IF(Table1[[#This Row],[h_hargasebelumdiskon]]="","",IF(Table1[[#This Row],[Disc 2]]="",0,(Table1[[#This Row],[h_hargasebelumdiskon]]-Table1[[#This Row],[h_disc 1]])*Table1[[#This Row],[Disc 2]]))</f>
        <v/>
      </c>
      <c r="AB195" s="284" t="str">
        <f>IF(Table1[Item Description]="","",Table1[[#This Row],[h_disc 1]]+Table1[[#This Row],[h_disc 2]])</f>
        <v/>
      </c>
      <c r="AC195" s="284" t="str">
        <f>IF(Table1[Item Description]="","",Table1[[#This Row],[h_hargasebelumdiskon]]-Table1[[#This Row],[h_diskon]])</f>
        <v/>
      </c>
      <c r="AD195" s="284" t="str">
        <f ca="1">IF(Table1[//]="","",SUMIF(Table1[h_id],Table1[h_id],Table1[h_hargasetelahdiskon]))</f>
        <v/>
      </c>
      <c r="AE195" s="284"/>
      <c r="AF195" s="284" t="str">
        <f>Table1[[#This Row],[Item Description]]&amp;Table1[[#This Row],[Unit]]&amp;Table1[[#This Row],[Unit Price]]</f>
        <v/>
      </c>
    </row>
    <row r="196" spans="1:32" x14ac:dyDescent="0.25">
      <c r="A196" s="288" t="str">
        <f ca="1">IF(Table1[[#This Row],[No. Invoice :]]="","",ROW())</f>
        <v/>
      </c>
      <c r="B196" s="288" t="str">
        <f ca="1">IF(Table1[h_Kode Sales :_1]="","",B$1+COUNT(INDIRECT("B$2:B"&amp;ROW()-1)))</f>
        <v/>
      </c>
      <c r="C196" s="282" t="str">
        <f>IF(Table1[[#This Row],[H_TGL]]="","",Table1[[#This Row],[H_TGL]]+C$1-1)</f>
        <v/>
      </c>
      <c r="H196" s="288" t="str">
        <f ca="1">IF(Table1[[#This Row],[h_No. Invoice :]]="","",CONCATENATE("AM"," ",Table1[[#This Row],[h_No. Invoice :]]))</f>
        <v/>
      </c>
      <c r="I196" s="289" t="str">
        <f>CONCATENATE(UPPER(Table1[[#This Row],[h_Kode Sales :_1]])," ",Table1[[#This Row],[h_Kode Sales :_2]])</f>
        <v xml:space="preserve"> </v>
      </c>
      <c r="J196" s="288" t="str">
        <f>IF(Table1[[#This Row],[h_toko]]="","",INDEX(Table2[e],IF(Table1[[#This Row],[h_toko]]="","",MATCH(Table1[[#This Row],[h_toko]],Table2[a],0)),))</f>
        <v/>
      </c>
      <c r="O196" s="288" t="str">
        <f>IF(Table1[[#This Row],[h_Item Description]]="","",INDEX([1]!db[NB PAJAK],MATCH(Table1[[#This Row],[h_Item Description]],[1]!db[kode],0)))</f>
        <v/>
      </c>
      <c r="Q196" s="284"/>
      <c r="R196" s="285"/>
      <c r="T196" s="284" t="str">
        <f>Table1[[#This Row],[h_hargasetelahdiskon]]</f>
        <v/>
      </c>
      <c r="W196" s="288" t="str">
        <f ca="1">IF(Table1[[#This Row],[Item Description]]="","",IF(Table1[[#This Row],[//]]="",INDIRECT(ADDRESS(ROW()-1,COLUMN())),Table1[[#This Row],[//]]))</f>
        <v/>
      </c>
      <c r="X196" s="288" t="str">
        <f ca="1">IF(Table1[[#This Row],[h_id]]="","",COUNTIF(Table1[h_id],Table1[[#This Row],[h_id]]))</f>
        <v/>
      </c>
      <c r="Y196" s="284" t="str">
        <f>IF(Table1[Item Description]="","",Table1[[#This Row],[Qty]]*Table1[[#This Row],[Unit Price]])</f>
        <v/>
      </c>
      <c r="Z196" s="284" t="str">
        <f>IF(Table1[[#This Row],[h_hargasebelumdiskon]]="","",IF(Table1[[#This Row],[Disc 1]]="",0,Table1[[#This Row],[h_hargasebelumdiskon]]*Table1[[#This Row],[Disc 1]]))</f>
        <v/>
      </c>
      <c r="AA196" s="284" t="str">
        <f>IF(Table1[[#This Row],[h_hargasebelumdiskon]]="","",IF(Table1[[#This Row],[Disc 2]]="",0,(Table1[[#This Row],[h_hargasebelumdiskon]]-Table1[[#This Row],[h_disc 1]])*Table1[[#This Row],[Disc 2]]))</f>
        <v/>
      </c>
      <c r="AB196" s="284" t="str">
        <f>IF(Table1[Item Description]="","",Table1[[#This Row],[h_disc 1]]+Table1[[#This Row],[h_disc 2]])</f>
        <v/>
      </c>
      <c r="AC196" s="284" t="str">
        <f>IF(Table1[Item Description]="","",Table1[[#This Row],[h_hargasebelumdiskon]]-Table1[[#This Row],[h_diskon]])</f>
        <v/>
      </c>
      <c r="AD196" s="284" t="str">
        <f ca="1">IF(Table1[//]="","",SUMIF(Table1[h_id],Table1[h_id],Table1[h_hargasetelahdiskon]))</f>
        <v/>
      </c>
      <c r="AE196" s="284"/>
      <c r="AF196" s="284" t="str">
        <f>Table1[[#This Row],[Item Description]]&amp;Table1[[#This Row],[Unit]]&amp;Table1[[#This Row],[Unit Price]]</f>
        <v/>
      </c>
    </row>
    <row r="197" spans="1:32" x14ac:dyDescent="0.25">
      <c r="A197" s="288" t="str">
        <f ca="1">IF(Table1[[#This Row],[No. Invoice :]]="","",ROW())</f>
        <v/>
      </c>
      <c r="B197" s="288" t="str">
        <f ca="1">IF(Table1[h_Kode Sales :_1]="","",B$1+COUNT(INDIRECT("B$2:B"&amp;ROW()-1)))</f>
        <v/>
      </c>
      <c r="C197" s="282" t="str">
        <f>IF(Table1[[#This Row],[H_TGL]]="","",Table1[[#This Row],[H_TGL]]+C$1-1)</f>
        <v/>
      </c>
      <c r="H197" s="288" t="str">
        <f ca="1">IF(Table1[[#This Row],[h_No. Invoice :]]="","",CONCATENATE("AM"," ",Table1[[#This Row],[h_No. Invoice :]]))</f>
        <v/>
      </c>
      <c r="I197" s="289" t="str">
        <f>CONCATENATE(UPPER(Table1[[#This Row],[h_Kode Sales :_1]])," ",Table1[[#This Row],[h_Kode Sales :_2]])</f>
        <v xml:space="preserve"> </v>
      </c>
      <c r="J197" s="288" t="str">
        <f>IF(Table1[[#This Row],[h_toko]]="","",INDEX(Table2[e],IF(Table1[[#This Row],[h_toko]]="","",MATCH(Table1[[#This Row],[h_toko]],Table2[a],0)),))</f>
        <v/>
      </c>
      <c r="O197" s="288" t="str">
        <f>IF(Table1[[#This Row],[h_Item Description]]="","",INDEX([1]!db[NB PAJAK],MATCH(Table1[[#This Row],[h_Item Description]],[1]!db[kode],0)))</f>
        <v/>
      </c>
      <c r="Q197" s="284"/>
      <c r="R197" s="285"/>
      <c r="T197" s="284" t="str">
        <f>Table1[[#This Row],[h_hargasetelahdiskon]]</f>
        <v/>
      </c>
      <c r="W197" s="288" t="str">
        <f ca="1">IF(Table1[[#This Row],[Item Description]]="","",IF(Table1[[#This Row],[//]]="",INDIRECT(ADDRESS(ROW()-1,COLUMN())),Table1[[#This Row],[//]]))</f>
        <v/>
      </c>
      <c r="X197" s="288" t="str">
        <f ca="1">IF(Table1[[#This Row],[h_id]]="","",COUNTIF(Table1[h_id],Table1[[#This Row],[h_id]]))</f>
        <v/>
      </c>
      <c r="Y197" s="284" t="str">
        <f>IF(Table1[Item Description]="","",Table1[[#This Row],[Qty]]*Table1[[#This Row],[Unit Price]])</f>
        <v/>
      </c>
      <c r="Z197" s="284" t="str">
        <f>IF(Table1[[#This Row],[h_hargasebelumdiskon]]="","",IF(Table1[[#This Row],[Disc 1]]="",0,Table1[[#This Row],[h_hargasebelumdiskon]]*Table1[[#This Row],[Disc 1]]))</f>
        <v/>
      </c>
      <c r="AA197" s="284" t="str">
        <f>IF(Table1[[#This Row],[h_hargasebelumdiskon]]="","",IF(Table1[[#This Row],[Disc 2]]="",0,(Table1[[#This Row],[h_hargasebelumdiskon]]-Table1[[#This Row],[h_disc 1]])*Table1[[#This Row],[Disc 2]]))</f>
        <v/>
      </c>
      <c r="AB197" s="284" t="str">
        <f>IF(Table1[Item Description]="","",Table1[[#This Row],[h_disc 1]]+Table1[[#This Row],[h_disc 2]])</f>
        <v/>
      </c>
      <c r="AC197" s="284" t="str">
        <f>IF(Table1[Item Description]="","",Table1[[#This Row],[h_hargasebelumdiskon]]-Table1[[#This Row],[h_diskon]])</f>
        <v/>
      </c>
      <c r="AD197" s="284" t="str">
        <f ca="1">IF(Table1[//]="","",SUMIF(Table1[h_id],Table1[h_id],Table1[h_hargasetelahdiskon]))</f>
        <v/>
      </c>
      <c r="AE197" s="284"/>
      <c r="AF197" s="284" t="str">
        <f>Table1[[#This Row],[Item Description]]&amp;Table1[[#This Row],[Unit]]&amp;Table1[[#This Row],[Unit Price]]</f>
        <v/>
      </c>
    </row>
    <row r="198" spans="1:32" x14ac:dyDescent="0.25">
      <c r="A198" s="288" t="str">
        <f ca="1">IF(Table1[[#This Row],[No. Invoice :]]="","",ROW())</f>
        <v/>
      </c>
      <c r="B198" s="288" t="str">
        <f ca="1">IF(Table1[h_Kode Sales :_1]="","",B$1+COUNT(INDIRECT("B$2:B"&amp;ROW()-1)))</f>
        <v/>
      </c>
      <c r="C198" s="282" t="str">
        <f>IF(Table1[[#This Row],[H_TGL]]="","",Table1[[#This Row],[H_TGL]]+C$1-1)</f>
        <v/>
      </c>
      <c r="H198" s="288" t="str">
        <f ca="1">IF(Table1[[#This Row],[h_No. Invoice :]]="","",CONCATENATE("AM"," ",Table1[[#This Row],[h_No. Invoice :]]))</f>
        <v/>
      </c>
      <c r="I198" s="289" t="str">
        <f>CONCATENATE(UPPER(Table1[[#This Row],[h_Kode Sales :_1]])," ",Table1[[#This Row],[h_Kode Sales :_2]])</f>
        <v xml:space="preserve"> </v>
      </c>
      <c r="J198" s="288" t="str">
        <f>IF(Table1[[#This Row],[h_toko]]="","",INDEX(Table2[e],IF(Table1[[#This Row],[h_toko]]="","",MATCH(Table1[[#This Row],[h_toko]],Table2[a],0)),))</f>
        <v/>
      </c>
      <c r="O198" s="288" t="str">
        <f>IF(Table1[[#This Row],[h_Item Description]]="","",INDEX([1]!db[NB PAJAK],MATCH(Table1[[#This Row],[h_Item Description]],[1]!db[kode],0)))</f>
        <v/>
      </c>
      <c r="Q198" s="284"/>
      <c r="R198" s="285"/>
      <c r="T198" s="284" t="str">
        <f>Table1[[#This Row],[h_hargasetelahdiskon]]</f>
        <v/>
      </c>
      <c r="W198" s="288" t="str">
        <f ca="1">IF(Table1[[#This Row],[Item Description]]="","",IF(Table1[[#This Row],[//]]="",INDIRECT(ADDRESS(ROW()-1,COLUMN())),Table1[[#This Row],[//]]))</f>
        <v/>
      </c>
      <c r="X198" s="288" t="str">
        <f ca="1">IF(Table1[[#This Row],[h_id]]="","",COUNTIF(Table1[h_id],Table1[[#This Row],[h_id]]))</f>
        <v/>
      </c>
      <c r="Y198" s="284" t="str">
        <f>IF(Table1[Item Description]="","",Table1[[#This Row],[Qty]]*Table1[[#This Row],[Unit Price]])</f>
        <v/>
      </c>
      <c r="Z198" s="284" t="str">
        <f>IF(Table1[[#This Row],[h_hargasebelumdiskon]]="","",IF(Table1[[#This Row],[Disc 1]]="",0,Table1[[#This Row],[h_hargasebelumdiskon]]*Table1[[#This Row],[Disc 1]]))</f>
        <v/>
      </c>
      <c r="AA198" s="284" t="str">
        <f>IF(Table1[[#This Row],[h_hargasebelumdiskon]]="","",IF(Table1[[#This Row],[Disc 2]]="",0,(Table1[[#This Row],[h_hargasebelumdiskon]]-Table1[[#This Row],[h_disc 1]])*Table1[[#This Row],[Disc 2]]))</f>
        <v/>
      </c>
      <c r="AB198" s="284" t="str">
        <f>IF(Table1[Item Description]="","",Table1[[#This Row],[h_disc 1]]+Table1[[#This Row],[h_disc 2]])</f>
        <v/>
      </c>
      <c r="AC198" s="284" t="str">
        <f>IF(Table1[Item Description]="","",Table1[[#This Row],[h_hargasebelumdiskon]]-Table1[[#This Row],[h_diskon]])</f>
        <v/>
      </c>
      <c r="AD198" s="284" t="str">
        <f ca="1">IF(Table1[//]="","",SUMIF(Table1[h_id],Table1[h_id],Table1[h_hargasetelahdiskon]))</f>
        <v/>
      </c>
      <c r="AE198" s="284"/>
      <c r="AF198" s="284" t="str">
        <f>Table1[[#This Row],[Item Description]]&amp;Table1[[#This Row],[Unit]]&amp;Table1[[#This Row],[Unit Price]]</f>
        <v/>
      </c>
    </row>
    <row r="199" spans="1:32" x14ac:dyDescent="0.25">
      <c r="A199" s="288" t="str">
        <f ca="1">IF(Table1[[#This Row],[No. Invoice :]]="","",ROW())</f>
        <v/>
      </c>
      <c r="B199" s="288" t="str">
        <f ca="1">IF(Table1[h_Kode Sales :_1]="","",B$1+COUNT(INDIRECT("B$2:B"&amp;ROW()-1)))</f>
        <v/>
      </c>
      <c r="C199" s="282" t="str">
        <f>IF(Table1[[#This Row],[H_TGL]]="","",Table1[[#This Row],[H_TGL]]+C$1-1)</f>
        <v/>
      </c>
      <c r="H199" s="288" t="str">
        <f ca="1">IF(Table1[[#This Row],[h_No. Invoice :]]="","",CONCATENATE("AM"," ",Table1[[#This Row],[h_No. Invoice :]]))</f>
        <v/>
      </c>
      <c r="I199" s="289" t="str">
        <f>CONCATENATE(UPPER(Table1[[#This Row],[h_Kode Sales :_1]])," ",Table1[[#This Row],[h_Kode Sales :_2]])</f>
        <v xml:space="preserve"> </v>
      </c>
      <c r="J199" s="288" t="str">
        <f>IF(Table1[[#This Row],[h_toko]]="","",INDEX(Table2[e],IF(Table1[[#This Row],[h_toko]]="","",MATCH(Table1[[#This Row],[h_toko]],Table2[a],0)),))</f>
        <v/>
      </c>
      <c r="O199" s="288" t="str">
        <f>IF(Table1[[#This Row],[h_Item Description]]="","",INDEX([1]!db[NB PAJAK],MATCH(Table1[[#This Row],[h_Item Description]],[1]!db[kode],0)))</f>
        <v/>
      </c>
      <c r="Q199" s="284"/>
      <c r="R199" s="285"/>
      <c r="T199" s="284" t="str">
        <f>Table1[[#This Row],[h_hargasetelahdiskon]]</f>
        <v/>
      </c>
      <c r="W199" s="288" t="str">
        <f ca="1">IF(Table1[[#This Row],[Item Description]]="","",IF(Table1[[#This Row],[//]]="",INDIRECT(ADDRESS(ROW()-1,COLUMN())),Table1[[#This Row],[//]]))</f>
        <v/>
      </c>
      <c r="X199" s="288" t="str">
        <f ca="1">IF(Table1[[#This Row],[h_id]]="","",COUNTIF(Table1[h_id],Table1[[#This Row],[h_id]]))</f>
        <v/>
      </c>
      <c r="Y199" s="284" t="str">
        <f>IF(Table1[Item Description]="","",Table1[[#This Row],[Qty]]*Table1[[#This Row],[Unit Price]])</f>
        <v/>
      </c>
      <c r="Z199" s="284" t="str">
        <f>IF(Table1[[#This Row],[h_hargasebelumdiskon]]="","",IF(Table1[[#This Row],[Disc 1]]="",0,Table1[[#This Row],[h_hargasebelumdiskon]]*Table1[[#This Row],[Disc 1]]))</f>
        <v/>
      </c>
      <c r="AA199" s="284" t="str">
        <f>IF(Table1[[#This Row],[h_hargasebelumdiskon]]="","",IF(Table1[[#This Row],[Disc 2]]="",0,(Table1[[#This Row],[h_hargasebelumdiskon]]-Table1[[#This Row],[h_disc 1]])*Table1[[#This Row],[Disc 2]]))</f>
        <v/>
      </c>
      <c r="AB199" s="284" t="str">
        <f>IF(Table1[Item Description]="","",Table1[[#This Row],[h_disc 1]]+Table1[[#This Row],[h_disc 2]])</f>
        <v/>
      </c>
      <c r="AC199" s="284" t="str">
        <f>IF(Table1[Item Description]="","",Table1[[#This Row],[h_hargasebelumdiskon]]-Table1[[#This Row],[h_diskon]])</f>
        <v/>
      </c>
      <c r="AD199" s="284" t="str">
        <f ca="1">IF(Table1[//]="","",SUMIF(Table1[h_id],Table1[h_id],Table1[h_hargasetelahdiskon]))</f>
        <v/>
      </c>
      <c r="AE199" s="284"/>
      <c r="AF199" s="284" t="str">
        <f>Table1[[#This Row],[Item Description]]&amp;Table1[[#This Row],[Unit]]&amp;Table1[[#This Row],[Unit Price]]</f>
        <v/>
      </c>
    </row>
    <row r="200" spans="1:32" x14ac:dyDescent="0.25">
      <c r="A200" s="288" t="str">
        <f ca="1">IF(Table1[[#This Row],[No. Invoice :]]="","",ROW())</f>
        <v/>
      </c>
      <c r="B200" s="288" t="str">
        <f ca="1">IF(Table1[h_Kode Sales :_1]="","",B$1+COUNT(INDIRECT("B$2:B"&amp;ROW()-1)))</f>
        <v/>
      </c>
      <c r="C200" s="282" t="str">
        <f>IF(Table1[[#This Row],[H_TGL]]="","",Table1[[#This Row],[H_TGL]]+C$1-1)</f>
        <v/>
      </c>
      <c r="H200" s="288" t="str">
        <f ca="1">IF(Table1[[#This Row],[h_No. Invoice :]]="","",CONCATENATE("AM"," ",Table1[[#This Row],[h_No. Invoice :]]))</f>
        <v/>
      </c>
      <c r="I200" s="289" t="str">
        <f>CONCATENATE(UPPER(Table1[[#This Row],[h_Kode Sales :_1]])," ",Table1[[#This Row],[h_Kode Sales :_2]])</f>
        <v xml:space="preserve"> </v>
      </c>
      <c r="J200" s="288" t="str">
        <f>IF(Table1[[#This Row],[h_toko]]="","",INDEX(Table2[e],IF(Table1[[#This Row],[h_toko]]="","",MATCH(Table1[[#This Row],[h_toko]],Table2[a],0)),))</f>
        <v/>
      </c>
      <c r="O200" s="288" t="str">
        <f>IF(Table1[[#This Row],[h_Item Description]]="","",INDEX([1]!db[NB PAJAK],MATCH(Table1[[#This Row],[h_Item Description]],[1]!db[kode],0)))</f>
        <v/>
      </c>
      <c r="Q200" s="284"/>
      <c r="R200" s="285"/>
      <c r="T200" s="284" t="str">
        <f>Table1[[#This Row],[h_hargasetelahdiskon]]</f>
        <v/>
      </c>
      <c r="W200" s="288" t="str">
        <f ca="1">IF(Table1[[#This Row],[Item Description]]="","",IF(Table1[[#This Row],[//]]="",INDIRECT(ADDRESS(ROW()-1,COLUMN())),Table1[[#This Row],[//]]))</f>
        <v/>
      </c>
      <c r="X200" s="288" t="str">
        <f ca="1">IF(Table1[[#This Row],[h_id]]="","",COUNTIF(Table1[h_id],Table1[[#This Row],[h_id]]))</f>
        <v/>
      </c>
      <c r="Y200" s="284" t="str">
        <f>IF(Table1[Item Description]="","",Table1[[#This Row],[Qty]]*Table1[[#This Row],[Unit Price]])</f>
        <v/>
      </c>
      <c r="Z200" s="284" t="str">
        <f>IF(Table1[[#This Row],[h_hargasebelumdiskon]]="","",IF(Table1[[#This Row],[Disc 1]]="",0,Table1[[#This Row],[h_hargasebelumdiskon]]*Table1[[#This Row],[Disc 1]]))</f>
        <v/>
      </c>
      <c r="AA200" s="284" t="str">
        <f>IF(Table1[[#This Row],[h_hargasebelumdiskon]]="","",IF(Table1[[#This Row],[Disc 2]]="",0,(Table1[[#This Row],[h_hargasebelumdiskon]]-Table1[[#This Row],[h_disc 1]])*Table1[[#This Row],[Disc 2]]))</f>
        <v/>
      </c>
      <c r="AB200" s="284" t="str">
        <f>IF(Table1[Item Description]="","",Table1[[#This Row],[h_disc 1]]+Table1[[#This Row],[h_disc 2]])</f>
        <v/>
      </c>
      <c r="AC200" s="284" t="str">
        <f>IF(Table1[Item Description]="","",Table1[[#This Row],[h_hargasebelumdiskon]]-Table1[[#This Row],[h_diskon]])</f>
        <v/>
      </c>
      <c r="AD200" s="284" t="str">
        <f ca="1">IF(Table1[//]="","",SUMIF(Table1[h_id],Table1[h_id],Table1[h_hargasetelahdiskon]))</f>
        <v/>
      </c>
      <c r="AE200" s="284"/>
      <c r="AF200" s="284" t="str">
        <f>Table1[[#This Row],[Item Description]]&amp;Table1[[#This Row],[Unit]]&amp;Table1[[#This Row],[Unit Price]]</f>
        <v/>
      </c>
    </row>
    <row r="201" spans="1:32" x14ac:dyDescent="0.25">
      <c r="A201" s="288" t="str">
        <f ca="1">IF(Table1[[#This Row],[No. Invoice :]]="","",ROW())</f>
        <v/>
      </c>
      <c r="B201" s="288" t="str">
        <f ca="1">IF(Table1[h_Kode Sales :_1]="","",B$1+COUNT(INDIRECT("B$2:B"&amp;ROW()-1)))</f>
        <v/>
      </c>
      <c r="C201" s="282" t="str">
        <f>IF(Table1[[#This Row],[H_TGL]]="","",Table1[[#This Row],[H_TGL]]+C$1-1)</f>
        <v/>
      </c>
      <c r="H201" s="288" t="str">
        <f ca="1">IF(Table1[[#This Row],[h_No. Invoice :]]="","",CONCATENATE("AM"," ",Table1[[#This Row],[h_No. Invoice :]]))</f>
        <v/>
      </c>
      <c r="I201" s="289" t="str">
        <f>CONCATENATE(UPPER(Table1[[#This Row],[h_Kode Sales :_1]])," ",Table1[[#This Row],[h_Kode Sales :_2]])</f>
        <v xml:space="preserve"> </v>
      </c>
      <c r="J201" s="288" t="str">
        <f>IF(Table1[[#This Row],[h_toko]]="","",INDEX(Table2[e],IF(Table1[[#This Row],[h_toko]]="","",MATCH(Table1[[#This Row],[h_toko]],Table2[a],0)),))</f>
        <v/>
      </c>
      <c r="O201" s="288" t="str">
        <f>IF(Table1[[#This Row],[h_Item Description]]="","",INDEX([1]!db[NB PAJAK],MATCH(Table1[[#This Row],[h_Item Description]],[1]!db[kode],0)))</f>
        <v/>
      </c>
      <c r="Q201" s="284"/>
      <c r="R201" s="285"/>
      <c r="T201" s="284" t="str">
        <f>Table1[[#This Row],[h_hargasetelahdiskon]]</f>
        <v/>
      </c>
      <c r="W201" s="288" t="str">
        <f ca="1">IF(Table1[[#This Row],[Item Description]]="","",IF(Table1[[#This Row],[//]]="",INDIRECT(ADDRESS(ROW()-1,COLUMN())),Table1[[#This Row],[//]]))</f>
        <v/>
      </c>
      <c r="X201" s="288" t="str">
        <f ca="1">IF(Table1[[#This Row],[h_id]]="","",COUNTIF(Table1[h_id],Table1[[#This Row],[h_id]]))</f>
        <v/>
      </c>
      <c r="Y201" s="284" t="str">
        <f>IF(Table1[Item Description]="","",Table1[[#This Row],[Qty]]*Table1[[#This Row],[Unit Price]])</f>
        <v/>
      </c>
      <c r="Z201" s="284" t="str">
        <f>IF(Table1[[#This Row],[h_hargasebelumdiskon]]="","",IF(Table1[[#This Row],[Disc 1]]="",0,Table1[[#This Row],[h_hargasebelumdiskon]]*Table1[[#This Row],[Disc 1]]))</f>
        <v/>
      </c>
      <c r="AA201" s="284" t="str">
        <f>IF(Table1[[#This Row],[h_hargasebelumdiskon]]="","",IF(Table1[[#This Row],[Disc 2]]="",0,(Table1[[#This Row],[h_hargasebelumdiskon]]-Table1[[#This Row],[h_disc 1]])*Table1[[#This Row],[Disc 2]]))</f>
        <v/>
      </c>
      <c r="AB201" s="284" t="str">
        <f>IF(Table1[Item Description]="","",Table1[[#This Row],[h_disc 1]]+Table1[[#This Row],[h_disc 2]])</f>
        <v/>
      </c>
      <c r="AC201" s="284" t="str">
        <f>IF(Table1[Item Description]="","",Table1[[#This Row],[h_hargasebelumdiskon]]-Table1[[#This Row],[h_diskon]])</f>
        <v/>
      </c>
      <c r="AD201" s="284" t="str">
        <f ca="1">IF(Table1[//]="","",SUMIF(Table1[h_id],Table1[h_id],Table1[h_hargasetelahdiskon]))</f>
        <v/>
      </c>
      <c r="AE201" s="284"/>
      <c r="AF201" s="284" t="str">
        <f>Table1[[#This Row],[Item Description]]&amp;Table1[[#This Row],[Unit]]&amp;Table1[[#This Row],[Unit Price]]</f>
        <v/>
      </c>
    </row>
    <row r="202" spans="1:32" x14ac:dyDescent="0.25">
      <c r="A202" s="288" t="str">
        <f ca="1">IF(Table1[[#This Row],[No. Invoice :]]="","",ROW())</f>
        <v/>
      </c>
      <c r="B202" s="288" t="str">
        <f ca="1">IF(Table1[h_Kode Sales :_1]="","",B$1+COUNT(INDIRECT("B$2:B"&amp;ROW()-1)))</f>
        <v/>
      </c>
      <c r="C202" s="282" t="str">
        <f>IF(Table1[[#This Row],[H_TGL]]="","",Table1[[#This Row],[H_TGL]]+C$1-1)</f>
        <v/>
      </c>
      <c r="H202" s="288" t="str">
        <f ca="1">IF(Table1[[#This Row],[h_No. Invoice :]]="","",CONCATENATE("AM"," ",Table1[[#This Row],[h_No. Invoice :]]))</f>
        <v/>
      </c>
      <c r="I202" s="289" t="str">
        <f>CONCATENATE(UPPER(Table1[[#This Row],[h_Kode Sales :_1]])," ",Table1[[#This Row],[h_Kode Sales :_2]])</f>
        <v xml:space="preserve"> </v>
      </c>
      <c r="J202" s="288" t="str">
        <f>IF(Table1[[#This Row],[h_toko]]="","",INDEX(Table2[e],IF(Table1[[#This Row],[h_toko]]="","",MATCH(Table1[[#This Row],[h_toko]],Table2[a],0)),))</f>
        <v/>
      </c>
      <c r="O202" s="288" t="str">
        <f>IF(Table1[[#This Row],[h_Item Description]]="","",INDEX([1]!db[NB PAJAK],MATCH(Table1[[#This Row],[h_Item Description]],[1]!db[kode],0)))</f>
        <v/>
      </c>
      <c r="Q202" s="284"/>
      <c r="R202" s="285"/>
      <c r="T202" s="284" t="str">
        <f>Table1[[#This Row],[h_hargasetelahdiskon]]</f>
        <v/>
      </c>
      <c r="W202" s="288" t="str">
        <f ca="1">IF(Table1[[#This Row],[Item Description]]="","",IF(Table1[[#This Row],[//]]="",INDIRECT(ADDRESS(ROW()-1,COLUMN())),Table1[[#This Row],[//]]))</f>
        <v/>
      </c>
      <c r="X202" s="288" t="str">
        <f ca="1">IF(Table1[[#This Row],[h_id]]="","",COUNTIF(Table1[h_id],Table1[[#This Row],[h_id]]))</f>
        <v/>
      </c>
      <c r="Y202" s="284" t="str">
        <f>IF(Table1[Item Description]="","",Table1[[#This Row],[Qty]]*Table1[[#This Row],[Unit Price]])</f>
        <v/>
      </c>
      <c r="Z202" s="284" t="str">
        <f>IF(Table1[[#This Row],[h_hargasebelumdiskon]]="","",IF(Table1[[#This Row],[Disc 1]]="",0,Table1[[#This Row],[h_hargasebelumdiskon]]*Table1[[#This Row],[Disc 1]]))</f>
        <v/>
      </c>
      <c r="AA202" s="284" t="str">
        <f>IF(Table1[[#This Row],[h_hargasebelumdiskon]]="","",IF(Table1[[#This Row],[Disc 2]]="",0,(Table1[[#This Row],[h_hargasebelumdiskon]]-Table1[[#This Row],[h_disc 1]])*Table1[[#This Row],[Disc 2]]))</f>
        <v/>
      </c>
      <c r="AB202" s="284" t="str">
        <f>IF(Table1[Item Description]="","",Table1[[#This Row],[h_disc 1]]+Table1[[#This Row],[h_disc 2]])</f>
        <v/>
      </c>
      <c r="AC202" s="284" t="str">
        <f>IF(Table1[Item Description]="","",Table1[[#This Row],[h_hargasebelumdiskon]]-Table1[[#This Row],[h_diskon]])</f>
        <v/>
      </c>
      <c r="AD202" s="284" t="str">
        <f ca="1">IF(Table1[//]="","",SUMIF(Table1[h_id],Table1[h_id],Table1[h_hargasetelahdiskon]))</f>
        <v/>
      </c>
      <c r="AE202" s="284"/>
      <c r="AF202" s="284" t="str">
        <f>Table1[[#This Row],[Item Description]]&amp;Table1[[#This Row],[Unit]]&amp;Table1[[#This Row],[Unit Price]]</f>
        <v/>
      </c>
    </row>
    <row r="203" spans="1:32" x14ac:dyDescent="0.25">
      <c r="A203" s="288" t="str">
        <f ca="1">IF(Table1[[#This Row],[No. Invoice :]]="","",ROW())</f>
        <v/>
      </c>
      <c r="B203" s="288" t="str">
        <f ca="1">IF(Table1[h_Kode Sales :_1]="","",B$1+COUNT(INDIRECT("B$2:B"&amp;ROW()-1)))</f>
        <v/>
      </c>
      <c r="C203" s="282" t="str">
        <f>IF(Table1[[#This Row],[H_TGL]]="","",Table1[[#This Row],[H_TGL]]+C$1-1)</f>
        <v/>
      </c>
      <c r="H203" s="288" t="str">
        <f ca="1">IF(Table1[[#This Row],[h_No. Invoice :]]="","",CONCATENATE("AM"," ",Table1[[#This Row],[h_No. Invoice :]]))</f>
        <v/>
      </c>
      <c r="I203" s="289" t="str">
        <f>CONCATENATE(UPPER(Table1[[#This Row],[h_Kode Sales :_1]])," ",Table1[[#This Row],[h_Kode Sales :_2]])</f>
        <v xml:space="preserve"> </v>
      </c>
      <c r="J203" s="288" t="str">
        <f>IF(Table1[[#This Row],[h_toko]]="","",INDEX(Table2[e],IF(Table1[[#This Row],[h_toko]]="","",MATCH(Table1[[#This Row],[h_toko]],Table2[a],0)),))</f>
        <v/>
      </c>
      <c r="O203" s="288" t="str">
        <f>IF(Table1[[#This Row],[h_Item Description]]="","",INDEX([1]!db[NB PAJAK],MATCH(Table1[[#This Row],[h_Item Description]],[1]!db[kode],0)))</f>
        <v/>
      </c>
      <c r="Q203" s="284"/>
      <c r="R203" s="285"/>
      <c r="T203" s="284" t="str">
        <f>Table1[[#This Row],[h_hargasetelahdiskon]]</f>
        <v/>
      </c>
      <c r="W203" s="288" t="str">
        <f ca="1">IF(Table1[[#This Row],[Item Description]]="","",IF(Table1[[#This Row],[//]]="",INDIRECT(ADDRESS(ROW()-1,COLUMN())),Table1[[#This Row],[//]]))</f>
        <v/>
      </c>
      <c r="X203" s="288" t="str">
        <f ca="1">IF(Table1[[#This Row],[h_id]]="","",COUNTIF(Table1[h_id],Table1[[#This Row],[h_id]]))</f>
        <v/>
      </c>
      <c r="Y203" s="284" t="str">
        <f>IF(Table1[Item Description]="","",Table1[[#This Row],[Qty]]*Table1[[#This Row],[Unit Price]])</f>
        <v/>
      </c>
      <c r="Z203" s="284" t="str">
        <f>IF(Table1[[#This Row],[h_hargasebelumdiskon]]="","",IF(Table1[[#This Row],[Disc 1]]="",0,Table1[[#This Row],[h_hargasebelumdiskon]]*Table1[[#This Row],[Disc 1]]))</f>
        <v/>
      </c>
      <c r="AA203" s="284" t="str">
        <f>IF(Table1[[#This Row],[h_hargasebelumdiskon]]="","",IF(Table1[[#This Row],[Disc 2]]="",0,(Table1[[#This Row],[h_hargasebelumdiskon]]-Table1[[#This Row],[h_disc 1]])*Table1[[#This Row],[Disc 2]]))</f>
        <v/>
      </c>
      <c r="AB203" s="284" t="str">
        <f>IF(Table1[Item Description]="","",Table1[[#This Row],[h_disc 1]]+Table1[[#This Row],[h_disc 2]])</f>
        <v/>
      </c>
      <c r="AC203" s="284" t="str">
        <f>IF(Table1[Item Description]="","",Table1[[#This Row],[h_hargasebelumdiskon]]-Table1[[#This Row],[h_diskon]])</f>
        <v/>
      </c>
      <c r="AD203" s="284" t="str">
        <f ca="1">IF(Table1[//]="","",SUMIF(Table1[h_id],Table1[h_id],Table1[h_hargasetelahdiskon]))</f>
        <v/>
      </c>
      <c r="AE203" s="284"/>
      <c r="AF203" s="284" t="str">
        <f>Table1[[#This Row],[Item Description]]&amp;Table1[[#This Row],[Unit]]&amp;Table1[[#This Row],[Unit Price]]</f>
        <v/>
      </c>
    </row>
    <row r="204" spans="1:32" x14ac:dyDescent="0.25">
      <c r="A204" s="288" t="str">
        <f ca="1">IF(Table1[[#This Row],[No. Invoice :]]="","",ROW())</f>
        <v/>
      </c>
      <c r="B204" s="288" t="str">
        <f ca="1">IF(Table1[h_Kode Sales :_1]="","",B$1+COUNT(INDIRECT("B$2:B"&amp;ROW()-1)))</f>
        <v/>
      </c>
      <c r="C204" s="282" t="str">
        <f>IF(Table1[[#This Row],[H_TGL]]="","",Table1[[#This Row],[H_TGL]]+C$1-1)</f>
        <v/>
      </c>
      <c r="H204" s="288" t="str">
        <f ca="1">IF(Table1[[#This Row],[h_No. Invoice :]]="","",CONCATENATE("AM"," ",Table1[[#This Row],[h_No. Invoice :]]))</f>
        <v/>
      </c>
      <c r="I204" s="289" t="str">
        <f>CONCATENATE(UPPER(Table1[[#This Row],[h_Kode Sales :_1]])," ",Table1[[#This Row],[h_Kode Sales :_2]])</f>
        <v xml:space="preserve"> </v>
      </c>
      <c r="J204" s="288" t="str">
        <f>IF(Table1[[#This Row],[h_toko]]="","",INDEX(Table2[e],IF(Table1[[#This Row],[h_toko]]="","",MATCH(Table1[[#This Row],[h_toko]],Table2[a],0)),))</f>
        <v/>
      </c>
      <c r="O204" s="288" t="str">
        <f>IF(Table1[[#This Row],[h_Item Description]]="","",INDEX([1]!db[NB PAJAK],MATCH(Table1[[#This Row],[h_Item Description]],[1]!db[kode],0)))</f>
        <v/>
      </c>
      <c r="Q204" s="284"/>
      <c r="R204" s="285"/>
      <c r="T204" s="284" t="str">
        <f>Table1[[#This Row],[h_hargasetelahdiskon]]</f>
        <v/>
      </c>
      <c r="W204" s="288" t="str">
        <f ca="1">IF(Table1[[#This Row],[Item Description]]="","",IF(Table1[[#This Row],[//]]="",INDIRECT(ADDRESS(ROW()-1,COLUMN())),Table1[[#This Row],[//]]))</f>
        <v/>
      </c>
      <c r="X204" s="288" t="str">
        <f ca="1">IF(Table1[[#This Row],[h_id]]="","",COUNTIF(Table1[h_id],Table1[[#This Row],[h_id]]))</f>
        <v/>
      </c>
      <c r="Y204" s="284" t="str">
        <f>IF(Table1[Item Description]="","",Table1[[#This Row],[Qty]]*Table1[[#This Row],[Unit Price]])</f>
        <v/>
      </c>
      <c r="Z204" s="284" t="str">
        <f>IF(Table1[[#This Row],[h_hargasebelumdiskon]]="","",IF(Table1[[#This Row],[Disc 1]]="",0,Table1[[#This Row],[h_hargasebelumdiskon]]*Table1[[#This Row],[Disc 1]]))</f>
        <v/>
      </c>
      <c r="AA204" s="284" t="str">
        <f>IF(Table1[[#This Row],[h_hargasebelumdiskon]]="","",IF(Table1[[#This Row],[Disc 2]]="",0,(Table1[[#This Row],[h_hargasebelumdiskon]]-Table1[[#This Row],[h_disc 1]])*Table1[[#This Row],[Disc 2]]))</f>
        <v/>
      </c>
      <c r="AB204" s="284" t="str">
        <f>IF(Table1[Item Description]="","",Table1[[#This Row],[h_disc 1]]+Table1[[#This Row],[h_disc 2]])</f>
        <v/>
      </c>
      <c r="AC204" s="284" t="str">
        <f>IF(Table1[Item Description]="","",Table1[[#This Row],[h_hargasebelumdiskon]]-Table1[[#This Row],[h_diskon]])</f>
        <v/>
      </c>
      <c r="AD204" s="284" t="str">
        <f ca="1">IF(Table1[//]="","",SUMIF(Table1[h_id],Table1[h_id],Table1[h_hargasetelahdiskon]))</f>
        <v/>
      </c>
      <c r="AE204" s="284"/>
      <c r="AF204" s="284" t="str">
        <f>Table1[[#This Row],[Item Description]]&amp;Table1[[#This Row],[Unit]]&amp;Table1[[#This Row],[Unit Price]]</f>
        <v/>
      </c>
    </row>
    <row r="205" spans="1:32" x14ac:dyDescent="0.25">
      <c r="A205" s="288" t="str">
        <f ca="1">IF(Table1[[#This Row],[No. Invoice :]]="","",ROW())</f>
        <v/>
      </c>
      <c r="B205" s="288" t="str">
        <f ca="1">IF(Table1[h_Kode Sales :_1]="","",B$1+COUNT(INDIRECT("B$2:B"&amp;ROW()-1)))</f>
        <v/>
      </c>
      <c r="C205" s="282" t="str">
        <f>IF(Table1[[#This Row],[H_TGL]]="","",Table1[[#This Row],[H_TGL]]+C$1-1)</f>
        <v/>
      </c>
      <c r="H205" s="288" t="str">
        <f ca="1">IF(Table1[[#This Row],[h_No. Invoice :]]="","",CONCATENATE("AM"," ",Table1[[#This Row],[h_No. Invoice :]]))</f>
        <v/>
      </c>
      <c r="I205" s="289" t="str">
        <f>CONCATENATE(UPPER(Table1[[#This Row],[h_Kode Sales :_1]])," ",Table1[[#This Row],[h_Kode Sales :_2]])</f>
        <v xml:space="preserve"> </v>
      </c>
      <c r="J205" s="288" t="str">
        <f>IF(Table1[[#This Row],[h_toko]]="","",INDEX(Table2[e],IF(Table1[[#This Row],[h_toko]]="","",MATCH(Table1[[#This Row],[h_toko]],Table2[a],0)),))</f>
        <v/>
      </c>
      <c r="O205" s="288" t="str">
        <f>IF(Table1[[#This Row],[h_Item Description]]="","",INDEX([1]!db[NB PAJAK],MATCH(Table1[[#This Row],[h_Item Description]],[1]!db[kode],0)))</f>
        <v/>
      </c>
      <c r="Q205" s="284"/>
      <c r="R205" s="285"/>
      <c r="T205" s="284" t="str">
        <f>Table1[[#This Row],[h_hargasetelahdiskon]]</f>
        <v/>
      </c>
      <c r="W205" s="288" t="str">
        <f ca="1">IF(Table1[[#This Row],[Item Description]]="","",IF(Table1[[#This Row],[//]]="",INDIRECT(ADDRESS(ROW()-1,COLUMN())),Table1[[#This Row],[//]]))</f>
        <v/>
      </c>
      <c r="X205" s="288" t="str">
        <f ca="1">IF(Table1[[#This Row],[h_id]]="","",COUNTIF(Table1[h_id],Table1[[#This Row],[h_id]]))</f>
        <v/>
      </c>
      <c r="Y205" s="284" t="str">
        <f>IF(Table1[Item Description]="","",Table1[[#This Row],[Qty]]*Table1[[#This Row],[Unit Price]])</f>
        <v/>
      </c>
      <c r="Z205" s="284" t="str">
        <f>IF(Table1[[#This Row],[h_hargasebelumdiskon]]="","",IF(Table1[[#This Row],[Disc 1]]="",0,Table1[[#This Row],[h_hargasebelumdiskon]]*Table1[[#This Row],[Disc 1]]))</f>
        <v/>
      </c>
      <c r="AA205" s="284" t="str">
        <f>IF(Table1[[#This Row],[h_hargasebelumdiskon]]="","",IF(Table1[[#This Row],[Disc 2]]="",0,(Table1[[#This Row],[h_hargasebelumdiskon]]-Table1[[#This Row],[h_disc 1]])*Table1[[#This Row],[Disc 2]]))</f>
        <v/>
      </c>
      <c r="AB205" s="284" t="str">
        <f>IF(Table1[Item Description]="","",Table1[[#This Row],[h_disc 1]]+Table1[[#This Row],[h_disc 2]])</f>
        <v/>
      </c>
      <c r="AC205" s="284" t="str">
        <f>IF(Table1[Item Description]="","",Table1[[#This Row],[h_hargasebelumdiskon]]-Table1[[#This Row],[h_diskon]])</f>
        <v/>
      </c>
      <c r="AD205" s="284" t="str">
        <f ca="1">IF(Table1[//]="","",SUMIF(Table1[h_id],Table1[h_id],Table1[h_hargasetelahdiskon]))</f>
        <v/>
      </c>
      <c r="AE205" s="284"/>
      <c r="AF205" s="284" t="str">
        <f>Table1[[#This Row],[Item Description]]&amp;Table1[[#This Row],[Unit]]&amp;Table1[[#This Row],[Unit Price]]</f>
        <v/>
      </c>
    </row>
    <row r="206" spans="1:32" x14ac:dyDescent="0.25">
      <c r="A206" s="288" t="str">
        <f ca="1">IF(Table1[[#This Row],[No. Invoice :]]="","",ROW())</f>
        <v/>
      </c>
      <c r="B206" s="288" t="str">
        <f ca="1">IF(Table1[h_Kode Sales :_1]="","",B$1+COUNT(INDIRECT("B$2:B"&amp;ROW()-1)))</f>
        <v/>
      </c>
      <c r="C206" s="282" t="str">
        <f>IF(Table1[[#This Row],[H_TGL]]="","",Table1[[#This Row],[H_TGL]]+C$1-1)</f>
        <v/>
      </c>
      <c r="H206" s="288" t="str">
        <f ca="1">IF(Table1[[#This Row],[h_No. Invoice :]]="","",CONCATENATE("AM"," ",Table1[[#This Row],[h_No. Invoice :]]))</f>
        <v/>
      </c>
      <c r="I206" s="289" t="str">
        <f>CONCATENATE(UPPER(Table1[[#This Row],[h_Kode Sales :_1]])," ",Table1[[#This Row],[h_Kode Sales :_2]])</f>
        <v xml:space="preserve"> </v>
      </c>
      <c r="J206" s="288" t="str">
        <f>IF(Table1[[#This Row],[h_toko]]="","",INDEX(Table2[e],IF(Table1[[#This Row],[h_toko]]="","",MATCH(Table1[[#This Row],[h_toko]],Table2[a],0)),))</f>
        <v/>
      </c>
      <c r="O206" s="288" t="str">
        <f>IF(Table1[[#This Row],[h_Item Description]]="","",INDEX([1]!db[NB PAJAK],MATCH(Table1[[#This Row],[h_Item Description]],[1]!db[kode],0)))</f>
        <v/>
      </c>
      <c r="Q206" s="284"/>
      <c r="R206" s="285"/>
      <c r="T206" s="284" t="str">
        <f>Table1[[#This Row],[h_hargasetelahdiskon]]</f>
        <v/>
      </c>
      <c r="W206" s="288" t="str">
        <f ca="1">IF(Table1[[#This Row],[Item Description]]="","",IF(Table1[[#This Row],[//]]="",INDIRECT(ADDRESS(ROW()-1,COLUMN())),Table1[[#This Row],[//]]))</f>
        <v/>
      </c>
      <c r="X206" s="288" t="str">
        <f ca="1">IF(Table1[[#This Row],[h_id]]="","",COUNTIF(Table1[h_id],Table1[[#This Row],[h_id]]))</f>
        <v/>
      </c>
      <c r="Y206" s="284" t="str">
        <f>IF(Table1[Item Description]="","",Table1[[#This Row],[Qty]]*Table1[[#This Row],[Unit Price]])</f>
        <v/>
      </c>
      <c r="Z206" s="284" t="str">
        <f>IF(Table1[[#This Row],[h_hargasebelumdiskon]]="","",IF(Table1[[#This Row],[Disc 1]]="",0,Table1[[#This Row],[h_hargasebelumdiskon]]*Table1[[#This Row],[Disc 1]]))</f>
        <v/>
      </c>
      <c r="AA206" s="284" t="str">
        <f>IF(Table1[[#This Row],[h_hargasebelumdiskon]]="","",IF(Table1[[#This Row],[Disc 2]]="",0,(Table1[[#This Row],[h_hargasebelumdiskon]]-Table1[[#This Row],[h_disc 1]])*Table1[[#This Row],[Disc 2]]))</f>
        <v/>
      </c>
      <c r="AB206" s="284" t="str">
        <f>IF(Table1[Item Description]="","",Table1[[#This Row],[h_disc 1]]+Table1[[#This Row],[h_disc 2]])</f>
        <v/>
      </c>
      <c r="AC206" s="284" t="str">
        <f>IF(Table1[Item Description]="","",Table1[[#This Row],[h_hargasebelumdiskon]]-Table1[[#This Row],[h_diskon]])</f>
        <v/>
      </c>
      <c r="AD206" s="284" t="str">
        <f ca="1">IF(Table1[//]="","",SUMIF(Table1[h_id],Table1[h_id],Table1[h_hargasetelahdiskon]))</f>
        <v/>
      </c>
      <c r="AE206" s="284"/>
      <c r="AF206" s="284" t="str">
        <f>Table1[[#This Row],[Item Description]]&amp;Table1[[#This Row],[Unit]]&amp;Table1[[#This Row],[Unit Price]]</f>
        <v/>
      </c>
    </row>
    <row r="207" spans="1:32" x14ac:dyDescent="0.25">
      <c r="A207" s="288" t="str">
        <f ca="1">IF(Table1[[#This Row],[No. Invoice :]]="","",ROW())</f>
        <v/>
      </c>
      <c r="B207" s="288" t="str">
        <f ca="1">IF(Table1[h_Kode Sales :_1]="","",B$1+COUNT(INDIRECT("B$2:B"&amp;ROW()-1)))</f>
        <v/>
      </c>
      <c r="C207" s="282" t="str">
        <f>IF(Table1[[#This Row],[H_TGL]]="","",Table1[[#This Row],[H_TGL]]+C$1-1)</f>
        <v/>
      </c>
      <c r="H207" s="288" t="str">
        <f ca="1">IF(Table1[[#This Row],[h_No. Invoice :]]="","",CONCATENATE("AM"," ",Table1[[#This Row],[h_No. Invoice :]]))</f>
        <v/>
      </c>
      <c r="I207" s="289" t="str">
        <f>CONCATENATE(UPPER(Table1[[#This Row],[h_Kode Sales :_1]])," ",Table1[[#This Row],[h_Kode Sales :_2]])</f>
        <v xml:space="preserve"> </v>
      </c>
      <c r="J207" s="288" t="str">
        <f>IF(Table1[[#This Row],[h_toko]]="","",INDEX(Table2[e],IF(Table1[[#This Row],[h_toko]]="","",MATCH(Table1[[#This Row],[h_toko]],Table2[a],0)),))</f>
        <v/>
      </c>
      <c r="O207" s="288" t="str">
        <f>IF(Table1[[#This Row],[h_Item Description]]="","",INDEX([1]!db[NB PAJAK],MATCH(Table1[[#This Row],[h_Item Description]],[1]!db[kode],0)))</f>
        <v/>
      </c>
      <c r="Q207" s="284"/>
      <c r="R207" s="285"/>
      <c r="T207" s="284" t="str">
        <f>Table1[[#This Row],[h_hargasetelahdiskon]]</f>
        <v/>
      </c>
      <c r="W207" s="288" t="str">
        <f ca="1">IF(Table1[[#This Row],[Item Description]]="","",IF(Table1[[#This Row],[//]]="",INDIRECT(ADDRESS(ROW()-1,COLUMN())),Table1[[#This Row],[//]]))</f>
        <v/>
      </c>
      <c r="X207" s="288" t="str">
        <f ca="1">IF(Table1[[#This Row],[h_id]]="","",COUNTIF(Table1[h_id],Table1[[#This Row],[h_id]]))</f>
        <v/>
      </c>
      <c r="Y207" s="284" t="str">
        <f>IF(Table1[Item Description]="","",Table1[[#This Row],[Qty]]*Table1[[#This Row],[Unit Price]])</f>
        <v/>
      </c>
      <c r="Z207" s="284" t="str">
        <f>IF(Table1[[#This Row],[h_hargasebelumdiskon]]="","",IF(Table1[[#This Row],[Disc 1]]="",0,Table1[[#This Row],[h_hargasebelumdiskon]]*Table1[[#This Row],[Disc 1]]))</f>
        <v/>
      </c>
      <c r="AA207" s="284" t="str">
        <f>IF(Table1[[#This Row],[h_hargasebelumdiskon]]="","",IF(Table1[[#This Row],[Disc 2]]="",0,(Table1[[#This Row],[h_hargasebelumdiskon]]-Table1[[#This Row],[h_disc 1]])*Table1[[#This Row],[Disc 2]]))</f>
        <v/>
      </c>
      <c r="AB207" s="284" t="str">
        <f>IF(Table1[Item Description]="","",Table1[[#This Row],[h_disc 1]]+Table1[[#This Row],[h_disc 2]])</f>
        <v/>
      </c>
      <c r="AC207" s="284" t="str">
        <f>IF(Table1[Item Description]="","",Table1[[#This Row],[h_hargasebelumdiskon]]-Table1[[#This Row],[h_diskon]])</f>
        <v/>
      </c>
      <c r="AD207" s="284" t="str">
        <f ca="1">IF(Table1[//]="","",SUMIF(Table1[h_id],Table1[h_id],Table1[h_hargasetelahdiskon]))</f>
        <v/>
      </c>
      <c r="AE207" s="284"/>
      <c r="AF207" s="284" t="str">
        <f>Table1[[#This Row],[Item Description]]&amp;Table1[[#This Row],[Unit]]&amp;Table1[[#This Row],[Unit Price]]</f>
        <v/>
      </c>
    </row>
    <row r="208" spans="1:32" x14ac:dyDescent="0.25">
      <c r="A208" s="288" t="str">
        <f ca="1">IF(Table1[[#This Row],[No. Invoice :]]="","",ROW())</f>
        <v/>
      </c>
      <c r="B208" s="288" t="str">
        <f ca="1">IF(Table1[h_Kode Sales :_1]="","",B$1+COUNT(INDIRECT("B$2:B"&amp;ROW()-1)))</f>
        <v/>
      </c>
      <c r="C208" s="282" t="str">
        <f>IF(Table1[[#This Row],[H_TGL]]="","",Table1[[#This Row],[H_TGL]]+C$1-1)</f>
        <v/>
      </c>
      <c r="H208" s="288" t="str">
        <f ca="1">IF(Table1[[#This Row],[h_No. Invoice :]]="","",CONCATENATE("AM"," ",Table1[[#This Row],[h_No. Invoice :]]))</f>
        <v/>
      </c>
      <c r="I208" s="289" t="str">
        <f>CONCATENATE(UPPER(Table1[[#This Row],[h_Kode Sales :_1]])," ",Table1[[#This Row],[h_Kode Sales :_2]])</f>
        <v xml:space="preserve"> </v>
      </c>
      <c r="J208" s="288" t="str">
        <f>IF(Table1[[#This Row],[h_toko]]="","",INDEX(Table2[e],IF(Table1[[#This Row],[h_toko]]="","",MATCH(Table1[[#This Row],[h_toko]],Table2[a],0)),))</f>
        <v/>
      </c>
      <c r="O208" s="288" t="str">
        <f>IF(Table1[[#This Row],[h_Item Description]]="","",INDEX([1]!db[NB PAJAK],MATCH(Table1[[#This Row],[h_Item Description]],[1]!db[kode],0)))</f>
        <v/>
      </c>
      <c r="Q208" s="284"/>
      <c r="R208" s="285"/>
      <c r="T208" s="284" t="str">
        <f>Table1[[#This Row],[h_hargasetelahdiskon]]</f>
        <v/>
      </c>
      <c r="W208" s="288" t="str">
        <f ca="1">IF(Table1[[#This Row],[Item Description]]="","",IF(Table1[[#This Row],[//]]="",INDIRECT(ADDRESS(ROW()-1,COLUMN())),Table1[[#This Row],[//]]))</f>
        <v/>
      </c>
      <c r="X208" s="288" t="str">
        <f ca="1">IF(Table1[[#This Row],[h_id]]="","",COUNTIF(Table1[h_id],Table1[[#This Row],[h_id]]))</f>
        <v/>
      </c>
      <c r="Y208" s="284" t="str">
        <f>IF(Table1[Item Description]="","",Table1[[#This Row],[Qty]]*Table1[[#This Row],[Unit Price]])</f>
        <v/>
      </c>
      <c r="Z208" s="284" t="str">
        <f>IF(Table1[[#This Row],[h_hargasebelumdiskon]]="","",IF(Table1[[#This Row],[Disc 1]]="",0,Table1[[#This Row],[h_hargasebelumdiskon]]*Table1[[#This Row],[Disc 1]]))</f>
        <v/>
      </c>
      <c r="AA208" s="284" t="str">
        <f>IF(Table1[[#This Row],[h_hargasebelumdiskon]]="","",IF(Table1[[#This Row],[Disc 2]]="",0,(Table1[[#This Row],[h_hargasebelumdiskon]]-Table1[[#This Row],[h_disc 1]])*Table1[[#This Row],[Disc 2]]))</f>
        <v/>
      </c>
      <c r="AB208" s="284" t="str">
        <f>IF(Table1[Item Description]="","",Table1[[#This Row],[h_disc 1]]+Table1[[#This Row],[h_disc 2]])</f>
        <v/>
      </c>
      <c r="AC208" s="284" t="str">
        <f>IF(Table1[Item Description]="","",Table1[[#This Row],[h_hargasebelumdiskon]]-Table1[[#This Row],[h_diskon]])</f>
        <v/>
      </c>
      <c r="AD208" s="284" t="str">
        <f ca="1">IF(Table1[//]="","",SUMIF(Table1[h_id],Table1[h_id],Table1[h_hargasetelahdiskon]))</f>
        <v/>
      </c>
      <c r="AE208" s="284"/>
      <c r="AF208" s="284" t="str">
        <f>Table1[[#This Row],[Item Description]]&amp;Table1[[#This Row],[Unit]]&amp;Table1[[#This Row],[Unit Price]]</f>
        <v/>
      </c>
    </row>
    <row r="209" spans="1:32" x14ac:dyDescent="0.25">
      <c r="A209" s="288" t="str">
        <f ca="1">IF(Table1[[#This Row],[No. Invoice :]]="","",ROW())</f>
        <v/>
      </c>
      <c r="B209" s="288" t="str">
        <f ca="1">IF(Table1[h_Kode Sales :_1]="","",B$1+COUNT(INDIRECT("B$2:B"&amp;ROW()-1)))</f>
        <v/>
      </c>
      <c r="C209" s="282" t="str">
        <f>IF(Table1[[#This Row],[H_TGL]]="","",Table1[[#This Row],[H_TGL]]+C$1-1)</f>
        <v/>
      </c>
      <c r="H209" s="288" t="str">
        <f ca="1">IF(Table1[[#This Row],[h_No. Invoice :]]="","",CONCATENATE("AM"," ",Table1[[#This Row],[h_No. Invoice :]]))</f>
        <v/>
      </c>
      <c r="I209" s="289" t="str">
        <f>CONCATENATE(UPPER(Table1[[#This Row],[h_Kode Sales :_1]])," ",Table1[[#This Row],[h_Kode Sales :_2]])</f>
        <v xml:space="preserve"> </v>
      </c>
      <c r="J209" s="288" t="str">
        <f>IF(Table1[[#This Row],[h_toko]]="","",INDEX(Table2[e],IF(Table1[[#This Row],[h_toko]]="","",MATCH(Table1[[#This Row],[h_toko]],Table2[a],0)),))</f>
        <v/>
      </c>
      <c r="O209" s="288" t="str">
        <f>IF(Table1[[#This Row],[h_Item Description]]="","",INDEX([1]!db[NB PAJAK],MATCH(Table1[[#This Row],[h_Item Description]],[1]!db[kode],0)))</f>
        <v/>
      </c>
      <c r="Q209" s="284"/>
      <c r="R209" s="285"/>
      <c r="T209" s="284" t="str">
        <f>Table1[[#This Row],[h_hargasetelahdiskon]]</f>
        <v/>
      </c>
      <c r="W209" s="288" t="str">
        <f ca="1">IF(Table1[[#This Row],[Item Description]]="","",IF(Table1[[#This Row],[//]]="",INDIRECT(ADDRESS(ROW()-1,COLUMN())),Table1[[#This Row],[//]]))</f>
        <v/>
      </c>
      <c r="X209" s="288" t="str">
        <f ca="1">IF(Table1[[#This Row],[h_id]]="","",COUNTIF(Table1[h_id],Table1[[#This Row],[h_id]]))</f>
        <v/>
      </c>
      <c r="Y209" s="284" t="str">
        <f>IF(Table1[Item Description]="","",Table1[[#This Row],[Qty]]*Table1[[#This Row],[Unit Price]])</f>
        <v/>
      </c>
      <c r="Z209" s="284" t="str">
        <f>IF(Table1[[#This Row],[h_hargasebelumdiskon]]="","",IF(Table1[[#This Row],[Disc 1]]="",0,Table1[[#This Row],[h_hargasebelumdiskon]]*Table1[[#This Row],[Disc 1]]))</f>
        <v/>
      </c>
      <c r="AA209" s="284" t="str">
        <f>IF(Table1[[#This Row],[h_hargasebelumdiskon]]="","",IF(Table1[[#This Row],[Disc 2]]="",0,(Table1[[#This Row],[h_hargasebelumdiskon]]-Table1[[#This Row],[h_disc 1]])*Table1[[#This Row],[Disc 2]]))</f>
        <v/>
      </c>
      <c r="AB209" s="284" t="str">
        <f>IF(Table1[Item Description]="","",Table1[[#This Row],[h_disc 1]]+Table1[[#This Row],[h_disc 2]])</f>
        <v/>
      </c>
      <c r="AC209" s="284" t="str">
        <f>IF(Table1[Item Description]="","",Table1[[#This Row],[h_hargasebelumdiskon]]-Table1[[#This Row],[h_diskon]])</f>
        <v/>
      </c>
      <c r="AD209" s="284" t="str">
        <f ca="1">IF(Table1[//]="","",SUMIF(Table1[h_id],Table1[h_id],Table1[h_hargasetelahdiskon]))</f>
        <v/>
      </c>
      <c r="AE209" s="284"/>
      <c r="AF209" s="284" t="str">
        <f>Table1[[#This Row],[Item Description]]&amp;Table1[[#This Row],[Unit]]&amp;Table1[[#This Row],[Unit Price]]</f>
        <v/>
      </c>
    </row>
    <row r="210" spans="1:32" x14ac:dyDescent="0.25">
      <c r="A210" s="288" t="str">
        <f ca="1">IF(Table1[[#This Row],[No. Invoice :]]="","",ROW())</f>
        <v/>
      </c>
      <c r="B210" s="288" t="str">
        <f ca="1">IF(Table1[h_Kode Sales :_1]="","",B$1+COUNT(INDIRECT("B$2:B"&amp;ROW()-1)))</f>
        <v/>
      </c>
      <c r="C210" s="282" t="str">
        <f>IF(Table1[[#This Row],[H_TGL]]="","",Table1[[#This Row],[H_TGL]]+C$1-1)</f>
        <v/>
      </c>
      <c r="H210" s="288" t="str">
        <f ca="1">IF(Table1[[#This Row],[h_No. Invoice :]]="","",CONCATENATE("AM"," ",Table1[[#This Row],[h_No. Invoice :]]))</f>
        <v/>
      </c>
      <c r="I210" s="289" t="str">
        <f>CONCATENATE(UPPER(Table1[[#This Row],[h_Kode Sales :_1]])," ",Table1[[#This Row],[h_Kode Sales :_2]])</f>
        <v xml:space="preserve"> </v>
      </c>
      <c r="J210" s="288" t="str">
        <f>IF(Table1[[#This Row],[h_toko]]="","",INDEX(Table2[e],IF(Table1[[#This Row],[h_toko]]="","",MATCH(Table1[[#This Row],[h_toko]],Table2[a],0)),))</f>
        <v/>
      </c>
      <c r="O210" s="288" t="str">
        <f>IF(Table1[[#This Row],[h_Item Description]]="","",INDEX([1]!db[NB PAJAK],MATCH(Table1[[#This Row],[h_Item Description]],[1]!db[kode],0)))</f>
        <v/>
      </c>
      <c r="Q210" s="284"/>
      <c r="R210" s="285"/>
      <c r="T210" s="284" t="str">
        <f>Table1[[#This Row],[h_hargasetelahdiskon]]</f>
        <v/>
      </c>
      <c r="W210" s="288" t="str">
        <f ca="1">IF(Table1[[#This Row],[Item Description]]="","",IF(Table1[[#This Row],[//]]="",INDIRECT(ADDRESS(ROW()-1,COLUMN())),Table1[[#This Row],[//]]))</f>
        <v/>
      </c>
      <c r="X210" s="288" t="str">
        <f ca="1">IF(Table1[[#This Row],[h_id]]="","",COUNTIF(Table1[h_id],Table1[[#This Row],[h_id]]))</f>
        <v/>
      </c>
      <c r="Y210" s="284" t="str">
        <f>IF(Table1[Item Description]="","",Table1[[#This Row],[Qty]]*Table1[[#This Row],[Unit Price]])</f>
        <v/>
      </c>
      <c r="Z210" s="284" t="str">
        <f>IF(Table1[[#This Row],[h_hargasebelumdiskon]]="","",IF(Table1[[#This Row],[Disc 1]]="",0,Table1[[#This Row],[h_hargasebelumdiskon]]*Table1[[#This Row],[Disc 1]]))</f>
        <v/>
      </c>
      <c r="AA210" s="284" t="str">
        <f>IF(Table1[[#This Row],[h_hargasebelumdiskon]]="","",IF(Table1[[#This Row],[Disc 2]]="",0,(Table1[[#This Row],[h_hargasebelumdiskon]]-Table1[[#This Row],[h_disc 1]])*Table1[[#This Row],[Disc 2]]))</f>
        <v/>
      </c>
      <c r="AB210" s="284" t="str">
        <f>IF(Table1[Item Description]="","",Table1[[#This Row],[h_disc 1]]+Table1[[#This Row],[h_disc 2]])</f>
        <v/>
      </c>
      <c r="AC210" s="284" t="str">
        <f>IF(Table1[Item Description]="","",Table1[[#This Row],[h_hargasebelumdiskon]]-Table1[[#This Row],[h_diskon]])</f>
        <v/>
      </c>
      <c r="AD210" s="284" t="str">
        <f ca="1">IF(Table1[//]="","",SUMIF(Table1[h_id],Table1[h_id],Table1[h_hargasetelahdiskon]))</f>
        <v/>
      </c>
      <c r="AE210" s="284"/>
      <c r="AF210" s="284" t="str">
        <f>Table1[[#This Row],[Item Description]]&amp;Table1[[#This Row],[Unit]]&amp;Table1[[#This Row],[Unit Price]]</f>
        <v/>
      </c>
    </row>
    <row r="211" spans="1:32" x14ac:dyDescent="0.25">
      <c r="A211" s="288" t="str">
        <f ca="1">IF(Table1[[#This Row],[No. Invoice :]]="","",ROW())</f>
        <v/>
      </c>
      <c r="B211" s="288" t="str">
        <f ca="1">IF(Table1[h_Kode Sales :_1]="","",B$1+COUNT(INDIRECT("B$2:B"&amp;ROW()-1)))</f>
        <v/>
      </c>
      <c r="C211" s="282" t="str">
        <f>IF(Table1[[#This Row],[H_TGL]]="","",Table1[[#This Row],[H_TGL]]+C$1-1)</f>
        <v/>
      </c>
      <c r="H211" s="288" t="str">
        <f ca="1">IF(Table1[[#This Row],[h_No. Invoice :]]="","",CONCATENATE("AM"," ",Table1[[#This Row],[h_No. Invoice :]]))</f>
        <v/>
      </c>
      <c r="I211" s="289" t="str">
        <f>CONCATENATE(UPPER(Table1[[#This Row],[h_Kode Sales :_1]])," ",Table1[[#This Row],[h_Kode Sales :_2]])</f>
        <v xml:space="preserve"> </v>
      </c>
      <c r="J211" s="288" t="str">
        <f>IF(Table1[[#This Row],[h_toko]]="","",INDEX(Table2[e],IF(Table1[[#This Row],[h_toko]]="","",MATCH(Table1[[#This Row],[h_toko]],Table2[a],0)),))</f>
        <v/>
      </c>
      <c r="O211" s="288" t="str">
        <f>IF(Table1[[#This Row],[h_Item Description]]="","",INDEX([1]!db[NB PAJAK],MATCH(Table1[[#This Row],[h_Item Description]],[1]!db[kode],0)))</f>
        <v/>
      </c>
      <c r="Q211" s="284"/>
      <c r="R211" s="285"/>
      <c r="T211" s="284" t="str">
        <f>Table1[[#This Row],[h_hargasetelahdiskon]]</f>
        <v/>
      </c>
      <c r="W211" s="288" t="str">
        <f ca="1">IF(Table1[[#This Row],[Item Description]]="","",IF(Table1[[#This Row],[//]]="",INDIRECT(ADDRESS(ROW()-1,COLUMN())),Table1[[#This Row],[//]]))</f>
        <v/>
      </c>
      <c r="X211" s="288" t="str">
        <f ca="1">IF(Table1[[#This Row],[h_id]]="","",COUNTIF(Table1[h_id],Table1[[#This Row],[h_id]]))</f>
        <v/>
      </c>
      <c r="Y211" s="284" t="str">
        <f>IF(Table1[Item Description]="","",Table1[[#This Row],[Qty]]*Table1[[#This Row],[Unit Price]])</f>
        <v/>
      </c>
      <c r="Z211" s="284" t="str">
        <f>IF(Table1[[#This Row],[h_hargasebelumdiskon]]="","",IF(Table1[[#This Row],[Disc 1]]="",0,Table1[[#This Row],[h_hargasebelumdiskon]]*Table1[[#This Row],[Disc 1]]))</f>
        <v/>
      </c>
      <c r="AA211" s="284" t="str">
        <f>IF(Table1[[#This Row],[h_hargasebelumdiskon]]="","",IF(Table1[[#This Row],[Disc 2]]="",0,(Table1[[#This Row],[h_hargasebelumdiskon]]-Table1[[#This Row],[h_disc 1]])*Table1[[#This Row],[Disc 2]]))</f>
        <v/>
      </c>
      <c r="AB211" s="284" t="str">
        <f>IF(Table1[Item Description]="","",Table1[[#This Row],[h_disc 1]]+Table1[[#This Row],[h_disc 2]])</f>
        <v/>
      </c>
      <c r="AC211" s="284" t="str">
        <f>IF(Table1[Item Description]="","",Table1[[#This Row],[h_hargasebelumdiskon]]-Table1[[#This Row],[h_diskon]])</f>
        <v/>
      </c>
      <c r="AD211" s="284" t="str">
        <f ca="1">IF(Table1[//]="","",SUMIF(Table1[h_id],Table1[h_id],Table1[h_hargasetelahdiskon]))</f>
        <v/>
      </c>
      <c r="AE211" s="284"/>
      <c r="AF211" s="284" t="str">
        <f>Table1[[#This Row],[Item Description]]&amp;Table1[[#This Row],[Unit]]&amp;Table1[[#This Row],[Unit Price]]</f>
        <v/>
      </c>
    </row>
    <row r="212" spans="1:32" x14ac:dyDescent="0.25">
      <c r="A212" s="288" t="str">
        <f ca="1">IF(Table1[[#This Row],[No. Invoice :]]="","",ROW())</f>
        <v/>
      </c>
      <c r="B212" s="288" t="str">
        <f ca="1">IF(Table1[h_Kode Sales :_1]="","",B$1+COUNT(INDIRECT("B$2:B"&amp;ROW()-1)))</f>
        <v/>
      </c>
      <c r="C212" s="282" t="str">
        <f>IF(Table1[[#This Row],[H_TGL]]="","",Table1[[#This Row],[H_TGL]]+C$1-1)</f>
        <v/>
      </c>
      <c r="H212" s="288" t="str">
        <f ca="1">IF(Table1[[#This Row],[h_No. Invoice :]]="","",CONCATENATE("AM"," ",Table1[[#This Row],[h_No. Invoice :]]))</f>
        <v/>
      </c>
      <c r="I212" s="289" t="str">
        <f>CONCATENATE(UPPER(Table1[[#This Row],[h_Kode Sales :_1]])," ",Table1[[#This Row],[h_Kode Sales :_2]])</f>
        <v xml:space="preserve"> </v>
      </c>
      <c r="J212" s="288" t="str">
        <f>IF(Table1[[#This Row],[h_toko]]="","",INDEX(Table2[e],IF(Table1[[#This Row],[h_toko]]="","",MATCH(Table1[[#This Row],[h_toko]],Table2[a],0)),))</f>
        <v/>
      </c>
      <c r="O212" s="288" t="str">
        <f>IF(Table1[[#This Row],[h_Item Description]]="","",INDEX([1]!db[NB PAJAK],MATCH(Table1[[#This Row],[h_Item Description]],[1]!db[kode],0)))</f>
        <v/>
      </c>
      <c r="Q212" s="284"/>
      <c r="R212" s="285"/>
      <c r="T212" s="284" t="str">
        <f>Table1[[#This Row],[h_hargasetelahdiskon]]</f>
        <v/>
      </c>
      <c r="W212" s="288" t="str">
        <f ca="1">IF(Table1[[#This Row],[Item Description]]="","",IF(Table1[[#This Row],[//]]="",INDIRECT(ADDRESS(ROW()-1,COLUMN())),Table1[[#This Row],[//]]))</f>
        <v/>
      </c>
      <c r="X212" s="288" t="str">
        <f ca="1">IF(Table1[[#This Row],[h_id]]="","",COUNTIF(Table1[h_id],Table1[[#This Row],[h_id]]))</f>
        <v/>
      </c>
      <c r="Y212" s="284" t="str">
        <f>IF(Table1[Item Description]="","",Table1[[#This Row],[Qty]]*Table1[[#This Row],[Unit Price]])</f>
        <v/>
      </c>
      <c r="Z212" s="284" t="str">
        <f>IF(Table1[[#This Row],[h_hargasebelumdiskon]]="","",IF(Table1[[#This Row],[Disc 1]]="",0,Table1[[#This Row],[h_hargasebelumdiskon]]*Table1[[#This Row],[Disc 1]]))</f>
        <v/>
      </c>
      <c r="AA212" s="284" t="str">
        <f>IF(Table1[[#This Row],[h_hargasebelumdiskon]]="","",IF(Table1[[#This Row],[Disc 2]]="",0,(Table1[[#This Row],[h_hargasebelumdiskon]]-Table1[[#This Row],[h_disc 1]])*Table1[[#This Row],[Disc 2]]))</f>
        <v/>
      </c>
      <c r="AB212" s="284" t="str">
        <f>IF(Table1[Item Description]="","",Table1[[#This Row],[h_disc 1]]+Table1[[#This Row],[h_disc 2]])</f>
        <v/>
      </c>
      <c r="AC212" s="284" t="str">
        <f>IF(Table1[Item Description]="","",Table1[[#This Row],[h_hargasebelumdiskon]]-Table1[[#This Row],[h_diskon]])</f>
        <v/>
      </c>
      <c r="AD212" s="284" t="str">
        <f ca="1">IF(Table1[//]="","",SUMIF(Table1[h_id],Table1[h_id],Table1[h_hargasetelahdiskon]))</f>
        <v/>
      </c>
      <c r="AE212" s="284"/>
      <c r="AF212" s="284" t="str">
        <f>Table1[[#This Row],[Item Description]]&amp;Table1[[#This Row],[Unit]]&amp;Table1[[#This Row],[Unit Price]]</f>
        <v/>
      </c>
    </row>
    <row r="213" spans="1:32" x14ac:dyDescent="0.25">
      <c r="A213" s="288" t="str">
        <f ca="1">IF(Table1[[#This Row],[No. Invoice :]]="","",ROW())</f>
        <v/>
      </c>
      <c r="B213" s="288" t="str">
        <f ca="1">IF(Table1[h_Kode Sales :_1]="","",B$1+COUNT(INDIRECT("B$2:B"&amp;ROW()-1)))</f>
        <v/>
      </c>
      <c r="C213" s="282" t="str">
        <f>IF(Table1[[#This Row],[H_TGL]]="","",Table1[[#This Row],[H_TGL]]+C$1-1)</f>
        <v/>
      </c>
      <c r="H213" s="288" t="str">
        <f ca="1">IF(Table1[[#This Row],[h_No. Invoice :]]="","",CONCATENATE("AM"," ",Table1[[#This Row],[h_No. Invoice :]]))</f>
        <v/>
      </c>
      <c r="I213" s="289" t="str">
        <f>CONCATENATE(UPPER(Table1[[#This Row],[h_Kode Sales :_1]])," ",Table1[[#This Row],[h_Kode Sales :_2]])</f>
        <v xml:space="preserve"> </v>
      </c>
      <c r="J213" s="288" t="str">
        <f>IF(Table1[[#This Row],[h_toko]]="","",INDEX(Table2[e],IF(Table1[[#This Row],[h_toko]]="","",MATCH(Table1[[#This Row],[h_toko]],Table2[a],0)),))</f>
        <v/>
      </c>
      <c r="O213" s="288" t="str">
        <f>IF(Table1[[#This Row],[h_Item Description]]="","",INDEX([1]!db[NB PAJAK],MATCH(Table1[[#This Row],[h_Item Description]],[1]!db[kode],0)))</f>
        <v/>
      </c>
      <c r="Q213" s="284"/>
      <c r="R213" s="285"/>
      <c r="T213" s="284" t="str">
        <f>Table1[[#This Row],[h_hargasetelahdiskon]]</f>
        <v/>
      </c>
      <c r="W213" s="288" t="str">
        <f ca="1">IF(Table1[[#This Row],[Item Description]]="","",IF(Table1[[#This Row],[//]]="",INDIRECT(ADDRESS(ROW()-1,COLUMN())),Table1[[#This Row],[//]]))</f>
        <v/>
      </c>
      <c r="X213" s="288" t="str">
        <f ca="1">IF(Table1[[#This Row],[h_id]]="","",COUNTIF(Table1[h_id],Table1[[#This Row],[h_id]]))</f>
        <v/>
      </c>
      <c r="Y213" s="284" t="str">
        <f>IF(Table1[Item Description]="","",Table1[[#This Row],[Qty]]*Table1[[#This Row],[Unit Price]])</f>
        <v/>
      </c>
      <c r="Z213" s="284" t="str">
        <f>IF(Table1[[#This Row],[h_hargasebelumdiskon]]="","",IF(Table1[[#This Row],[Disc 1]]="",0,Table1[[#This Row],[h_hargasebelumdiskon]]*Table1[[#This Row],[Disc 1]]))</f>
        <v/>
      </c>
      <c r="AA213" s="284" t="str">
        <f>IF(Table1[[#This Row],[h_hargasebelumdiskon]]="","",IF(Table1[[#This Row],[Disc 2]]="",0,(Table1[[#This Row],[h_hargasebelumdiskon]]-Table1[[#This Row],[h_disc 1]])*Table1[[#This Row],[Disc 2]]))</f>
        <v/>
      </c>
      <c r="AB213" s="284" t="str">
        <f>IF(Table1[Item Description]="","",Table1[[#This Row],[h_disc 1]]+Table1[[#This Row],[h_disc 2]])</f>
        <v/>
      </c>
      <c r="AC213" s="284" t="str">
        <f>IF(Table1[Item Description]="","",Table1[[#This Row],[h_hargasebelumdiskon]]-Table1[[#This Row],[h_diskon]])</f>
        <v/>
      </c>
      <c r="AD213" s="284" t="str">
        <f ca="1">IF(Table1[//]="","",SUMIF(Table1[h_id],Table1[h_id],Table1[h_hargasetelahdiskon]))</f>
        <v/>
      </c>
      <c r="AE213" s="284"/>
      <c r="AF213" s="284" t="str">
        <f>Table1[[#This Row],[Item Description]]&amp;Table1[[#This Row],[Unit]]&amp;Table1[[#This Row],[Unit Price]]</f>
        <v/>
      </c>
    </row>
    <row r="214" spans="1:32" x14ac:dyDescent="0.25">
      <c r="A214" s="288" t="str">
        <f ca="1">IF(Table1[[#This Row],[No. Invoice :]]="","",ROW())</f>
        <v/>
      </c>
      <c r="B214" s="288" t="str">
        <f ca="1">IF(Table1[h_Kode Sales :_1]="","",B$1+COUNT(INDIRECT("B$2:B"&amp;ROW()-1)))</f>
        <v/>
      </c>
      <c r="C214" s="282" t="str">
        <f>IF(Table1[[#This Row],[H_TGL]]="","",Table1[[#This Row],[H_TGL]]+C$1-1)</f>
        <v/>
      </c>
      <c r="H214" s="288" t="str">
        <f ca="1">IF(Table1[[#This Row],[h_No. Invoice :]]="","",CONCATENATE("AM"," ",Table1[[#This Row],[h_No. Invoice :]]))</f>
        <v/>
      </c>
      <c r="I214" s="289" t="str">
        <f>CONCATENATE(UPPER(Table1[[#This Row],[h_Kode Sales :_1]])," ",Table1[[#This Row],[h_Kode Sales :_2]])</f>
        <v xml:space="preserve"> </v>
      </c>
      <c r="J214" s="288" t="str">
        <f>IF(Table1[[#This Row],[h_toko]]="","",INDEX(Table2[e],IF(Table1[[#This Row],[h_toko]]="","",MATCH(Table1[[#This Row],[h_toko]],Table2[a],0)),))</f>
        <v/>
      </c>
      <c r="O214" s="288" t="str">
        <f>IF(Table1[[#This Row],[h_Item Description]]="","",INDEX([1]!db[NB PAJAK],MATCH(Table1[[#This Row],[h_Item Description]],[1]!db[kode],0)))</f>
        <v/>
      </c>
      <c r="Q214" s="284"/>
      <c r="R214" s="285"/>
      <c r="T214" s="284" t="str">
        <f>Table1[[#This Row],[h_hargasetelahdiskon]]</f>
        <v/>
      </c>
      <c r="W214" s="288" t="str">
        <f ca="1">IF(Table1[[#This Row],[Item Description]]="","",IF(Table1[[#This Row],[//]]="",INDIRECT(ADDRESS(ROW()-1,COLUMN())),Table1[[#This Row],[//]]))</f>
        <v/>
      </c>
      <c r="X214" s="288" t="str">
        <f ca="1">IF(Table1[[#This Row],[h_id]]="","",COUNTIF(Table1[h_id],Table1[[#This Row],[h_id]]))</f>
        <v/>
      </c>
      <c r="Y214" s="284" t="str">
        <f>IF(Table1[Item Description]="","",Table1[[#This Row],[Qty]]*Table1[[#This Row],[Unit Price]])</f>
        <v/>
      </c>
      <c r="Z214" s="284" t="str">
        <f>IF(Table1[[#This Row],[h_hargasebelumdiskon]]="","",IF(Table1[[#This Row],[Disc 1]]="",0,Table1[[#This Row],[h_hargasebelumdiskon]]*Table1[[#This Row],[Disc 1]]))</f>
        <v/>
      </c>
      <c r="AA214" s="284" t="str">
        <f>IF(Table1[[#This Row],[h_hargasebelumdiskon]]="","",IF(Table1[[#This Row],[Disc 2]]="",0,(Table1[[#This Row],[h_hargasebelumdiskon]]-Table1[[#This Row],[h_disc 1]])*Table1[[#This Row],[Disc 2]]))</f>
        <v/>
      </c>
      <c r="AB214" s="284" t="str">
        <f>IF(Table1[Item Description]="","",Table1[[#This Row],[h_disc 1]]+Table1[[#This Row],[h_disc 2]])</f>
        <v/>
      </c>
      <c r="AC214" s="284" t="str">
        <f>IF(Table1[Item Description]="","",Table1[[#This Row],[h_hargasebelumdiskon]]-Table1[[#This Row],[h_diskon]])</f>
        <v/>
      </c>
      <c r="AD214" s="284" t="str">
        <f ca="1">IF(Table1[//]="","",SUMIF(Table1[h_id],Table1[h_id],Table1[h_hargasetelahdiskon]))</f>
        <v/>
      </c>
      <c r="AE214" s="284"/>
      <c r="AF214" s="284" t="str">
        <f>Table1[[#This Row],[Item Description]]&amp;Table1[[#This Row],[Unit]]&amp;Table1[[#This Row],[Unit Price]]</f>
        <v/>
      </c>
    </row>
    <row r="215" spans="1:32" x14ac:dyDescent="0.25">
      <c r="A215" s="288" t="str">
        <f ca="1">IF(Table1[[#This Row],[No. Invoice :]]="","",ROW())</f>
        <v/>
      </c>
      <c r="B215" s="288" t="str">
        <f ca="1">IF(Table1[h_Kode Sales :_1]="","",B$1+COUNT(INDIRECT("B$2:B"&amp;ROW()-1)))</f>
        <v/>
      </c>
      <c r="C215" s="282" t="str">
        <f>IF(Table1[[#This Row],[H_TGL]]="","",Table1[[#This Row],[H_TGL]]+C$1-1)</f>
        <v/>
      </c>
      <c r="H215" s="288" t="str">
        <f ca="1">IF(Table1[[#This Row],[h_No. Invoice :]]="","",CONCATENATE("AM"," ",Table1[[#This Row],[h_No. Invoice :]]))</f>
        <v/>
      </c>
      <c r="I215" s="289" t="str">
        <f>CONCATENATE(UPPER(Table1[[#This Row],[h_Kode Sales :_1]])," ",Table1[[#This Row],[h_Kode Sales :_2]])</f>
        <v xml:space="preserve"> </v>
      </c>
      <c r="J215" s="288" t="str">
        <f>IF(Table1[[#This Row],[h_toko]]="","",INDEX(Table2[e],IF(Table1[[#This Row],[h_toko]]="","",MATCH(Table1[[#This Row],[h_toko]],Table2[a],0)),))</f>
        <v/>
      </c>
      <c r="O215" s="288" t="str">
        <f>IF(Table1[[#This Row],[h_Item Description]]="","",INDEX([1]!db[NB PAJAK],MATCH(Table1[[#This Row],[h_Item Description]],[1]!db[kode],0)))</f>
        <v/>
      </c>
      <c r="Q215" s="284"/>
      <c r="R215" s="285"/>
      <c r="T215" s="284" t="str">
        <f>Table1[[#This Row],[h_hargasetelahdiskon]]</f>
        <v/>
      </c>
      <c r="W215" s="288" t="str">
        <f ca="1">IF(Table1[[#This Row],[Item Description]]="","",IF(Table1[[#This Row],[//]]="",INDIRECT(ADDRESS(ROW()-1,COLUMN())),Table1[[#This Row],[//]]))</f>
        <v/>
      </c>
      <c r="X215" s="288" t="str">
        <f ca="1">IF(Table1[[#This Row],[h_id]]="","",COUNTIF(Table1[h_id],Table1[[#This Row],[h_id]]))</f>
        <v/>
      </c>
      <c r="Y215" s="284" t="str">
        <f>IF(Table1[Item Description]="","",Table1[[#This Row],[Qty]]*Table1[[#This Row],[Unit Price]])</f>
        <v/>
      </c>
      <c r="Z215" s="284" t="str">
        <f>IF(Table1[[#This Row],[h_hargasebelumdiskon]]="","",IF(Table1[[#This Row],[Disc 1]]="",0,Table1[[#This Row],[h_hargasebelumdiskon]]*Table1[[#This Row],[Disc 1]]))</f>
        <v/>
      </c>
      <c r="AA215" s="284" t="str">
        <f>IF(Table1[[#This Row],[h_hargasebelumdiskon]]="","",IF(Table1[[#This Row],[Disc 2]]="",0,(Table1[[#This Row],[h_hargasebelumdiskon]]-Table1[[#This Row],[h_disc 1]])*Table1[[#This Row],[Disc 2]]))</f>
        <v/>
      </c>
      <c r="AB215" s="284" t="str">
        <f>IF(Table1[Item Description]="","",Table1[[#This Row],[h_disc 1]]+Table1[[#This Row],[h_disc 2]])</f>
        <v/>
      </c>
      <c r="AC215" s="284" t="str">
        <f>IF(Table1[Item Description]="","",Table1[[#This Row],[h_hargasebelumdiskon]]-Table1[[#This Row],[h_diskon]])</f>
        <v/>
      </c>
      <c r="AD215" s="284" t="str">
        <f ca="1">IF(Table1[//]="","",SUMIF(Table1[h_id],Table1[h_id],Table1[h_hargasetelahdiskon]))</f>
        <v/>
      </c>
      <c r="AE215" s="284"/>
      <c r="AF215" s="284" t="str">
        <f>Table1[[#This Row],[Item Description]]&amp;Table1[[#This Row],[Unit]]&amp;Table1[[#This Row],[Unit Price]]</f>
        <v/>
      </c>
    </row>
    <row r="216" spans="1:32" x14ac:dyDescent="0.25">
      <c r="A216" s="288" t="str">
        <f ca="1">IF(Table1[[#This Row],[No. Invoice :]]="","",ROW())</f>
        <v/>
      </c>
      <c r="B216" s="288" t="str">
        <f ca="1">IF(Table1[h_Kode Sales :_1]="","",B$1+COUNT(INDIRECT("B$2:B"&amp;ROW()-1)))</f>
        <v/>
      </c>
      <c r="C216" s="282" t="str">
        <f>IF(Table1[[#This Row],[H_TGL]]="","",Table1[[#This Row],[H_TGL]]+C$1-1)</f>
        <v/>
      </c>
      <c r="H216" s="288" t="str">
        <f ca="1">IF(Table1[[#This Row],[h_No. Invoice :]]="","",CONCATENATE("AM"," ",Table1[[#This Row],[h_No. Invoice :]]))</f>
        <v/>
      </c>
      <c r="I216" s="289" t="str">
        <f>CONCATENATE(UPPER(Table1[[#This Row],[h_Kode Sales :_1]])," ",Table1[[#This Row],[h_Kode Sales :_2]])</f>
        <v xml:space="preserve"> </v>
      </c>
      <c r="J216" s="288" t="str">
        <f>IF(Table1[[#This Row],[h_toko]]="","",INDEX(Table2[e],IF(Table1[[#This Row],[h_toko]]="","",MATCH(Table1[[#This Row],[h_toko]],Table2[a],0)),))</f>
        <v/>
      </c>
      <c r="O216" s="288" t="str">
        <f>IF(Table1[[#This Row],[h_Item Description]]="","",INDEX([1]!db[NB PAJAK],MATCH(Table1[[#This Row],[h_Item Description]],[1]!db[kode],0)))</f>
        <v/>
      </c>
      <c r="Q216" s="284"/>
      <c r="R216" s="285"/>
      <c r="T216" s="284" t="str">
        <f>Table1[[#This Row],[h_hargasetelahdiskon]]</f>
        <v/>
      </c>
      <c r="W216" s="288" t="str">
        <f ca="1">IF(Table1[[#This Row],[Item Description]]="","",IF(Table1[[#This Row],[//]]="",INDIRECT(ADDRESS(ROW()-1,COLUMN())),Table1[[#This Row],[//]]))</f>
        <v/>
      </c>
      <c r="X216" s="288" t="str">
        <f ca="1">IF(Table1[[#This Row],[h_id]]="","",COUNTIF(Table1[h_id],Table1[[#This Row],[h_id]]))</f>
        <v/>
      </c>
      <c r="Y216" s="284" t="str">
        <f>IF(Table1[Item Description]="","",Table1[[#This Row],[Qty]]*Table1[[#This Row],[Unit Price]])</f>
        <v/>
      </c>
      <c r="Z216" s="284" t="str">
        <f>IF(Table1[[#This Row],[h_hargasebelumdiskon]]="","",IF(Table1[[#This Row],[Disc 1]]="",0,Table1[[#This Row],[h_hargasebelumdiskon]]*Table1[[#This Row],[Disc 1]]))</f>
        <v/>
      </c>
      <c r="AA216" s="284" t="str">
        <f>IF(Table1[[#This Row],[h_hargasebelumdiskon]]="","",IF(Table1[[#This Row],[Disc 2]]="",0,(Table1[[#This Row],[h_hargasebelumdiskon]]-Table1[[#This Row],[h_disc 1]])*Table1[[#This Row],[Disc 2]]))</f>
        <v/>
      </c>
      <c r="AB216" s="284" t="str">
        <f>IF(Table1[Item Description]="","",Table1[[#This Row],[h_disc 1]]+Table1[[#This Row],[h_disc 2]])</f>
        <v/>
      </c>
      <c r="AC216" s="284" t="str">
        <f>IF(Table1[Item Description]="","",Table1[[#This Row],[h_hargasebelumdiskon]]-Table1[[#This Row],[h_diskon]])</f>
        <v/>
      </c>
      <c r="AD216" s="284" t="str">
        <f ca="1">IF(Table1[//]="","",SUMIF(Table1[h_id],Table1[h_id],Table1[h_hargasetelahdiskon]))</f>
        <v/>
      </c>
      <c r="AE216" s="284"/>
      <c r="AF216" s="284" t="str">
        <f>Table1[[#This Row],[Item Description]]&amp;Table1[[#This Row],[Unit]]&amp;Table1[[#This Row],[Unit Price]]</f>
        <v/>
      </c>
    </row>
    <row r="217" spans="1:32" x14ac:dyDescent="0.25">
      <c r="A217" s="288" t="str">
        <f ca="1">IF(Table1[[#This Row],[No. Invoice :]]="","",ROW())</f>
        <v/>
      </c>
      <c r="B217" s="288" t="str">
        <f ca="1">IF(Table1[h_Kode Sales :_1]="","",B$1+COUNT(INDIRECT("B$2:B"&amp;ROW()-1)))</f>
        <v/>
      </c>
      <c r="C217" s="282" t="str">
        <f>IF(Table1[[#This Row],[H_TGL]]="","",Table1[[#This Row],[H_TGL]]+C$1-1)</f>
        <v/>
      </c>
      <c r="H217" s="288" t="str">
        <f ca="1">IF(Table1[[#This Row],[h_No. Invoice :]]="","",CONCATENATE("AM"," ",Table1[[#This Row],[h_No. Invoice :]]))</f>
        <v/>
      </c>
      <c r="I217" s="289" t="str">
        <f>CONCATENATE(UPPER(Table1[[#This Row],[h_Kode Sales :_1]])," ",Table1[[#This Row],[h_Kode Sales :_2]])</f>
        <v xml:space="preserve"> </v>
      </c>
      <c r="J217" s="288" t="str">
        <f>IF(Table1[[#This Row],[h_toko]]="","",INDEX(Table2[e],IF(Table1[[#This Row],[h_toko]]="","",MATCH(Table1[[#This Row],[h_toko]],Table2[a],0)),))</f>
        <v/>
      </c>
      <c r="O217" s="288" t="str">
        <f>IF(Table1[[#This Row],[h_Item Description]]="","",INDEX([1]!db[NB PAJAK],MATCH(Table1[[#This Row],[h_Item Description]],[1]!db[kode],0)))</f>
        <v/>
      </c>
      <c r="Q217" s="284"/>
      <c r="R217" s="285"/>
      <c r="T217" s="284" t="str">
        <f>Table1[[#This Row],[h_hargasetelahdiskon]]</f>
        <v/>
      </c>
      <c r="W217" s="288" t="str">
        <f ca="1">IF(Table1[[#This Row],[Item Description]]="","",IF(Table1[[#This Row],[//]]="",INDIRECT(ADDRESS(ROW()-1,COLUMN())),Table1[[#This Row],[//]]))</f>
        <v/>
      </c>
      <c r="X217" s="288" t="str">
        <f ca="1">IF(Table1[[#This Row],[h_id]]="","",COUNTIF(Table1[h_id],Table1[[#This Row],[h_id]]))</f>
        <v/>
      </c>
      <c r="Y217" s="284" t="str">
        <f>IF(Table1[Item Description]="","",Table1[[#This Row],[Qty]]*Table1[[#This Row],[Unit Price]])</f>
        <v/>
      </c>
      <c r="Z217" s="284" t="str">
        <f>IF(Table1[[#This Row],[h_hargasebelumdiskon]]="","",IF(Table1[[#This Row],[Disc 1]]="",0,Table1[[#This Row],[h_hargasebelumdiskon]]*Table1[[#This Row],[Disc 1]]))</f>
        <v/>
      </c>
      <c r="AA217" s="284" t="str">
        <f>IF(Table1[[#This Row],[h_hargasebelumdiskon]]="","",IF(Table1[[#This Row],[Disc 2]]="",0,(Table1[[#This Row],[h_hargasebelumdiskon]]-Table1[[#This Row],[h_disc 1]])*Table1[[#This Row],[Disc 2]]))</f>
        <v/>
      </c>
      <c r="AB217" s="284" t="str">
        <f>IF(Table1[Item Description]="","",Table1[[#This Row],[h_disc 1]]+Table1[[#This Row],[h_disc 2]])</f>
        <v/>
      </c>
      <c r="AC217" s="284" t="str">
        <f>IF(Table1[Item Description]="","",Table1[[#This Row],[h_hargasebelumdiskon]]-Table1[[#This Row],[h_diskon]])</f>
        <v/>
      </c>
      <c r="AD217" s="284" t="str">
        <f ca="1">IF(Table1[//]="","",SUMIF(Table1[h_id],Table1[h_id],Table1[h_hargasetelahdiskon]))</f>
        <v/>
      </c>
      <c r="AE217" s="284"/>
      <c r="AF217" s="284" t="str">
        <f>Table1[[#This Row],[Item Description]]&amp;Table1[[#This Row],[Unit]]&amp;Table1[[#This Row],[Unit Price]]</f>
        <v/>
      </c>
    </row>
    <row r="218" spans="1:32" x14ac:dyDescent="0.25">
      <c r="A218" s="288" t="str">
        <f ca="1">IF(Table1[[#This Row],[No. Invoice :]]="","",ROW())</f>
        <v/>
      </c>
      <c r="B218" s="288" t="str">
        <f ca="1">IF(Table1[h_Kode Sales :_1]="","",B$1+COUNT(INDIRECT("B$2:B"&amp;ROW()-1)))</f>
        <v/>
      </c>
      <c r="C218" s="282" t="str">
        <f>IF(Table1[[#This Row],[H_TGL]]="","",Table1[[#This Row],[H_TGL]]+C$1-1)</f>
        <v/>
      </c>
      <c r="H218" s="288" t="str">
        <f ca="1">IF(Table1[[#This Row],[h_No. Invoice :]]="","",CONCATENATE("AM"," ",Table1[[#This Row],[h_No. Invoice :]]))</f>
        <v/>
      </c>
      <c r="I218" s="289" t="str">
        <f>CONCATENATE(UPPER(Table1[[#This Row],[h_Kode Sales :_1]])," ",Table1[[#This Row],[h_Kode Sales :_2]])</f>
        <v xml:space="preserve"> </v>
      </c>
      <c r="J218" s="288" t="str">
        <f>IF(Table1[[#This Row],[h_toko]]="","",INDEX(Table2[e],IF(Table1[[#This Row],[h_toko]]="","",MATCH(Table1[[#This Row],[h_toko]],Table2[a],0)),))</f>
        <v/>
      </c>
      <c r="O218" s="288" t="str">
        <f>IF(Table1[[#This Row],[h_Item Description]]="","",INDEX([1]!db[NB PAJAK],MATCH(Table1[[#This Row],[h_Item Description]],[1]!db[kode],0)))</f>
        <v/>
      </c>
      <c r="Q218" s="284"/>
      <c r="R218" s="285"/>
      <c r="T218" s="284" t="str">
        <f>Table1[[#This Row],[h_hargasetelahdiskon]]</f>
        <v/>
      </c>
      <c r="W218" s="288" t="str">
        <f ca="1">IF(Table1[[#This Row],[Item Description]]="","",IF(Table1[[#This Row],[//]]="",INDIRECT(ADDRESS(ROW()-1,COLUMN())),Table1[[#This Row],[//]]))</f>
        <v/>
      </c>
      <c r="X218" s="288" t="str">
        <f ca="1">IF(Table1[[#This Row],[h_id]]="","",COUNTIF(Table1[h_id],Table1[[#This Row],[h_id]]))</f>
        <v/>
      </c>
      <c r="Y218" s="284" t="str">
        <f>IF(Table1[Item Description]="","",Table1[[#This Row],[Qty]]*Table1[[#This Row],[Unit Price]])</f>
        <v/>
      </c>
      <c r="Z218" s="284" t="str">
        <f>IF(Table1[[#This Row],[h_hargasebelumdiskon]]="","",IF(Table1[[#This Row],[Disc 1]]="",0,Table1[[#This Row],[h_hargasebelumdiskon]]*Table1[[#This Row],[Disc 1]]))</f>
        <v/>
      </c>
      <c r="AA218" s="284" t="str">
        <f>IF(Table1[[#This Row],[h_hargasebelumdiskon]]="","",IF(Table1[[#This Row],[Disc 2]]="",0,(Table1[[#This Row],[h_hargasebelumdiskon]]-Table1[[#This Row],[h_disc 1]])*Table1[[#This Row],[Disc 2]]))</f>
        <v/>
      </c>
      <c r="AB218" s="284" t="str">
        <f>IF(Table1[Item Description]="","",Table1[[#This Row],[h_disc 1]]+Table1[[#This Row],[h_disc 2]])</f>
        <v/>
      </c>
      <c r="AC218" s="284" t="str">
        <f>IF(Table1[Item Description]="","",Table1[[#This Row],[h_hargasebelumdiskon]]-Table1[[#This Row],[h_diskon]])</f>
        <v/>
      </c>
      <c r="AD218" s="284" t="str">
        <f ca="1">IF(Table1[//]="","",SUMIF(Table1[h_id],Table1[h_id],Table1[h_hargasetelahdiskon]))</f>
        <v/>
      </c>
      <c r="AE218" s="284"/>
      <c r="AF218" s="284" t="str">
        <f>Table1[[#This Row],[Item Description]]&amp;Table1[[#This Row],[Unit]]&amp;Table1[[#This Row],[Unit Price]]</f>
        <v/>
      </c>
    </row>
    <row r="219" spans="1:32" x14ac:dyDescent="0.25">
      <c r="A219" s="288" t="str">
        <f ca="1">IF(Table1[[#This Row],[No. Invoice :]]="","",ROW())</f>
        <v/>
      </c>
      <c r="B219" s="288" t="str">
        <f ca="1">IF(Table1[h_Kode Sales :_1]="","",B$1+COUNT(INDIRECT("B$2:B"&amp;ROW()-1)))</f>
        <v/>
      </c>
      <c r="C219" s="282" t="str">
        <f>IF(Table1[[#This Row],[H_TGL]]="","",Table1[[#This Row],[H_TGL]]+C$1-1)</f>
        <v/>
      </c>
      <c r="H219" s="288" t="str">
        <f ca="1">IF(Table1[[#This Row],[h_No. Invoice :]]="","",CONCATENATE("AM"," ",Table1[[#This Row],[h_No. Invoice :]]))</f>
        <v/>
      </c>
      <c r="I219" s="289" t="str">
        <f>CONCATENATE(UPPER(Table1[[#This Row],[h_Kode Sales :_1]])," ",Table1[[#This Row],[h_Kode Sales :_2]])</f>
        <v xml:space="preserve"> </v>
      </c>
      <c r="J219" s="288" t="str">
        <f>IF(Table1[[#This Row],[h_toko]]="","",INDEX(Table2[e],IF(Table1[[#This Row],[h_toko]]="","",MATCH(Table1[[#This Row],[h_toko]],Table2[a],0)),))</f>
        <v/>
      </c>
      <c r="O219" s="288" t="str">
        <f>IF(Table1[[#This Row],[h_Item Description]]="","",INDEX([1]!db[NB PAJAK],MATCH(Table1[[#This Row],[h_Item Description]],[1]!db[kode],0)))</f>
        <v/>
      </c>
      <c r="Q219" s="284"/>
      <c r="R219" s="285"/>
      <c r="T219" s="284" t="str">
        <f>Table1[[#This Row],[h_hargasetelahdiskon]]</f>
        <v/>
      </c>
      <c r="W219" s="288" t="str">
        <f ca="1">IF(Table1[[#This Row],[Item Description]]="","",IF(Table1[[#This Row],[//]]="",INDIRECT(ADDRESS(ROW()-1,COLUMN())),Table1[[#This Row],[//]]))</f>
        <v/>
      </c>
      <c r="X219" s="288" t="str">
        <f ca="1">IF(Table1[[#This Row],[h_id]]="","",COUNTIF(Table1[h_id],Table1[[#This Row],[h_id]]))</f>
        <v/>
      </c>
      <c r="Y219" s="284" t="str">
        <f>IF(Table1[Item Description]="","",Table1[[#This Row],[Qty]]*Table1[[#This Row],[Unit Price]])</f>
        <v/>
      </c>
      <c r="Z219" s="284" t="str">
        <f>IF(Table1[[#This Row],[h_hargasebelumdiskon]]="","",IF(Table1[[#This Row],[Disc 1]]="",0,Table1[[#This Row],[h_hargasebelumdiskon]]*Table1[[#This Row],[Disc 1]]))</f>
        <v/>
      </c>
      <c r="AA219" s="284" t="str">
        <f>IF(Table1[[#This Row],[h_hargasebelumdiskon]]="","",IF(Table1[[#This Row],[Disc 2]]="",0,(Table1[[#This Row],[h_hargasebelumdiskon]]-Table1[[#This Row],[h_disc 1]])*Table1[[#This Row],[Disc 2]]))</f>
        <v/>
      </c>
      <c r="AB219" s="284" t="str">
        <f>IF(Table1[Item Description]="","",Table1[[#This Row],[h_disc 1]]+Table1[[#This Row],[h_disc 2]])</f>
        <v/>
      </c>
      <c r="AC219" s="284" t="str">
        <f>IF(Table1[Item Description]="","",Table1[[#This Row],[h_hargasebelumdiskon]]-Table1[[#This Row],[h_diskon]])</f>
        <v/>
      </c>
      <c r="AD219" s="284" t="str">
        <f ca="1">IF(Table1[//]="","",SUMIF(Table1[h_id],Table1[h_id],Table1[h_hargasetelahdiskon]))</f>
        <v/>
      </c>
      <c r="AE219" s="284"/>
      <c r="AF219" s="284" t="str">
        <f>Table1[[#This Row],[Item Description]]&amp;Table1[[#This Row],[Unit]]&amp;Table1[[#This Row],[Unit Price]]</f>
        <v/>
      </c>
    </row>
    <row r="220" spans="1:32" x14ac:dyDescent="0.25">
      <c r="A220" s="288" t="str">
        <f ca="1">IF(Table1[[#This Row],[No. Invoice :]]="","",ROW())</f>
        <v/>
      </c>
      <c r="B220" s="288" t="str">
        <f ca="1">IF(Table1[h_Kode Sales :_1]="","",B$1+COUNT(INDIRECT("B$2:B"&amp;ROW()-1)))</f>
        <v/>
      </c>
      <c r="C220" s="282" t="str">
        <f>IF(Table1[[#This Row],[H_TGL]]="","",Table1[[#This Row],[H_TGL]]+C$1-1)</f>
        <v/>
      </c>
      <c r="H220" s="288" t="str">
        <f ca="1">IF(Table1[[#This Row],[h_No. Invoice :]]="","",CONCATENATE("AM"," ",Table1[[#This Row],[h_No. Invoice :]]))</f>
        <v/>
      </c>
      <c r="I220" s="289" t="str">
        <f>CONCATENATE(UPPER(Table1[[#This Row],[h_Kode Sales :_1]])," ",Table1[[#This Row],[h_Kode Sales :_2]])</f>
        <v xml:space="preserve"> </v>
      </c>
      <c r="J220" s="288" t="str">
        <f>IF(Table1[[#This Row],[h_toko]]="","",INDEX(Table2[e],IF(Table1[[#This Row],[h_toko]]="","",MATCH(Table1[[#This Row],[h_toko]],Table2[a],0)),))</f>
        <v/>
      </c>
      <c r="O220" s="288" t="str">
        <f>IF(Table1[[#This Row],[h_Item Description]]="","",INDEX([1]!db[NB PAJAK],MATCH(Table1[[#This Row],[h_Item Description]],[1]!db[kode],0)))</f>
        <v/>
      </c>
      <c r="Q220" s="284"/>
      <c r="R220" s="285"/>
      <c r="T220" s="284" t="str">
        <f>Table1[[#This Row],[h_hargasetelahdiskon]]</f>
        <v/>
      </c>
      <c r="W220" s="288" t="str">
        <f ca="1">IF(Table1[[#This Row],[Item Description]]="","",IF(Table1[[#This Row],[//]]="",INDIRECT(ADDRESS(ROW()-1,COLUMN())),Table1[[#This Row],[//]]))</f>
        <v/>
      </c>
      <c r="X220" s="288" t="str">
        <f ca="1">IF(Table1[[#This Row],[h_id]]="","",COUNTIF(Table1[h_id],Table1[[#This Row],[h_id]]))</f>
        <v/>
      </c>
      <c r="Y220" s="284" t="str">
        <f>IF(Table1[Item Description]="","",Table1[[#This Row],[Qty]]*Table1[[#This Row],[Unit Price]])</f>
        <v/>
      </c>
      <c r="Z220" s="284" t="str">
        <f>IF(Table1[[#This Row],[h_hargasebelumdiskon]]="","",IF(Table1[[#This Row],[Disc 1]]="",0,Table1[[#This Row],[h_hargasebelumdiskon]]*Table1[[#This Row],[Disc 1]]))</f>
        <v/>
      </c>
      <c r="AA220" s="284" t="str">
        <f>IF(Table1[[#This Row],[h_hargasebelumdiskon]]="","",IF(Table1[[#This Row],[Disc 2]]="",0,(Table1[[#This Row],[h_hargasebelumdiskon]]-Table1[[#This Row],[h_disc 1]])*Table1[[#This Row],[Disc 2]]))</f>
        <v/>
      </c>
      <c r="AB220" s="284" t="str">
        <f>IF(Table1[Item Description]="","",Table1[[#This Row],[h_disc 1]]+Table1[[#This Row],[h_disc 2]])</f>
        <v/>
      </c>
      <c r="AC220" s="284" t="str">
        <f>IF(Table1[Item Description]="","",Table1[[#This Row],[h_hargasebelumdiskon]]-Table1[[#This Row],[h_diskon]])</f>
        <v/>
      </c>
      <c r="AD220" s="284" t="str">
        <f ca="1">IF(Table1[//]="","",SUMIF(Table1[h_id],Table1[h_id],Table1[h_hargasetelahdiskon]))</f>
        <v/>
      </c>
      <c r="AE220" s="284"/>
      <c r="AF220" s="284" t="str">
        <f>Table1[[#This Row],[Item Description]]&amp;Table1[[#This Row],[Unit]]&amp;Table1[[#This Row],[Unit Price]]</f>
        <v/>
      </c>
    </row>
    <row r="221" spans="1:32" x14ac:dyDescent="0.25">
      <c r="A221" s="288" t="str">
        <f ca="1">IF(Table1[[#This Row],[No. Invoice :]]="","",ROW())</f>
        <v/>
      </c>
      <c r="B221" s="288" t="str">
        <f ca="1">IF(Table1[h_Kode Sales :_1]="","",B$1+COUNT(INDIRECT("B$2:B"&amp;ROW()-1)))</f>
        <v/>
      </c>
      <c r="C221" s="282" t="str">
        <f>IF(Table1[[#This Row],[H_TGL]]="","",Table1[[#This Row],[H_TGL]]+C$1-1)</f>
        <v/>
      </c>
      <c r="H221" s="288" t="str">
        <f ca="1">IF(Table1[[#This Row],[h_No. Invoice :]]="","",CONCATENATE("AM"," ",Table1[[#This Row],[h_No. Invoice :]]))</f>
        <v/>
      </c>
      <c r="I221" s="289" t="str">
        <f>CONCATENATE(UPPER(Table1[[#This Row],[h_Kode Sales :_1]])," ",Table1[[#This Row],[h_Kode Sales :_2]])</f>
        <v xml:space="preserve"> </v>
      </c>
      <c r="J221" s="288" t="str">
        <f>IF(Table1[[#This Row],[h_toko]]="","",INDEX(Table2[e],IF(Table1[[#This Row],[h_toko]]="","",MATCH(Table1[[#This Row],[h_toko]],Table2[a],0)),))</f>
        <v/>
      </c>
      <c r="O221" s="288" t="str">
        <f>IF(Table1[[#This Row],[h_Item Description]]="","",INDEX([1]!db[NB PAJAK],MATCH(Table1[[#This Row],[h_Item Description]],[1]!db[kode],0)))</f>
        <v/>
      </c>
      <c r="Q221" s="284"/>
      <c r="R221" s="285"/>
      <c r="T221" s="284" t="str">
        <f>Table1[[#This Row],[h_hargasetelahdiskon]]</f>
        <v/>
      </c>
      <c r="W221" s="288" t="str">
        <f ca="1">IF(Table1[[#This Row],[Item Description]]="","",IF(Table1[[#This Row],[//]]="",INDIRECT(ADDRESS(ROW()-1,COLUMN())),Table1[[#This Row],[//]]))</f>
        <v/>
      </c>
      <c r="X221" s="288" t="str">
        <f ca="1">IF(Table1[[#This Row],[h_id]]="","",COUNTIF(Table1[h_id],Table1[[#This Row],[h_id]]))</f>
        <v/>
      </c>
      <c r="Y221" s="284" t="str">
        <f>IF(Table1[Item Description]="","",Table1[[#This Row],[Qty]]*Table1[[#This Row],[Unit Price]])</f>
        <v/>
      </c>
      <c r="Z221" s="284" t="str">
        <f>IF(Table1[[#This Row],[h_hargasebelumdiskon]]="","",IF(Table1[[#This Row],[Disc 1]]="",0,Table1[[#This Row],[h_hargasebelumdiskon]]*Table1[[#This Row],[Disc 1]]))</f>
        <v/>
      </c>
      <c r="AA221" s="284" t="str">
        <f>IF(Table1[[#This Row],[h_hargasebelumdiskon]]="","",IF(Table1[[#This Row],[Disc 2]]="",0,(Table1[[#This Row],[h_hargasebelumdiskon]]-Table1[[#This Row],[h_disc 1]])*Table1[[#This Row],[Disc 2]]))</f>
        <v/>
      </c>
      <c r="AB221" s="284" t="str">
        <f>IF(Table1[Item Description]="","",Table1[[#This Row],[h_disc 1]]+Table1[[#This Row],[h_disc 2]])</f>
        <v/>
      </c>
      <c r="AC221" s="284" t="str">
        <f>IF(Table1[Item Description]="","",Table1[[#This Row],[h_hargasebelumdiskon]]-Table1[[#This Row],[h_diskon]])</f>
        <v/>
      </c>
      <c r="AD221" s="284" t="str">
        <f ca="1">IF(Table1[//]="","",SUMIF(Table1[h_id],Table1[h_id],Table1[h_hargasetelahdiskon]))</f>
        <v/>
      </c>
      <c r="AE221" s="284"/>
      <c r="AF221" s="284" t="str">
        <f>Table1[[#This Row],[Item Description]]&amp;Table1[[#This Row],[Unit]]&amp;Table1[[#This Row],[Unit Price]]</f>
        <v/>
      </c>
    </row>
    <row r="222" spans="1:32" x14ac:dyDescent="0.25">
      <c r="A222" s="288" t="str">
        <f ca="1">IF(Table1[[#This Row],[No. Invoice :]]="","",ROW())</f>
        <v/>
      </c>
      <c r="B222" s="288" t="str">
        <f ca="1">IF(Table1[h_Kode Sales :_1]="","",B$1+COUNT(INDIRECT("B$2:B"&amp;ROW()-1)))</f>
        <v/>
      </c>
      <c r="C222" s="282" t="str">
        <f>IF(Table1[[#This Row],[H_TGL]]="","",Table1[[#This Row],[H_TGL]]+C$1-1)</f>
        <v/>
      </c>
      <c r="H222" s="288" t="str">
        <f ca="1">IF(Table1[[#This Row],[h_No. Invoice :]]="","",CONCATENATE("AM"," ",Table1[[#This Row],[h_No. Invoice :]]))</f>
        <v/>
      </c>
      <c r="I222" s="289" t="str">
        <f>CONCATENATE(UPPER(Table1[[#This Row],[h_Kode Sales :_1]])," ",Table1[[#This Row],[h_Kode Sales :_2]])</f>
        <v xml:space="preserve"> </v>
      </c>
      <c r="J222" s="288" t="str">
        <f>IF(Table1[[#This Row],[h_toko]]="","",INDEX(Table2[e],IF(Table1[[#This Row],[h_toko]]="","",MATCH(Table1[[#This Row],[h_toko]],Table2[a],0)),))</f>
        <v/>
      </c>
      <c r="O222" s="288" t="s">
        <v>119</v>
      </c>
      <c r="Q222" s="284"/>
      <c r="R222" s="285"/>
      <c r="T222" s="284" t="str">
        <f>Table1[[#This Row],[h_hargasetelahdiskon]]</f>
        <v/>
      </c>
      <c r="W222" s="288" t="str">
        <f ca="1">IF(Table1[[#This Row],[Item Description]]="","",IF(Table1[[#This Row],[//]]="",INDIRECT(ADDRESS(ROW()-1,COLUMN())),Table1[[#This Row],[//]]))</f>
        <v/>
      </c>
      <c r="X222" s="288" t="str">
        <f ca="1">IF(Table1[[#This Row],[h_id]]="","",COUNTIF(Table1[h_id],Table1[[#This Row],[h_id]]))</f>
        <v/>
      </c>
      <c r="Y222" s="284" t="str">
        <f>IF(Table1[Item Description]="","",Table1[[#This Row],[Qty]]*Table1[[#This Row],[Unit Price]])</f>
        <v/>
      </c>
      <c r="Z222" s="284" t="str">
        <f>IF(Table1[[#This Row],[h_hargasebelumdiskon]]="","",IF(Table1[[#This Row],[Disc 1]]="",0,Table1[[#This Row],[h_hargasebelumdiskon]]*Table1[[#This Row],[Disc 1]]))</f>
        <v/>
      </c>
      <c r="AA222" s="284" t="str">
        <f>IF(Table1[[#This Row],[h_hargasebelumdiskon]]="","",IF(Table1[[#This Row],[Disc 2]]="",0,(Table1[[#This Row],[h_hargasebelumdiskon]]-Table1[[#This Row],[h_disc 1]])*Table1[[#This Row],[Disc 2]]))</f>
        <v/>
      </c>
      <c r="AB222" s="284" t="str">
        <f>IF(Table1[Item Description]="","",Table1[[#This Row],[h_disc 1]]+Table1[[#This Row],[h_disc 2]])</f>
        <v/>
      </c>
      <c r="AC222" s="284" t="str">
        <f>IF(Table1[Item Description]="","",Table1[[#This Row],[h_hargasebelumdiskon]]-Table1[[#This Row],[h_diskon]])</f>
        <v/>
      </c>
      <c r="AD222" s="284" t="str">
        <f ca="1">IF(Table1[//]="","",SUMIF(Table1[h_id],Table1[h_id],Table1[h_hargasetelahdiskon]))</f>
        <v/>
      </c>
      <c r="AE222" s="284"/>
      <c r="AF222" s="284" t="str">
        <f>Table1[[#This Row],[Item Description]]&amp;Table1[[#This Row],[Unit]]&amp;Table1[[#This Row],[Unit Price]]</f>
        <v/>
      </c>
    </row>
    <row r="223" spans="1:32" x14ac:dyDescent="0.25">
      <c r="A223" s="288" t="str">
        <f ca="1">IF(Table1[[#This Row],[No. Invoice :]]="","",ROW())</f>
        <v/>
      </c>
      <c r="B223" s="288" t="str">
        <f ca="1">IF(Table1[h_Kode Sales :_1]="","",B$1+COUNT(INDIRECT("B$2:B"&amp;ROW()-1)))</f>
        <v/>
      </c>
      <c r="C223" s="282" t="str">
        <f>IF(Table1[[#This Row],[H_TGL]]="","",Table1[[#This Row],[H_TGL]]+C$1-1)</f>
        <v/>
      </c>
      <c r="H223" s="288" t="str">
        <f ca="1">IF(Table1[[#This Row],[h_No. Invoice :]]="","",CONCATENATE("AM"," ",Table1[[#This Row],[h_No. Invoice :]]))</f>
        <v/>
      </c>
      <c r="I223" s="289" t="str">
        <f>CONCATENATE(UPPER(Table1[[#This Row],[h_Kode Sales :_1]])," ",Table1[[#This Row],[h_Kode Sales :_2]])</f>
        <v xml:space="preserve"> </v>
      </c>
      <c r="J223" s="288" t="str">
        <f>IF(Table1[[#This Row],[h_toko]]="","",INDEX(Table2[e],IF(Table1[[#This Row],[h_toko]]="","",MATCH(Table1[[#This Row],[h_toko]],Table2[a],0)),))</f>
        <v/>
      </c>
      <c r="O223" s="288" t="str">
        <f>IF(Table1[[#This Row],[h_Item Description]]="","",INDEX([1]!db[NB PAJAK],MATCH(Table1[[#This Row],[h_Item Description]],[1]!db[kode],0)))</f>
        <v/>
      </c>
      <c r="Q223" s="284"/>
      <c r="R223" s="285"/>
      <c r="T223" s="284" t="str">
        <f>Table1[[#This Row],[h_hargasetelahdiskon]]</f>
        <v/>
      </c>
      <c r="W223" s="288" t="str">
        <f ca="1">IF(Table1[[#This Row],[Item Description]]="","",IF(Table1[[#This Row],[//]]="",INDIRECT(ADDRESS(ROW()-1,COLUMN())),Table1[[#This Row],[//]]))</f>
        <v/>
      </c>
      <c r="X223" s="288" t="str">
        <f ca="1">IF(Table1[[#This Row],[h_id]]="","",COUNTIF(Table1[h_id],Table1[[#This Row],[h_id]]))</f>
        <v/>
      </c>
      <c r="Y223" s="284" t="str">
        <f>IF(Table1[Item Description]="","",Table1[[#This Row],[Qty]]*Table1[[#This Row],[Unit Price]])</f>
        <v/>
      </c>
      <c r="Z223" s="284" t="str">
        <f>IF(Table1[[#This Row],[h_hargasebelumdiskon]]="","",IF(Table1[[#This Row],[Disc 1]]="",0,Table1[[#This Row],[h_hargasebelumdiskon]]*Table1[[#This Row],[Disc 1]]))</f>
        <v/>
      </c>
      <c r="AA223" s="284" t="str">
        <f>IF(Table1[[#This Row],[h_hargasebelumdiskon]]="","",IF(Table1[[#This Row],[Disc 2]]="",0,(Table1[[#This Row],[h_hargasebelumdiskon]]-Table1[[#This Row],[h_disc 1]])*Table1[[#This Row],[Disc 2]]))</f>
        <v/>
      </c>
      <c r="AB223" s="284" t="str">
        <f>IF(Table1[Item Description]="","",Table1[[#This Row],[h_disc 1]]+Table1[[#This Row],[h_disc 2]])</f>
        <v/>
      </c>
      <c r="AC223" s="284" t="str">
        <f>IF(Table1[Item Description]="","",Table1[[#This Row],[h_hargasebelumdiskon]]-Table1[[#This Row],[h_diskon]])</f>
        <v/>
      </c>
      <c r="AD223" s="284" t="str">
        <f ca="1">IF(Table1[//]="","",SUMIF(Table1[h_id],Table1[h_id],Table1[h_hargasetelahdiskon]))</f>
        <v/>
      </c>
      <c r="AE223" s="284"/>
      <c r="AF223" s="284" t="str">
        <f>Table1[[#This Row],[Item Description]]&amp;Table1[[#This Row],[Unit]]&amp;Table1[[#This Row],[Unit Price]]</f>
        <v/>
      </c>
    </row>
    <row r="224" spans="1:32" x14ac:dyDescent="0.25">
      <c r="A224" s="288" t="str">
        <f ca="1">IF(Table1[[#This Row],[No. Invoice :]]="","",ROW())</f>
        <v/>
      </c>
      <c r="B224" s="288" t="str">
        <f ca="1">IF(Table1[h_Kode Sales :_1]="","",B$1+COUNT(INDIRECT("B$2:B"&amp;ROW()-1)))</f>
        <v/>
      </c>
      <c r="C224" s="282" t="str">
        <f>IF(Table1[[#This Row],[H_TGL]]="","",Table1[[#This Row],[H_TGL]]+C$1-1)</f>
        <v/>
      </c>
      <c r="H224" s="288" t="str">
        <f ca="1">IF(Table1[[#This Row],[h_No. Invoice :]]="","",CONCATENATE("AM"," ",Table1[[#This Row],[h_No. Invoice :]]))</f>
        <v/>
      </c>
      <c r="I224" s="289" t="str">
        <f>CONCATENATE(UPPER(Table1[[#This Row],[h_Kode Sales :_1]])," ",Table1[[#This Row],[h_Kode Sales :_2]])</f>
        <v xml:space="preserve"> </v>
      </c>
      <c r="J224" s="288" t="str">
        <f>IF(Table1[[#This Row],[h_toko]]="","",INDEX(Table2[e],IF(Table1[[#This Row],[h_toko]]="","",MATCH(Table1[[#This Row],[h_toko]],Table2[a],0)),))</f>
        <v/>
      </c>
      <c r="O224" s="288" t="s">
        <v>120</v>
      </c>
      <c r="Q224" s="284"/>
      <c r="R224" s="285"/>
      <c r="T224" s="284" t="str">
        <f>Table1[[#This Row],[h_hargasetelahdiskon]]</f>
        <v/>
      </c>
      <c r="W224" s="288" t="str">
        <f ca="1">IF(Table1[[#This Row],[Item Description]]="","",IF(Table1[[#This Row],[//]]="",INDIRECT(ADDRESS(ROW()-1,COLUMN())),Table1[[#This Row],[//]]))</f>
        <v/>
      </c>
      <c r="X224" s="288" t="str">
        <f ca="1">IF(Table1[[#This Row],[h_id]]="","",COUNTIF(Table1[h_id],Table1[[#This Row],[h_id]]))</f>
        <v/>
      </c>
      <c r="Y224" s="284" t="str">
        <f>IF(Table1[Item Description]="","",Table1[[#This Row],[Qty]]*Table1[[#This Row],[Unit Price]])</f>
        <v/>
      </c>
      <c r="Z224" s="284" t="str">
        <f>IF(Table1[[#This Row],[h_hargasebelumdiskon]]="","",IF(Table1[[#This Row],[Disc 1]]="",0,Table1[[#This Row],[h_hargasebelumdiskon]]*Table1[[#This Row],[Disc 1]]))</f>
        <v/>
      </c>
      <c r="AA224" s="284" t="str">
        <f>IF(Table1[[#This Row],[h_hargasebelumdiskon]]="","",IF(Table1[[#This Row],[Disc 2]]="",0,(Table1[[#This Row],[h_hargasebelumdiskon]]-Table1[[#This Row],[h_disc 1]])*Table1[[#This Row],[Disc 2]]))</f>
        <v/>
      </c>
      <c r="AB224" s="284" t="str">
        <f>IF(Table1[Item Description]="","",Table1[[#This Row],[h_disc 1]]+Table1[[#This Row],[h_disc 2]])</f>
        <v/>
      </c>
      <c r="AC224" s="284" t="str">
        <f>IF(Table1[Item Description]="","",Table1[[#This Row],[h_hargasebelumdiskon]]-Table1[[#This Row],[h_diskon]])</f>
        <v/>
      </c>
      <c r="AD224" s="284" t="str">
        <f ca="1">IF(Table1[//]="","",SUMIF(Table1[h_id],Table1[h_id],Table1[h_hargasetelahdiskon]))</f>
        <v/>
      </c>
      <c r="AE224" s="284"/>
      <c r="AF224" s="284" t="str">
        <f>Table1[[#This Row],[Item Description]]&amp;Table1[[#This Row],[Unit]]&amp;Table1[[#This Row],[Unit Price]]</f>
        <v/>
      </c>
    </row>
    <row r="225" spans="1:32" x14ac:dyDescent="0.25">
      <c r="A225" s="288" t="str">
        <f ca="1">IF(Table1[[#This Row],[No. Invoice :]]="","",ROW())</f>
        <v/>
      </c>
      <c r="B225" s="288" t="str">
        <f ca="1">IF(Table1[h_Kode Sales :_1]="","",B$1+COUNT(INDIRECT("B$2:B"&amp;ROW()-1)))</f>
        <v/>
      </c>
      <c r="C225" s="282" t="str">
        <f>IF(Table1[[#This Row],[H_TGL]]="","",Table1[[#This Row],[H_TGL]]+C$1-1)</f>
        <v/>
      </c>
      <c r="H225" s="288" t="str">
        <f ca="1">IF(Table1[[#This Row],[h_No. Invoice :]]="","",CONCATENATE("AM"," ",Table1[[#This Row],[h_No. Invoice :]]))</f>
        <v/>
      </c>
      <c r="I225" s="289" t="str">
        <f>CONCATENATE(UPPER(Table1[[#This Row],[h_Kode Sales :_1]])," ",Table1[[#This Row],[h_Kode Sales :_2]])</f>
        <v xml:space="preserve"> </v>
      </c>
      <c r="J225" s="288" t="str">
        <f>IF(Table1[[#This Row],[h_toko]]="","",INDEX(Table2[e],IF(Table1[[#This Row],[h_toko]]="","",MATCH(Table1[[#This Row],[h_toko]],Table2[a],0)),))</f>
        <v/>
      </c>
      <c r="O225" s="288" t="str">
        <f>IF(Table1[[#This Row],[h_Item Description]]="","",INDEX([1]!db[NB PAJAK],MATCH(Table1[[#This Row],[h_Item Description]],[1]!db[kode],0)))</f>
        <v/>
      </c>
      <c r="Q225" s="284"/>
      <c r="R225" s="285"/>
      <c r="T225" s="284" t="str">
        <f>Table1[[#This Row],[h_hargasetelahdiskon]]</f>
        <v/>
      </c>
      <c r="W225" s="288" t="str">
        <f ca="1">IF(Table1[[#This Row],[Item Description]]="","",IF(Table1[[#This Row],[//]]="",INDIRECT(ADDRESS(ROW()-1,COLUMN())),Table1[[#This Row],[//]]))</f>
        <v/>
      </c>
      <c r="X225" s="288" t="str">
        <f ca="1">IF(Table1[[#This Row],[h_id]]="","",COUNTIF(Table1[h_id],Table1[[#This Row],[h_id]]))</f>
        <v/>
      </c>
      <c r="Y225" s="284" t="str">
        <f>IF(Table1[Item Description]="","",Table1[[#This Row],[Qty]]*Table1[[#This Row],[Unit Price]])</f>
        <v/>
      </c>
      <c r="Z225" s="284" t="str">
        <f>IF(Table1[[#This Row],[h_hargasebelumdiskon]]="","",IF(Table1[[#This Row],[Disc 1]]="",0,Table1[[#This Row],[h_hargasebelumdiskon]]*Table1[[#This Row],[Disc 1]]))</f>
        <v/>
      </c>
      <c r="AA225" s="284" t="str">
        <f>IF(Table1[[#This Row],[h_hargasebelumdiskon]]="","",IF(Table1[[#This Row],[Disc 2]]="",0,(Table1[[#This Row],[h_hargasebelumdiskon]]-Table1[[#This Row],[h_disc 1]])*Table1[[#This Row],[Disc 2]]))</f>
        <v/>
      </c>
      <c r="AB225" s="284" t="str">
        <f>IF(Table1[Item Description]="","",Table1[[#This Row],[h_disc 1]]+Table1[[#This Row],[h_disc 2]])</f>
        <v/>
      </c>
      <c r="AC225" s="284" t="str">
        <f>IF(Table1[Item Description]="","",Table1[[#This Row],[h_hargasebelumdiskon]]-Table1[[#This Row],[h_diskon]])</f>
        <v/>
      </c>
      <c r="AD225" s="284" t="str">
        <f ca="1">IF(Table1[//]="","",SUMIF(Table1[h_id],Table1[h_id],Table1[h_hargasetelahdiskon]))</f>
        <v/>
      </c>
      <c r="AE225" s="284"/>
      <c r="AF225" s="284" t="str">
        <f>Table1[[#This Row],[Item Description]]&amp;Table1[[#This Row],[Unit]]&amp;Table1[[#This Row],[Unit Price]]</f>
        <v/>
      </c>
    </row>
    <row r="226" spans="1:32" x14ac:dyDescent="0.25">
      <c r="A226" s="288" t="str">
        <f ca="1">IF(Table1[[#This Row],[No. Invoice :]]="","",ROW())</f>
        <v/>
      </c>
      <c r="B226" s="288" t="str">
        <f ca="1">IF(Table1[h_Kode Sales :_1]="","",B$1+COUNT(INDIRECT("B$2:B"&amp;ROW()-1)))</f>
        <v/>
      </c>
      <c r="C226" s="282" t="str">
        <f>IF(Table1[[#This Row],[H_TGL]]="","",Table1[[#This Row],[H_TGL]]+C$1-1)</f>
        <v/>
      </c>
      <c r="H226" s="288" t="str">
        <f ca="1">IF(Table1[[#This Row],[h_No. Invoice :]]="","",CONCATENATE("AM"," ",Table1[[#This Row],[h_No. Invoice :]]))</f>
        <v/>
      </c>
      <c r="I226" s="289" t="str">
        <f>CONCATENATE(UPPER(Table1[[#This Row],[h_Kode Sales :_1]])," ",Table1[[#This Row],[h_Kode Sales :_2]])</f>
        <v xml:space="preserve"> </v>
      </c>
      <c r="J226" s="288" t="str">
        <f>IF(Table1[[#This Row],[h_toko]]="","",INDEX(Table2[e],IF(Table1[[#This Row],[h_toko]]="","",MATCH(Table1[[#This Row],[h_toko]],Table2[a],0)),))</f>
        <v/>
      </c>
      <c r="O226" s="288" t="str">
        <f>IF(Table1[[#This Row],[h_Item Description]]="","",INDEX([1]!db[NB PAJAK],MATCH(Table1[[#This Row],[h_Item Description]],[1]!db[kode],0)))</f>
        <v/>
      </c>
      <c r="Q226" s="284"/>
      <c r="R226" s="285"/>
      <c r="T226" s="284" t="str">
        <f>Table1[[#This Row],[h_hargasetelahdiskon]]</f>
        <v/>
      </c>
      <c r="W226" s="288" t="str">
        <f ca="1">IF(Table1[[#This Row],[Item Description]]="","",IF(Table1[[#This Row],[//]]="",INDIRECT(ADDRESS(ROW()-1,COLUMN())),Table1[[#This Row],[//]]))</f>
        <v/>
      </c>
      <c r="X226" s="288" t="str">
        <f ca="1">IF(Table1[[#This Row],[h_id]]="","",COUNTIF(Table1[h_id],Table1[[#This Row],[h_id]]))</f>
        <v/>
      </c>
      <c r="Y226" s="284" t="str">
        <f>IF(Table1[Item Description]="","",Table1[[#This Row],[Qty]]*Table1[[#This Row],[Unit Price]])</f>
        <v/>
      </c>
      <c r="Z226" s="284" t="str">
        <f>IF(Table1[[#This Row],[h_hargasebelumdiskon]]="","",IF(Table1[[#This Row],[Disc 1]]="",0,Table1[[#This Row],[h_hargasebelumdiskon]]*Table1[[#This Row],[Disc 1]]))</f>
        <v/>
      </c>
      <c r="AA226" s="284" t="str">
        <f>IF(Table1[[#This Row],[h_hargasebelumdiskon]]="","",IF(Table1[[#This Row],[Disc 2]]="",0,(Table1[[#This Row],[h_hargasebelumdiskon]]-Table1[[#This Row],[h_disc 1]])*Table1[[#This Row],[Disc 2]]))</f>
        <v/>
      </c>
      <c r="AB226" s="284" t="str">
        <f>IF(Table1[Item Description]="","",Table1[[#This Row],[h_disc 1]]+Table1[[#This Row],[h_disc 2]])</f>
        <v/>
      </c>
      <c r="AC226" s="284" t="str">
        <f>IF(Table1[Item Description]="","",Table1[[#This Row],[h_hargasebelumdiskon]]-Table1[[#This Row],[h_diskon]])</f>
        <v/>
      </c>
      <c r="AD226" s="284" t="str">
        <f ca="1">IF(Table1[//]="","",SUMIF(Table1[h_id],Table1[h_id],Table1[h_hargasetelahdiskon]))</f>
        <v/>
      </c>
      <c r="AE226" s="284"/>
      <c r="AF226" s="284" t="str">
        <f>Table1[[#This Row],[Item Description]]&amp;Table1[[#This Row],[Unit]]&amp;Table1[[#This Row],[Unit Price]]</f>
        <v/>
      </c>
    </row>
    <row r="227" spans="1:32" x14ac:dyDescent="0.25">
      <c r="A227" s="288" t="str">
        <f ca="1">IF(Table1[[#This Row],[No. Invoice :]]="","",ROW())</f>
        <v/>
      </c>
      <c r="B227" s="288" t="str">
        <f ca="1">IF(Table1[h_Kode Sales :_1]="","",B$1+COUNT(INDIRECT("B$2:B"&amp;ROW()-1)))</f>
        <v/>
      </c>
      <c r="C227" s="282" t="str">
        <f>IF(Table1[[#This Row],[H_TGL]]="","",Table1[[#This Row],[H_TGL]]+C$1-1)</f>
        <v/>
      </c>
      <c r="H227" s="288" t="str">
        <f ca="1">IF(Table1[[#This Row],[h_No. Invoice :]]="","",CONCATENATE("AM"," ",Table1[[#This Row],[h_No. Invoice :]]))</f>
        <v/>
      </c>
      <c r="I227" s="289" t="str">
        <f>CONCATENATE(UPPER(Table1[[#This Row],[h_Kode Sales :_1]])," ",Table1[[#This Row],[h_Kode Sales :_2]])</f>
        <v xml:space="preserve"> </v>
      </c>
      <c r="J227" s="288" t="str">
        <f>IF(Table1[[#This Row],[h_toko]]="","",INDEX(Table2[e],IF(Table1[[#This Row],[h_toko]]="","",MATCH(Table1[[#This Row],[h_toko]],Table2[a],0)),))</f>
        <v/>
      </c>
      <c r="O227" s="288" t="str">
        <f>IF(Table1[[#This Row],[h_Item Description]]="","",INDEX([1]!db[NB PAJAK],MATCH(Table1[[#This Row],[h_Item Description]],[1]!db[kode],0)))</f>
        <v/>
      </c>
      <c r="Q227" s="284"/>
      <c r="R227" s="285"/>
      <c r="T227" s="284" t="str">
        <f>Table1[[#This Row],[h_hargasetelahdiskon]]</f>
        <v/>
      </c>
      <c r="W227" s="288" t="str">
        <f ca="1">IF(Table1[[#This Row],[Item Description]]="","",IF(Table1[[#This Row],[//]]="",INDIRECT(ADDRESS(ROW()-1,COLUMN())),Table1[[#This Row],[//]]))</f>
        <v/>
      </c>
      <c r="X227" s="288" t="str">
        <f ca="1">IF(Table1[[#This Row],[h_id]]="","",COUNTIF(Table1[h_id],Table1[[#This Row],[h_id]]))</f>
        <v/>
      </c>
      <c r="Y227" s="284" t="str">
        <f>IF(Table1[Item Description]="","",Table1[[#This Row],[Qty]]*Table1[[#This Row],[Unit Price]])</f>
        <v/>
      </c>
      <c r="Z227" s="284" t="str">
        <f>IF(Table1[[#This Row],[h_hargasebelumdiskon]]="","",IF(Table1[[#This Row],[Disc 1]]="",0,Table1[[#This Row],[h_hargasebelumdiskon]]*Table1[[#This Row],[Disc 1]]))</f>
        <v/>
      </c>
      <c r="AA227" s="284" t="str">
        <f>IF(Table1[[#This Row],[h_hargasebelumdiskon]]="","",IF(Table1[[#This Row],[Disc 2]]="",0,(Table1[[#This Row],[h_hargasebelumdiskon]]-Table1[[#This Row],[h_disc 1]])*Table1[[#This Row],[Disc 2]]))</f>
        <v/>
      </c>
      <c r="AB227" s="284" t="str">
        <f>IF(Table1[Item Description]="","",Table1[[#This Row],[h_disc 1]]+Table1[[#This Row],[h_disc 2]])</f>
        <v/>
      </c>
      <c r="AC227" s="284" t="str">
        <f>IF(Table1[Item Description]="","",Table1[[#This Row],[h_hargasebelumdiskon]]-Table1[[#This Row],[h_diskon]])</f>
        <v/>
      </c>
      <c r="AD227" s="284" t="str">
        <f ca="1">IF(Table1[//]="","",SUMIF(Table1[h_id],Table1[h_id],Table1[h_hargasetelahdiskon]))</f>
        <v/>
      </c>
      <c r="AE227" s="284"/>
      <c r="AF227" s="284" t="str">
        <f>Table1[[#This Row],[Item Description]]&amp;Table1[[#This Row],[Unit]]&amp;Table1[[#This Row],[Unit Price]]</f>
        <v/>
      </c>
    </row>
    <row r="228" spans="1:32" x14ac:dyDescent="0.25">
      <c r="A228" s="288" t="str">
        <f ca="1">IF(Table1[[#This Row],[No. Invoice :]]="","",ROW())</f>
        <v/>
      </c>
      <c r="B228" s="288" t="str">
        <f ca="1">IF(Table1[h_Kode Sales :_1]="","",B$1+COUNT(INDIRECT("B$2:B"&amp;ROW()-1)))</f>
        <v/>
      </c>
      <c r="C228" s="282" t="str">
        <f>IF(Table1[[#This Row],[H_TGL]]="","",Table1[[#This Row],[H_TGL]]+C$1-1)</f>
        <v/>
      </c>
      <c r="H228" s="288" t="str">
        <f ca="1">IF(Table1[[#This Row],[h_No. Invoice :]]="","",CONCATENATE("AM"," ",Table1[[#This Row],[h_No. Invoice :]]))</f>
        <v/>
      </c>
      <c r="I228" s="289" t="str">
        <f>CONCATENATE(UPPER(Table1[[#This Row],[h_Kode Sales :_1]])," ",Table1[[#This Row],[h_Kode Sales :_2]])</f>
        <v xml:space="preserve"> </v>
      </c>
      <c r="J228" s="288" t="str">
        <f>IF(Table1[[#This Row],[h_toko]]="","",INDEX(Table2[e],IF(Table1[[#This Row],[h_toko]]="","",MATCH(Table1[[#This Row],[h_toko]],Table2[a],0)),))</f>
        <v/>
      </c>
      <c r="O228" s="288" t="str">
        <f>IF(Table1[[#This Row],[h_Item Description]]="","",INDEX([1]!db[NB PAJAK],MATCH(Table1[[#This Row],[h_Item Description]],[1]!db[kode],0)))</f>
        <v/>
      </c>
      <c r="Q228" s="284"/>
      <c r="R228" s="285"/>
      <c r="T228" s="284" t="str">
        <f>Table1[[#This Row],[h_hargasetelahdiskon]]</f>
        <v/>
      </c>
      <c r="W228" s="288" t="str">
        <f ca="1">IF(Table1[[#This Row],[Item Description]]="","",IF(Table1[[#This Row],[//]]="",INDIRECT(ADDRESS(ROW()-1,COLUMN())),Table1[[#This Row],[//]]))</f>
        <v/>
      </c>
      <c r="X228" s="288" t="str">
        <f ca="1">IF(Table1[[#This Row],[h_id]]="","",COUNTIF(Table1[h_id],Table1[[#This Row],[h_id]]))</f>
        <v/>
      </c>
      <c r="Y228" s="284" t="str">
        <f>IF(Table1[Item Description]="","",Table1[[#This Row],[Qty]]*Table1[[#This Row],[Unit Price]])</f>
        <v/>
      </c>
      <c r="Z228" s="284" t="str">
        <f>IF(Table1[[#This Row],[h_hargasebelumdiskon]]="","",IF(Table1[[#This Row],[Disc 1]]="",0,Table1[[#This Row],[h_hargasebelumdiskon]]*Table1[[#This Row],[Disc 1]]))</f>
        <v/>
      </c>
      <c r="AA228" s="284" t="str">
        <f>IF(Table1[[#This Row],[h_hargasebelumdiskon]]="","",IF(Table1[[#This Row],[Disc 2]]="",0,(Table1[[#This Row],[h_hargasebelumdiskon]]-Table1[[#This Row],[h_disc 1]])*Table1[[#This Row],[Disc 2]]))</f>
        <v/>
      </c>
      <c r="AB228" s="284" t="str">
        <f>IF(Table1[Item Description]="","",Table1[[#This Row],[h_disc 1]]+Table1[[#This Row],[h_disc 2]])</f>
        <v/>
      </c>
      <c r="AC228" s="284" t="str">
        <f>IF(Table1[Item Description]="","",Table1[[#This Row],[h_hargasebelumdiskon]]-Table1[[#This Row],[h_diskon]])</f>
        <v/>
      </c>
      <c r="AD228" s="284" t="str">
        <f ca="1">IF(Table1[//]="","",SUMIF(Table1[h_id],Table1[h_id],Table1[h_hargasetelahdiskon]))</f>
        <v/>
      </c>
      <c r="AE228" s="284"/>
      <c r="AF228" s="284" t="str">
        <f>Table1[[#This Row],[Item Description]]&amp;Table1[[#This Row],[Unit]]&amp;Table1[[#This Row],[Unit Price]]</f>
        <v/>
      </c>
    </row>
    <row r="229" spans="1:32" x14ac:dyDescent="0.25">
      <c r="A229" s="288" t="str">
        <f ca="1">IF(Table1[[#This Row],[No. Invoice :]]="","",ROW())</f>
        <v/>
      </c>
      <c r="B229" s="288" t="str">
        <f ca="1">IF(Table1[h_Kode Sales :_1]="","",B$1+COUNT(INDIRECT("B$2:B"&amp;ROW()-1)))</f>
        <v/>
      </c>
      <c r="C229" s="282" t="str">
        <f>IF(Table1[[#This Row],[H_TGL]]="","",Table1[[#This Row],[H_TGL]]+C$1-1)</f>
        <v/>
      </c>
      <c r="H229" s="288" t="str">
        <f ca="1">IF(Table1[[#This Row],[h_No. Invoice :]]="","",CONCATENATE("AM"," ",Table1[[#This Row],[h_No. Invoice :]]))</f>
        <v/>
      </c>
      <c r="I229" s="289" t="str">
        <f>CONCATENATE(UPPER(Table1[[#This Row],[h_Kode Sales :_1]])," ",Table1[[#This Row],[h_Kode Sales :_2]])</f>
        <v xml:space="preserve"> </v>
      </c>
      <c r="J229" s="288" t="str">
        <f>IF(Table1[[#This Row],[h_toko]]="","",INDEX(Table2[e],IF(Table1[[#This Row],[h_toko]]="","",MATCH(Table1[[#This Row],[h_toko]],Table2[a],0)),))</f>
        <v/>
      </c>
      <c r="O229" s="288" t="str">
        <f>IF(Table1[[#This Row],[h_Item Description]]="","",INDEX([1]!db[NB PAJAK],MATCH(Table1[[#This Row],[h_Item Description]],[1]!db[kode],0)))</f>
        <v/>
      </c>
      <c r="Q229" s="284"/>
      <c r="R229" s="285"/>
      <c r="T229" s="284" t="str">
        <f>Table1[[#This Row],[h_hargasetelahdiskon]]</f>
        <v/>
      </c>
      <c r="W229" s="288" t="str">
        <f ca="1">IF(Table1[[#This Row],[Item Description]]="","",IF(Table1[[#This Row],[//]]="",INDIRECT(ADDRESS(ROW()-1,COLUMN())),Table1[[#This Row],[//]]))</f>
        <v/>
      </c>
      <c r="X229" s="288" t="str">
        <f ca="1">IF(Table1[[#This Row],[h_id]]="","",COUNTIF(Table1[h_id],Table1[[#This Row],[h_id]]))</f>
        <v/>
      </c>
      <c r="Y229" s="284" t="str">
        <f>IF(Table1[Item Description]="","",Table1[[#This Row],[Qty]]*Table1[[#This Row],[Unit Price]])</f>
        <v/>
      </c>
      <c r="Z229" s="284" t="str">
        <f>IF(Table1[[#This Row],[h_hargasebelumdiskon]]="","",IF(Table1[[#This Row],[Disc 1]]="",0,Table1[[#This Row],[h_hargasebelumdiskon]]*Table1[[#This Row],[Disc 1]]))</f>
        <v/>
      </c>
      <c r="AA229" s="284" t="str">
        <f>IF(Table1[[#This Row],[h_hargasebelumdiskon]]="","",IF(Table1[[#This Row],[Disc 2]]="",0,(Table1[[#This Row],[h_hargasebelumdiskon]]-Table1[[#This Row],[h_disc 1]])*Table1[[#This Row],[Disc 2]]))</f>
        <v/>
      </c>
      <c r="AB229" s="284" t="str">
        <f>IF(Table1[Item Description]="","",Table1[[#This Row],[h_disc 1]]+Table1[[#This Row],[h_disc 2]])</f>
        <v/>
      </c>
      <c r="AC229" s="284" t="str">
        <f>IF(Table1[Item Description]="","",Table1[[#This Row],[h_hargasebelumdiskon]]-Table1[[#This Row],[h_diskon]])</f>
        <v/>
      </c>
      <c r="AD229" s="284" t="str">
        <f ca="1">IF(Table1[//]="","",SUMIF(Table1[h_id],Table1[h_id],Table1[h_hargasetelahdiskon]))</f>
        <v/>
      </c>
      <c r="AE229" s="284"/>
      <c r="AF229" s="284" t="str">
        <f>Table1[[#This Row],[Item Description]]&amp;Table1[[#This Row],[Unit]]&amp;Table1[[#This Row],[Unit Price]]</f>
        <v/>
      </c>
    </row>
    <row r="230" spans="1:32" x14ac:dyDescent="0.25">
      <c r="A230" s="288" t="str">
        <f ca="1">IF(Table1[[#This Row],[No. Invoice :]]="","",ROW())</f>
        <v/>
      </c>
      <c r="B230" s="288" t="str">
        <f ca="1">IF(Table1[h_Kode Sales :_1]="","",B$1+COUNT(INDIRECT("B$2:B"&amp;ROW()-1)))</f>
        <v/>
      </c>
      <c r="C230" s="282" t="str">
        <f>IF(Table1[[#This Row],[H_TGL]]="","",Table1[[#This Row],[H_TGL]]+C$1-1)</f>
        <v/>
      </c>
      <c r="H230" s="288" t="str">
        <f ca="1">IF(Table1[[#This Row],[h_No. Invoice :]]="","",CONCATENATE("AM"," ",Table1[[#This Row],[h_No. Invoice :]]))</f>
        <v/>
      </c>
      <c r="I230" s="289" t="str">
        <f>CONCATENATE(UPPER(Table1[[#This Row],[h_Kode Sales :_1]])," ",Table1[[#This Row],[h_Kode Sales :_2]])</f>
        <v xml:space="preserve"> </v>
      </c>
      <c r="J230" s="288" t="str">
        <f>IF(Table1[[#This Row],[h_toko]]="","",INDEX(Table2[e],IF(Table1[[#This Row],[h_toko]]="","",MATCH(Table1[[#This Row],[h_toko]],Table2[a],0)),))</f>
        <v/>
      </c>
      <c r="O230" s="288" t="str">
        <f>IF(Table1[[#This Row],[h_Item Description]]="","",INDEX([1]!db[NB PAJAK],MATCH(Table1[[#This Row],[h_Item Description]],[1]!db[kode],0)))</f>
        <v/>
      </c>
      <c r="Q230" s="284"/>
      <c r="R230" s="285"/>
      <c r="T230" s="284" t="str">
        <f>Table1[[#This Row],[h_hargasetelahdiskon]]</f>
        <v/>
      </c>
      <c r="W230" s="288" t="str">
        <f ca="1">IF(Table1[[#This Row],[Item Description]]="","",IF(Table1[[#This Row],[//]]="",INDIRECT(ADDRESS(ROW()-1,COLUMN())),Table1[[#This Row],[//]]))</f>
        <v/>
      </c>
      <c r="X230" s="288" t="str">
        <f ca="1">IF(Table1[[#This Row],[h_id]]="","",COUNTIF(Table1[h_id],Table1[[#This Row],[h_id]]))</f>
        <v/>
      </c>
      <c r="Y230" s="284" t="str">
        <f>IF(Table1[Item Description]="","",Table1[[#This Row],[Qty]]*Table1[[#This Row],[Unit Price]])</f>
        <v/>
      </c>
      <c r="Z230" s="284" t="str">
        <f>IF(Table1[[#This Row],[h_hargasebelumdiskon]]="","",IF(Table1[[#This Row],[Disc 1]]="",0,Table1[[#This Row],[h_hargasebelumdiskon]]*Table1[[#This Row],[Disc 1]]))</f>
        <v/>
      </c>
      <c r="AA230" s="284" t="str">
        <f>IF(Table1[[#This Row],[h_hargasebelumdiskon]]="","",IF(Table1[[#This Row],[Disc 2]]="",0,(Table1[[#This Row],[h_hargasebelumdiskon]]-Table1[[#This Row],[h_disc 1]])*Table1[[#This Row],[Disc 2]]))</f>
        <v/>
      </c>
      <c r="AB230" s="284" t="str">
        <f>IF(Table1[Item Description]="","",Table1[[#This Row],[h_disc 1]]+Table1[[#This Row],[h_disc 2]])</f>
        <v/>
      </c>
      <c r="AC230" s="284" t="str">
        <f>IF(Table1[Item Description]="","",Table1[[#This Row],[h_hargasebelumdiskon]]-Table1[[#This Row],[h_diskon]])</f>
        <v/>
      </c>
      <c r="AD230" s="284" t="str">
        <f ca="1">IF(Table1[//]="","",SUMIF(Table1[h_id],Table1[h_id],Table1[h_hargasetelahdiskon]))</f>
        <v/>
      </c>
      <c r="AE230" s="284"/>
      <c r="AF230" s="284" t="str">
        <f>Table1[[#This Row],[Item Description]]&amp;Table1[[#This Row],[Unit]]&amp;Table1[[#This Row],[Unit Price]]</f>
        <v/>
      </c>
    </row>
    <row r="231" spans="1:32" x14ac:dyDescent="0.25">
      <c r="A231" s="288" t="str">
        <f ca="1">IF(Table1[[#This Row],[No. Invoice :]]="","",ROW())</f>
        <v/>
      </c>
      <c r="B231" s="288" t="str">
        <f ca="1">IF(Table1[h_Kode Sales :_1]="","",B$1+COUNT(INDIRECT("B$2:B"&amp;ROW()-1)))</f>
        <v/>
      </c>
      <c r="C231" s="282" t="str">
        <f>IF(Table1[[#This Row],[H_TGL]]="","",Table1[[#This Row],[H_TGL]]+C$1-1)</f>
        <v/>
      </c>
      <c r="H231" s="288" t="str">
        <f ca="1">IF(Table1[[#This Row],[h_No. Invoice :]]="","",CONCATENATE("AM"," ",Table1[[#This Row],[h_No. Invoice :]]))</f>
        <v/>
      </c>
      <c r="I231" s="289" t="str">
        <f>CONCATENATE(UPPER(Table1[[#This Row],[h_Kode Sales :_1]])," ",Table1[[#This Row],[h_Kode Sales :_2]])</f>
        <v xml:space="preserve"> </v>
      </c>
      <c r="J231" s="288" t="str">
        <f>IF(Table1[[#This Row],[h_toko]]="","",INDEX(Table2[e],IF(Table1[[#This Row],[h_toko]]="","",MATCH(Table1[[#This Row],[h_toko]],Table2[a],0)),))</f>
        <v/>
      </c>
      <c r="O231" s="288" t="str">
        <f>IF(Table1[[#This Row],[h_Item Description]]="","",INDEX([1]!db[NB PAJAK],MATCH(Table1[[#This Row],[h_Item Description]],[1]!db[kode],0)))</f>
        <v/>
      </c>
      <c r="Q231" s="284"/>
      <c r="R231" s="285"/>
      <c r="T231" s="284" t="str">
        <f>Table1[[#This Row],[h_hargasetelahdiskon]]</f>
        <v/>
      </c>
      <c r="W231" s="288" t="str">
        <f ca="1">IF(Table1[[#This Row],[Item Description]]="","",IF(Table1[[#This Row],[//]]="",INDIRECT(ADDRESS(ROW()-1,COLUMN())),Table1[[#This Row],[//]]))</f>
        <v/>
      </c>
      <c r="X231" s="288" t="str">
        <f ca="1">IF(Table1[[#This Row],[h_id]]="","",COUNTIF(Table1[h_id],Table1[[#This Row],[h_id]]))</f>
        <v/>
      </c>
      <c r="Y231" s="284" t="str">
        <f>IF(Table1[Item Description]="","",Table1[[#This Row],[Qty]]*Table1[[#This Row],[Unit Price]])</f>
        <v/>
      </c>
      <c r="Z231" s="284" t="str">
        <f>IF(Table1[[#This Row],[h_hargasebelumdiskon]]="","",IF(Table1[[#This Row],[Disc 1]]="",0,Table1[[#This Row],[h_hargasebelumdiskon]]*Table1[[#This Row],[Disc 1]]))</f>
        <v/>
      </c>
      <c r="AA231" s="284" t="str">
        <f>IF(Table1[[#This Row],[h_hargasebelumdiskon]]="","",IF(Table1[[#This Row],[Disc 2]]="",0,(Table1[[#This Row],[h_hargasebelumdiskon]]-Table1[[#This Row],[h_disc 1]])*Table1[[#This Row],[Disc 2]]))</f>
        <v/>
      </c>
      <c r="AB231" s="284" t="str">
        <f>IF(Table1[Item Description]="","",Table1[[#This Row],[h_disc 1]]+Table1[[#This Row],[h_disc 2]])</f>
        <v/>
      </c>
      <c r="AC231" s="284" t="str">
        <f>IF(Table1[Item Description]="","",Table1[[#This Row],[h_hargasebelumdiskon]]-Table1[[#This Row],[h_diskon]])</f>
        <v/>
      </c>
      <c r="AD231" s="284" t="str">
        <f ca="1">IF(Table1[//]="","",SUMIF(Table1[h_id],Table1[h_id],Table1[h_hargasetelahdiskon]))</f>
        <v/>
      </c>
      <c r="AE231" s="284"/>
      <c r="AF231" s="284" t="str">
        <f>Table1[[#This Row],[Item Description]]&amp;Table1[[#This Row],[Unit]]&amp;Table1[[#This Row],[Unit Price]]</f>
        <v/>
      </c>
    </row>
    <row r="232" spans="1:32" x14ac:dyDescent="0.25">
      <c r="A232" s="288" t="str">
        <f ca="1">IF(Table1[[#This Row],[No. Invoice :]]="","",ROW())</f>
        <v/>
      </c>
      <c r="B232" s="288" t="str">
        <f ca="1">IF(Table1[h_Kode Sales :_1]="","",B$1+COUNT(INDIRECT("B$2:B"&amp;ROW()-1)))</f>
        <v/>
      </c>
      <c r="C232" s="282" t="str">
        <f>IF(Table1[[#This Row],[H_TGL]]="","",Table1[[#This Row],[H_TGL]]+C$1-1)</f>
        <v/>
      </c>
      <c r="H232" s="288" t="str">
        <f ca="1">IF(Table1[[#This Row],[h_No. Invoice :]]="","",CONCATENATE("AM"," ",Table1[[#This Row],[h_No. Invoice :]]))</f>
        <v/>
      </c>
      <c r="I232" s="289" t="str">
        <f>CONCATENATE(UPPER(Table1[[#This Row],[h_Kode Sales :_1]])," ",Table1[[#This Row],[h_Kode Sales :_2]])</f>
        <v xml:space="preserve"> </v>
      </c>
      <c r="J232" s="288" t="str">
        <f>IF(Table1[[#This Row],[h_toko]]="","",INDEX(Table2[e],IF(Table1[[#This Row],[h_toko]]="","",MATCH(Table1[[#This Row],[h_toko]],Table2[a],0)),))</f>
        <v/>
      </c>
      <c r="O232" s="288" t="str">
        <f>IF(Table1[[#This Row],[h_Item Description]]="","",INDEX([1]!db[NB PAJAK],MATCH(Table1[[#This Row],[h_Item Description]],[1]!db[kode],0)))</f>
        <v/>
      </c>
      <c r="Q232" s="284"/>
      <c r="R232" s="285"/>
      <c r="T232" s="284" t="str">
        <f>Table1[[#This Row],[h_hargasetelahdiskon]]</f>
        <v/>
      </c>
      <c r="W232" s="288" t="str">
        <f ca="1">IF(Table1[[#This Row],[Item Description]]="","",IF(Table1[[#This Row],[//]]="",INDIRECT(ADDRESS(ROW()-1,COLUMN())),Table1[[#This Row],[//]]))</f>
        <v/>
      </c>
      <c r="X232" s="288" t="str">
        <f ca="1">IF(Table1[[#This Row],[h_id]]="","",COUNTIF(Table1[h_id],Table1[[#This Row],[h_id]]))</f>
        <v/>
      </c>
      <c r="Y232" s="284" t="str">
        <f>IF(Table1[Item Description]="","",Table1[[#This Row],[Qty]]*Table1[[#This Row],[Unit Price]])</f>
        <v/>
      </c>
      <c r="Z232" s="284" t="str">
        <f>IF(Table1[[#This Row],[h_hargasebelumdiskon]]="","",IF(Table1[[#This Row],[Disc 1]]="",0,Table1[[#This Row],[h_hargasebelumdiskon]]*Table1[[#This Row],[Disc 1]]))</f>
        <v/>
      </c>
      <c r="AA232" s="284" t="str">
        <f>IF(Table1[[#This Row],[h_hargasebelumdiskon]]="","",IF(Table1[[#This Row],[Disc 2]]="",0,(Table1[[#This Row],[h_hargasebelumdiskon]]-Table1[[#This Row],[h_disc 1]])*Table1[[#This Row],[Disc 2]]))</f>
        <v/>
      </c>
      <c r="AB232" s="284" t="str">
        <f>IF(Table1[Item Description]="","",Table1[[#This Row],[h_disc 1]]+Table1[[#This Row],[h_disc 2]])</f>
        <v/>
      </c>
      <c r="AC232" s="284" t="str">
        <f>IF(Table1[Item Description]="","",Table1[[#This Row],[h_hargasebelumdiskon]]-Table1[[#This Row],[h_diskon]])</f>
        <v/>
      </c>
      <c r="AD232" s="284" t="str">
        <f ca="1">IF(Table1[//]="","",SUMIF(Table1[h_id],Table1[h_id],Table1[h_hargasetelahdiskon]))</f>
        <v/>
      </c>
      <c r="AE232" s="284"/>
      <c r="AF232" s="284" t="str">
        <f>Table1[[#This Row],[Item Description]]&amp;Table1[[#This Row],[Unit]]&amp;Table1[[#This Row],[Unit Price]]</f>
        <v/>
      </c>
    </row>
    <row r="233" spans="1:32" x14ac:dyDescent="0.25">
      <c r="A233" s="288" t="str">
        <f ca="1">IF(Table1[[#This Row],[No. Invoice :]]="","",ROW())</f>
        <v/>
      </c>
      <c r="B233" s="288" t="str">
        <f ca="1">IF(Table1[h_Kode Sales :_1]="","",B$1+COUNT(INDIRECT("B$2:B"&amp;ROW()-1)))</f>
        <v/>
      </c>
      <c r="C233" s="282" t="str">
        <f>IF(Table1[[#This Row],[H_TGL]]="","",Table1[[#This Row],[H_TGL]]+C$1-1)</f>
        <v/>
      </c>
      <c r="H233" s="288" t="str">
        <f ca="1">IF(Table1[[#This Row],[h_No. Invoice :]]="","",CONCATENATE("AM"," ",Table1[[#This Row],[h_No. Invoice :]]))</f>
        <v/>
      </c>
      <c r="I233" s="289" t="str">
        <f>CONCATENATE(UPPER(Table1[[#This Row],[h_Kode Sales :_1]])," ",Table1[[#This Row],[h_Kode Sales :_2]])</f>
        <v xml:space="preserve"> </v>
      </c>
      <c r="J233" s="288" t="str">
        <f>IF(Table1[[#This Row],[h_toko]]="","",INDEX(Table2[e],IF(Table1[[#This Row],[h_toko]]="","",MATCH(Table1[[#This Row],[h_toko]],Table2[a],0)),))</f>
        <v/>
      </c>
      <c r="O233" s="288" t="str">
        <f>IF(Table1[[#This Row],[h_Item Description]]="","",INDEX([1]!db[NB PAJAK],MATCH(Table1[[#This Row],[h_Item Description]],[1]!db[kode],0)))</f>
        <v/>
      </c>
      <c r="Q233" s="284"/>
      <c r="R233" s="285"/>
      <c r="T233" s="284" t="str">
        <f>Table1[[#This Row],[h_hargasetelahdiskon]]</f>
        <v/>
      </c>
      <c r="W233" s="288" t="str">
        <f ca="1">IF(Table1[[#This Row],[Item Description]]="","",IF(Table1[[#This Row],[//]]="",INDIRECT(ADDRESS(ROW()-1,COLUMN())),Table1[[#This Row],[//]]))</f>
        <v/>
      </c>
      <c r="X233" s="288" t="str">
        <f ca="1">IF(Table1[[#This Row],[h_id]]="","",COUNTIF(Table1[h_id],Table1[[#This Row],[h_id]]))</f>
        <v/>
      </c>
      <c r="Y233" s="284" t="str">
        <f>IF(Table1[Item Description]="","",Table1[[#This Row],[Qty]]*Table1[[#This Row],[Unit Price]])</f>
        <v/>
      </c>
      <c r="Z233" s="284" t="str">
        <f>IF(Table1[[#This Row],[h_hargasebelumdiskon]]="","",IF(Table1[[#This Row],[Disc 1]]="",0,Table1[[#This Row],[h_hargasebelumdiskon]]*Table1[[#This Row],[Disc 1]]))</f>
        <v/>
      </c>
      <c r="AA233" s="284" t="str">
        <f>IF(Table1[[#This Row],[h_hargasebelumdiskon]]="","",IF(Table1[[#This Row],[Disc 2]]="",0,(Table1[[#This Row],[h_hargasebelumdiskon]]-Table1[[#This Row],[h_disc 1]])*Table1[[#This Row],[Disc 2]]))</f>
        <v/>
      </c>
      <c r="AB233" s="284" t="str">
        <f>IF(Table1[Item Description]="","",Table1[[#This Row],[h_disc 1]]+Table1[[#This Row],[h_disc 2]])</f>
        <v/>
      </c>
      <c r="AC233" s="284" t="str">
        <f>IF(Table1[Item Description]="","",Table1[[#This Row],[h_hargasebelumdiskon]]-Table1[[#This Row],[h_diskon]])</f>
        <v/>
      </c>
      <c r="AD233" s="284" t="str">
        <f ca="1">IF(Table1[//]="","",SUMIF(Table1[h_id],Table1[h_id],Table1[h_hargasetelahdiskon]))</f>
        <v/>
      </c>
      <c r="AE233" s="284"/>
      <c r="AF233" s="284" t="str">
        <f>Table1[[#This Row],[Item Description]]&amp;Table1[[#This Row],[Unit]]&amp;Table1[[#This Row],[Unit Price]]</f>
        <v/>
      </c>
    </row>
    <row r="234" spans="1:32" x14ac:dyDescent="0.25">
      <c r="A234" s="288" t="str">
        <f ca="1">IF(Table1[[#This Row],[No. Invoice :]]="","",ROW())</f>
        <v/>
      </c>
      <c r="B234" s="288" t="str">
        <f ca="1">IF(Table1[h_Kode Sales :_1]="","",B$1+COUNT(INDIRECT("B$2:B"&amp;ROW()-1)))</f>
        <v/>
      </c>
      <c r="C234" s="282" t="str">
        <f>IF(Table1[[#This Row],[H_TGL]]="","",Table1[[#This Row],[H_TGL]]+C$1-1)</f>
        <v/>
      </c>
      <c r="H234" s="288" t="str">
        <f ca="1">IF(Table1[[#This Row],[h_No. Invoice :]]="","",CONCATENATE("AM"," ",Table1[[#This Row],[h_No. Invoice :]]))</f>
        <v/>
      </c>
      <c r="I234" s="289" t="str">
        <f>CONCATENATE(UPPER(Table1[[#This Row],[h_Kode Sales :_1]])," ",Table1[[#This Row],[h_Kode Sales :_2]])</f>
        <v xml:space="preserve"> </v>
      </c>
      <c r="J234" s="288" t="str">
        <f>IF(Table1[[#This Row],[h_toko]]="","",INDEX(Table2[e],IF(Table1[[#This Row],[h_toko]]="","",MATCH(Table1[[#This Row],[h_toko]],Table2[a],0)),))</f>
        <v/>
      </c>
      <c r="O234" s="288" t="str">
        <f>IF(Table1[[#This Row],[h_Item Description]]="","",INDEX([1]!db[NB PAJAK],MATCH(Table1[[#This Row],[h_Item Description]],[1]!db[kode],0)))</f>
        <v/>
      </c>
      <c r="P234" s="288"/>
      <c r="Q234" s="284"/>
      <c r="R234" s="285"/>
      <c r="T234" s="284" t="str">
        <f>Table1[[#This Row],[h_hargasetelahdiskon]]</f>
        <v/>
      </c>
      <c r="W234" s="288" t="str">
        <f ca="1">IF(Table1[[#This Row],[Item Description]]="","",IF(Table1[[#This Row],[//]]="",INDIRECT(ADDRESS(ROW()-1,COLUMN())),Table1[[#This Row],[//]]))</f>
        <v/>
      </c>
      <c r="X234" s="288" t="str">
        <f ca="1">IF(Table1[[#This Row],[h_id]]="","",COUNTIF(Table1[h_id],Table1[[#This Row],[h_id]]))</f>
        <v/>
      </c>
      <c r="Y234" s="284" t="str">
        <f>IF(Table1[Item Description]="","",Table1[[#This Row],[Qty]]*Table1[[#This Row],[Unit Price]])</f>
        <v/>
      </c>
      <c r="Z234" s="284" t="str">
        <f>IF(Table1[[#This Row],[h_hargasebelumdiskon]]="","",IF(Table1[[#This Row],[Disc 1]]="",0,Table1[[#This Row],[h_hargasebelumdiskon]]*Table1[[#This Row],[Disc 1]]))</f>
        <v/>
      </c>
      <c r="AA234" s="284" t="str">
        <f>IF(Table1[[#This Row],[h_hargasebelumdiskon]]="","",IF(Table1[[#This Row],[Disc 2]]="",0,(Table1[[#This Row],[h_hargasebelumdiskon]]-Table1[[#This Row],[h_disc 1]])*Table1[[#This Row],[Disc 2]]))</f>
        <v/>
      </c>
      <c r="AB234" s="284" t="str">
        <f>IF(Table1[Item Description]="","",Table1[[#This Row],[h_disc 1]]+Table1[[#This Row],[h_disc 2]])</f>
        <v/>
      </c>
      <c r="AC234" s="284" t="str">
        <f>IF(Table1[Item Description]="","",Table1[[#This Row],[h_hargasebelumdiskon]]-Table1[[#This Row],[h_diskon]])</f>
        <v/>
      </c>
      <c r="AD234" s="284" t="str">
        <f ca="1">IF(Table1[//]="","",SUMIF(Table1[h_id],Table1[h_id],Table1[h_hargasetelahdiskon]))</f>
        <v/>
      </c>
      <c r="AE234" s="284"/>
      <c r="AF234" s="284" t="str">
        <f>Table1[[#This Row],[Item Description]]&amp;Table1[[#This Row],[Unit]]&amp;Table1[[#This Row],[Unit Price]]</f>
        <v/>
      </c>
    </row>
    <row r="235" spans="1:32" x14ac:dyDescent="0.25">
      <c r="A235" s="288" t="str">
        <f ca="1">IF(Table1[[#This Row],[No. Invoice :]]="","",ROW())</f>
        <v/>
      </c>
      <c r="B235" s="288" t="str">
        <f ca="1">IF(Table1[h_Kode Sales :_1]="","",B$1+COUNT(INDIRECT("B$2:B"&amp;ROW()-1)))</f>
        <v/>
      </c>
      <c r="C235" s="282" t="str">
        <f>IF(Table1[[#This Row],[H_TGL]]="","",Table1[[#This Row],[H_TGL]]+C$1-1)</f>
        <v/>
      </c>
      <c r="H235" s="288" t="str">
        <f ca="1">IF(Table1[[#This Row],[h_No. Invoice :]]="","",CONCATENATE("AM"," ",Table1[[#This Row],[h_No. Invoice :]]))</f>
        <v/>
      </c>
      <c r="I235" s="289" t="str">
        <f>CONCATENATE(UPPER(Table1[[#This Row],[h_Kode Sales :_1]])," ",Table1[[#This Row],[h_Kode Sales :_2]])</f>
        <v xml:space="preserve"> </v>
      </c>
      <c r="J235" s="288" t="str">
        <f>IF(Table1[[#This Row],[h_toko]]="","",INDEX(Table2[e],IF(Table1[[#This Row],[h_toko]]="","",MATCH(Table1[[#This Row],[h_toko]],Table2[a],0)),))</f>
        <v/>
      </c>
      <c r="O235" s="288" t="str">
        <f>IF(Table1[[#This Row],[h_Item Description]]="","",INDEX([1]!db[NB PAJAK],MATCH(Table1[[#This Row],[h_Item Description]],[1]!db[kode],0)))</f>
        <v/>
      </c>
      <c r="Q235" s="284"/>
      <c r="R235" s="285"/>
      <c r="T235" s="284" t="str">
        <f>Table1[[#This Row],[h_hargasetelahdiskon]]</f>
        <v/>
      </c>
      <c r="W235" s="288" t="str">
        <f ca="1">IF(Table1[[#This Row],[Item Description]]="","",IF(Table1[[#This Row],[//]]="",INDIRECT(ADDRESS(ROW()-1,COLUMN())),Table1[[#This Row],[//]]))</f>
        <v/>
      </c>
      <c r="X235" s="288" t="str">
        <f ca="1">IF(Table1[[#This Row],[h_id]]="","",COUNTIF(Table1[h_id],Table1[[#This Row],[h_id]]))</f>
        <v/>
      </c>
      <c r="Y235" s="284" t="str">
        <f>IF(Table1[Item Description]="","",Table1[[#This Row],[Qty]]*Table1[[#This Row],[Unit Price]])</f>
        <v/>
      </c>
      <c r="Z235" s="284" t="str">
        <f>IF(Table1[[#This Row],[h_hargasebelumdiskon]]="","",IF(Table1[[#This Row],[Disc 1]]="",0,Table1[[#This Row],[h_hargasebelumdiskon]]*Table1[[#This Row],[Disc 1]]))</f>
        <v/>
      </c>
      <c r="AA235" s="284" t="str">
        <f>IF(Table1[[#This Row],[h_hargasebelumdiskon]]="","",IF(Table1[[#This Row],[Disc 2]]="",0,(Table1[[#This Row],[h_hargasebelumdiskon]]-Table1[[#This Row],[h_disc 1]])*Table1[[#This Row],[Disc 2]]))</f>
        <v/>
      </c>
      <c r="AB235" s="284" t="str">
        <f>IF(Table1[Item Description]="","",Table1[[#This Row],[h_disc 1]]+Table1[[#This Row],[h_disc 2]])</f>
        <v/>
      </c>
      <c r="AC235" s="284" t="str">
        <f>IF(Table1[Item Description]="","",Table1[[#This Row],[h_hargasebelumdiskon]]-Table1[[#This Row],[h_diskon]])</f>
        <v/>
      </c>
      <c r="AD235" s="284" t="str">
        <f ca="1">IF(Table1[//]="","",SUMIF(Table1[h_id],Table1[h_id],Table1[h_hargasetelahdiskon]))</f>
        <v/>
      </c>
      <c r="AE235" s="284"/>
      <c r="AF235" s="284" t="str">
        <f>Table1[[#This Row],[Item Description]]&amp;Table1[[#This Row],[Unit]]&amp;Table1[[#This Row],[Unit Price]]</f>
        <v/>
      </c>
    </row>
    <row r="236" spans="1:32" x14ac:dyDescent="0.25">
      <c r="A236" s="288" t="str">
        <f ca="1">IF(Table1[[#This Row],[No. Invoice :]]="","",ROW())</f>
        <v/>
      </c>
      <c r="B236" s="288" t="str">
        <f ca="1">IF(Table1[h_Kode Sales :_1]="","",B$1+COUNT(INDIRECT("B$2:B"&amp;ROW()-1)))</f>
        <v/>
      </c>
      <c r="C236" s="282" t="str">
        <f>IF(Table1[[#This Row],[H_TGL]]="","",Table1[[#This Row],[H_TGL]]+C$1-1)</f>
        <v/>
      </c>
      <c r="H236" s="288" t="str">
        <f ca="1">IF(Table1[[#This Row],[h_No. Invoice :]]="","",CONCATENATE("AM"," ",Table1[[#This Row],[h_No. Invoice :]]))</f>
        <v/>
      </c>
      <c r="I236" s="289" t="str">
        <f>CONCATENATE(UPPER(Table1[[#This Row],[h_Kode Sales :_1]])," ",Table1[[#This Row],[h_Kode Sales :_2]])</f>
        <v xml:space="preserve"> </v>
      </c>
      <c r="J236" s="288" t="str">
        <f>IF(Table1[[#This Row],[h_toko]]="","",INDEX(Table2[e],IF(Table1[[#This Row],[h_toko]]="","",MATCH(Table1[[#This Row],[h_toko]],Table2[a],0)),))</f>
        <v/>
      </c>
      <c r="O236" s="288" t="str">
        <f>IF(Table1[[#This Row],[h_Item Description]]="","",INDEX([1]!db[NB PAJAK],MATCH(Table1[[#This Row],[h_Item Description]],[1]!db[kode],0)))</f>
        <v/>
      </c>
      <c r="Q236" s="284"/>
      <c r="R236" s="285"/>
      <c r="T236" s="284" t="str">
        <f>Table1[[#This Row],[h_hargasetelahdiskon]]</f>
        <v/>
      </c>
      <c r="W236" s="288" t="str">
        <f ca="1">IF(Table1[[#This Row],[Item Description]]="","",IF(Table1[[#This Row],[//]]="",INDIRECT(ADDRESS(ROW()-1,COLUMN())),Table1[[#This Row],[//]]))</f>
        <v/>
      </c>
      <c r="X236" s="288" t="str">
        <f ca="1">IF(Table1[[#This Row],[h_id]]="","",COUNTIF(Table1[h_id],Table1[[#This Row],[h_id]]))</f>
        <v/>
      </c>
      <c r="Y236" s="284" t="str">
        <f>IF(Table1[Item Description]="","",Table1[[#This Row],[Qty]]*Table1[[#This Row],[Unit Price]])</f>
        <v/>
      </c>
      <c r="Z236" s="284" t="str">
        <f>IF(Table1[[#This Row],[h_hargasebelumdiskon]]="","",IF(Table1[[#This Row],[Disc 1]]="",0,Table1[[#This Row],[h_hargasebelumdiskon]]*Table1[[#This Row],[Disc 1]]))</f>
        <v/>
      </c>
      <c r="AA236" s="284" t="str">
        <f>IF(Table1[[#This Row],[h_hargasebelumdiskon]]="","",IF(Table1[[#This Row],[Disc 2]]="",0,(Table1[[#This Row],[h_hargasebelumdiskon]]-Table1[[#This Row],[h_disc 1]])*Table1[[#This Row],[Disc 2]]))</f>
        <v/>
      </c>
      <c r="AB236" s="284" t="str">
        <f>IF(Table1[Item Description]="","",Table1[[#This Row],[h_disc 1]]+Table1[[#This Row],[h_disc 2]])</f>
        <v/>
      </c>
      <c r="AC236" s="284" t="str">
        <f>IF(Table1[Item Description]="","",Table1[[#This Row],[h_hargasebelumdiskon]]-Table1[[#This Row],[h_diskon]])</f>
        <v/>
      </c>
      <c r="AD236" s="284" t="str">
        <f ca="1">IF(Table1[//]="","",SUMIF(Table1[h_id],Table1[h_id],Table1[h_hargasetelahdiskon]))</f>
        <v/>
      </c>
      <c r="AE236" s="284"/>
      <c r="AF236" s="284" t="str">
        <f>Table1[[#This Row],[Item Description]]&amp;Table1[[#This Row],[Unit]]&amp;Table1[[#This Row],[Unit Price]]</f>
        <v/>
      </c>
    </row>
    <row r="237" spans="1:32" x14ac:dyDescent="0.25">
      <c r="A237" s="288" t="str">
        <f ca="1">IF(Table1[[#This Row],[No. Invoice :]]="","",ROW())</f>
        <v/>
      </c>
      <c r="B237" s="288" t="str">
        <f ca="1">IF(Table1[h_Kode Sales :_1]="","",B$1+COUNT(INDIRECT("B$2:B"&amp;ROW()-1)))</f>
        <v/>
      </c>
      <c r="C237" s="282" t="str">
        <f>IF(Table1[[#This Row],[H_TGL]]="","",Table1[[#This Row],[H_TGL]]+C$1-1)</f>
        <v/>
      </c>
      <c r="H237" s="288" t="str">
        <f ca="1">IF(Table1[[#This Row],[h_No. Invoice :]]="","",CONCATENATE("AM"," ",Table1[[#This Row],[h_No. Invoice :]]))</f>
        <v/>
      </c>
      <c r="I237" s="289" t="str">
        <f>CONCATENATE(UPPER(Table1[[#This Row],[h_Kode Sales :_1]])," ",Table1[[#This Row],[h_Kode Sales :_2]])</f>
        <v xml:space="preserve"> </v>
      </c>
      <c r="J237" s="288" t="str">
        <f>IF(Table1[[#This Row],[h_toko]]="","",INDEX(Table2[e],IF(Table1[[#This Row],[h_toko]]="","",MATCH(Table1[[#This Row],[h_toko]],Table2[a],0)),))</f>
        <v/>
      </c>
      <c r="O237" s="288" t="str">
        <f>IF(Table1[[#This Row],[h_Item Description]]="","",INDEX([1]!db[NB PAJAK],MATCH(Table1[[#This Row],[h_Item Description]],[1]!db[kode],0)))</f>
        <v/>
      </c>
      <c r="Q237" s="284"/>
      <c r="R237" s="285"/>
      <c r="T237" s="284" t="str">
        <f>Table1[[#This Row],[h_hargasetelahdiskon]]</f>
        <v/>
      </c>
      <c r="W237" s="288" t="str">
        <f ca="1">IF(Table1[[#This Row],[Item Description]]="","",IF(Table1[[#This Row],[//]]="",INDIRECT(ADDRESS(ROW()-1,COLUMN())),Table1[[#This Row],[//]]))</f>
        <v/>
      </c>
      <c r="X237" s="288" t="str">
        <f ca="1">IF(Table1[[#This Row],[h_id]]="","",COUNTIF(Table1[h_id],Table1[[#This Row],[h_id]]))</f>
        <v/>
      </c>
      <c r="Y237" s="284" t="str">
        <f>IF(Table1[Item Description]="","",Table1[[#This Row],[Qty]]*Table1[[#This Row],[Unit Price]])</f>
        <v/>
      </c>
      <c r="Z237" s="284" t="str">
        <f>IF(Table1[[#This Row],[h_hargasebelumdiskon]]="","",IF(Table1[[#This Row],[Disc 1]]="",0,Table1[[#This Row],[h_hargasebelumdiskon]]*Table1[[#This Row],[Disc 1]]))</f>
        <v/>
      </c>
      <c r="AA237" s="284" t="str">
        <f>IF(Table1[[#This Row],[h_hargasebelumdiskon]]="","",IF(Table1[[#This Row],[Disc 2]]="",0,(Table1[[#This Row],[h_hargasebelumdiskon]]-Table1[[#This Row],[h_disc 1]])*Table1[[#This Row],[Disc 2]]))</f>
        <v/>
      </c>
      <c r="AB237" s="284" t="str">
        <f>IF(Table1[Item Description]="","",Table1[[#This Row],[h_disc 1]]+Table1[[#This Row],[h_disc 2]])</f>
        <v/>
      </c>
      <c r="AC237" s="284" t="str">
        <f>IF(Table1[Item Description]="","",Table1[[#This Row],[h_hargasebelumdiskon]]-Table1[[#This Row],[h_diskon]])</f>
        <v/>
      </c>
      <c r="AD237" s="284" t="str">
        <f ca="1">IF(Table1[//]="","",SUMIF(Table1[h_id],Table1[h_id],Table1[h_hargasetelahdiskon]))</f>
        <v/>
      </c>
      <c r="AE237" s="284"/>
      <c r="AF237" s="284" t="str">
        <f>Table1[[#This Row],[Item Description]]&amp;Table1[[#This Row],[Unit]]&amp;Table1[[#This Row],[Unit Price]]</f>
        <v/>
      </c>
    </row>
    <row r="238" spans="1:32" x14ac:dyDescent="0.25">
      <c r="A238" s="288" t="str">
        <f ca="1">IF(Table1[[#This Row],[No. Invoice :]]="","",ROW())</f>
        <v/>
      </c>
      <c r="B238" s="288" t="str">
        <f ca="1">IF(Table1[h_Kode Sales :_1]="","",B$1+COUNT(INDIRECT("B$2:B"&amp;ROW()-1)))</f>
        <v/>
      </c>
      <c r="C238" s="282" t="str">
        <f>IF(Table1[[#This Row],[H_TGL]]="","",Table1[[#This Row],[H_TGL]]+C$1-1)</f>
        <v/>
      </c>
      <c r="H238" s="288" t="str">
        <f ca="1">IF(Table1[[#This Row],[h_No. Invoice :]]="","",CONCATENATE("AM"," ",Table1[[#This Row],[h_No. Invoice :]]))</f>
        <v/>
      </c>
      <c r="I238" s="289" t="str">
        <f>CONCATENATE(UPPER(Table1[[#This Row],[h_Kode Sales :_1]])," ",Table1[[#This Row],[h_Kode Sales :_2]])</f>
        <v xml:space="preserve"> </v>
      </c>
      <c r="J238" s="288" t="str">
        <f>IF(Table1[[#This Row],[h_toko]]="","",INDEX(Table2[e],IF(Table1[[#This Row],[h_toko]]="","",MATCH(Table1[[#This Row],[h_toko]],Table2[a],0)),))</f>
        <v/>
      </c>
      <c r="O238" s="288" t="str">
        <f>IF(Table1[[#This Row],[h_Item Description]]="","",INDEX([1]!db[NB PAJAK],MATCH(Table1[[#This Row],[h_Item Description]],[1]!db[kode],0)))</f>
        <v/>
      </c>
      <c r="Q238" s="284"/>
      <c r="R238" s="285"/>
      <c r="T238" s="284" t="str">
        <f>Table1[[#This Row],[h_hargasetelahdiskon]]</f>
        <v/>
      </c>
      <c r="W238" s="288" t="str">
        <f ca="1">IF(Table1[[#This Row],[Item Description]]="","",IF(Table1[[#This Row],[//]]="",INDIRECT(ADDRESS(ROW()-1,COLUMN())),Table1[[#This Row],[//]]))</f>
        <v/>
      </c>
      <c r="X238" s="288" t="str">
        <f ca="1">IF(Table1[[#This Row],[h_id]]="","",COUNTIF(Table1[h_id],Table1[[#This Row],[h_id]]))</f>
        <v/>
      </c>
      <c r="Y238" s="284" t="str">
        <f>IF(Table1[Item Description]="","",Table1[[#This Row],[Qty]]*Table1[[#This Row],[Unit Price]])</f>
        <v/>
      </c>
      <c r="Z238" s="284" t="str">
        <f>IF(Table1[[#This Row],[h_hargasebelumdiskon]]="","",IF(Table1[[#This Row],[Disc 1]]="",0,Table1[[#This Row],[h_hargasebelumdiskon]]*Table1[[#This Row],[Disc 1]]))</f>
        <v/>
      </c>
      <c r="AA238" s="284" t="str">
        <f>IF(Table1[[#This Row],[h_hargasebelumdiskon]]="","",IF(Table1[[#This Row],[Disc 2]]="",0,(Table1[[#This Row],[h_hargasebelumdiskon]]-Table1[[#This Row],[h_disc 1]])*Table1[[#This Row],[Disc 2]]))</f>
        <v/>
      </c>
      <c r="AB238" s="284" t="str">
        <f>IF(Table1[Item Description]="","",Table1[[#This Row],[h_disc 1]]+Table1[[#This Row],[h_disc 2]])</f>
        <v/>
      </c>
      <c r="AC238" s="284" t="str">
        <f>IF(Table1[Item Description]="","",Table1[[#This Row],[h_hargasebelumdiskon]]-Table1[[#This Row],[h_diskon]])</f>
        <v/>
      </c>
      <c r="AD238" s="284" t="str">
        <f ca="1">IF(Table1[//]="","",SUMIF(Table1[h_id],Table1[h_id],Table1[h_hargasetelahdiskon]))</f>
        <v/>
      </c>
      <c r="AE238" s="284"/>
      <c r="AF238" s="284" t="str">
        <f>Table1[[#This Row],[Item Description]]&amp;Table1[[#This Row],[Unit]]&amp;Table1[[#This Row],[Unit Price]]</f>
        <v/>
      </c>
    </row>
    <row r="239" spans="1:32" x14ac:dyDescent="0.25">
      <c r="A239" s="288" t="str">
        <f ca="1">IF(Table1[[#This Row],[No. Invoice :]]="","",ROW())</f>
        <v/>
      </c>
      <c r="B239" s="288" t="str">
        <f ca="1">IF(Table1[h_Kode Sales :_1]="","",B$1+COUNT(INDIRECT("B$2:B"&amp;ROW()-1)))</f>
        <v/>
      </c>
      <c r="C239" s="282" t="str">
        <f>IF(Table1[[#This Row],[H_TGL]]="","",Table1[[#This Row],[H_TGL]]+C$1-1)</f>
        <v/>
      </c>
      <c r="H239" s="288" t="str">
        <f ca="1">IF(Table1[[#This Row],[h_No. Invoice :]]="","",CONCATENATE("AM"," ",Table1[[#This Row],[h_No. Invoice :]]))</f>
        <v/>
      </c>
      <c r="I239" s="289" t="str">
        <f>CONCATENATE(UPPER(Table1[[#This Row],[h_Kode Sales :_1]])," ",Table1[[#This Row],[h_Kode Sales :_2]])</f>
        <v xml:space="preserve"> </v>
      </c>
      <c r="J239" s="288" t="str">
        <f>IF(Table1[[#This Row],[h_toko]]="","",INDEX(Table2[e],IF(Table1[[#This Row],[h_toko]]="","",MATCH(Table1[[#This Row],[h_toko]],Table2[a],0)),))</f>
        <v/>
      </c>
      <c r="O239" s="288" t="str">
        <f>IF(Table1[[#This Row],[h_Item Description]]="","",INDEX([1]!db[NB PAJAK],MATCH(Table1[[#This Row],[h_Item Description]],[1]!db[kode],0)))</f>
        <v/>
      </c>
      <c r="Q239" s="284"/>
      <c r="R239" s="285"/>
      <c r="T239" s="284" t="str">
        <f>Table1[[#This Row],[h_hargasetelahdiskon]]</f>
        <v/>
      </c>
      <c r="W239" s="288" t="str">
        <f ca="1">IF(Table1[[#This Row],[Item Description]]="","",IF(Table1[[#This Row],[//]]="",INDIRECT(ADDRESS(ROW()-1,COLUMN())),Table1[[#This Row],[//]]))</f>
        <v/>
      </c>
      <c r="X239" s="288" t="str">
        <f ca="1">IF(Table1[[#This Row],[h_id]]="","",COUNTIF(Table1[h_id],Table1[[#This Row],[h_id]]))</f>
        <v/>
      </c>
      <c r="Y239" s="284" t="str">
        <f>IF(Table1[Item Description]="","",Table1[[#This Row],[Qty]]*Table1[[#This Row],[Unit Price]])</f>
        <v/>
      </c>
      <c r="Z239" s="284" t="str">
        <f>IF(Table1[[#This Row],[h_hargasebelumdiskon]]="","",IF(Table1[[#This Row],[Disc 1]]="",0,Table1[[#This Row],[h_hargasebelumdiskon]]*Table1[[#This Row],[Disc 1]]))</f>
        <v/>
      </c>
      <c r="AA239" s="284" t="str">
        <f>IF(Table1[[#This Row],[h_hargasebelumdiskon]]="","",IF(Table1[[#This Row],[Disc 2]]="",0,(Table1[[#This Row],[h_hargasebelumdiskon]]-Table1[[#This Row],[h_disc 1]])*Table1[[#This Row],[Disc 2]]))</f>
        <v/>
      </c>
      <c r="AB239" s="284" t="str">
        <f>IF(Table1[Item Description]="","",Table1[[#This Row],[h_disc 1]]+Table1[[#This Row],[h_disc 2]])</f>
        <v/>
      </c>
      <c r="AC239" s="284" t="str">
        <f>IF(Table1[Item Description]="","",Table1[[#This Row],[h_hargasebelumdiskon]]-Table1[[#This Row],[h_diskon]])</f>
        <v/>
      </c>
      <c r="AD239" s="284" t="str">
        <f ca="1">IF(Table1[//]="","",SUMIF(Table1[h_id],Table1[h_id],Table1[h_hargasetelahdiskon]))</f>
        <v/>
      </c>
      <c r="AE239" s="284"/>
      <c r="AF239" s="284" t="str">
        <f>Table1[[#This Row],[Item Description]]&amp;Table1[[#This Row],[Unit]]&amp;Table1[[#This Row],[Unit Price]]</f>
        <v/>
      </c>
    </row>
    <row r="240" spans="1:32" x14ac:dyDescent="0.25">
      <c r="A240" s="288" t="str">
        <f ca="1">IF(Table1[[#This Row],[No. Invoice :]]="","",ROW())</f>
        <v/>
      </c>
      <c r="B240" s="288" t="str">
        <f ca="1">IF(Table1[h_Kode Sales :_1]="","",B$1+COUNT(INDIRECT("B$2:B"&amp;ROW()-1)))</f>
        <v/>
      </c>
      <c r="C240" s="282" t="str">
        <f>IF(Table1[[#This Row],[H_TGL]]="","",Table1[[#This Row],[H_TGL]]+C$1-1)</f>
        <v/>
      </c>
      <c r="H240" s="288" t="str">
        <f ca="1">IF(Table1[[#This Row],[h_No. Invoice :]]="","",CONCATENATE("AM"," ",Table1[[#This Row],[h_No. Invoice :]]))</f>
        <v/>
      </c>
      <c r="I240" s="289" t="str">
        <f>CONCATENATE(UPPER(Table1[[#This Row],[h_Kode Sales :_1]])," ",Table1[[#This Row],[h_Kode Sales :_2]])</f>
        <v xml:space="preserve"> </v>
      </c>
      <c r="J240" s="288" t="str">
        <f>IF(Table1[[#This Row],[h_toko]]="","",INDEX(Table2[e],IF(Table1[[#This Row],[h_toko]]="","",MATCH(Table1[[#This Row],[h_toko]],Table2[a],0)),))</f>
        <v/>
      </c>
      <c r="O240" s="288" t="str">
        <f>IF(Table1[[#This Row],[h_Item Description]]="","",INDEX([1]!db[NB PAJAK],MATCH(Table1[[#This Row],[h_Item Description]],[1]!db[kode],0)))</f>
        <v/>
      </c>
      <c r="Q240" s="284"/>
      <c r="R240" s="285"/>
      <c r="T240" s="284" t="str">
        <f>Table1[[#This Row],[h_hargasetelahdiskon]]</f>
        <v/>
      </c>
      <c r="W240" s="288" t="str">
        <f ca="1">IF(Table1[[#This Row],[Item Description]]="","",IF(Table1[[#This Row],[//]]="",INDIRECT(ADDRESS(ROW()-1,COLUMN())),Table1[[#This Row],[//]]))</f>
        <v/>
      </c>
      <c r="X240" s="288" t="str">
        <f ca="1">IF(Table1[[#This Row],[h_id]]="","",COUNTIF(Table1[h_id],Table1[[#This Row],[h_id]]))</f>
        <v/>
      </c>
      <c r="Y240" s="284" t="str">
        <f>IF(Table1[Item Description]="","",Table1[[#This Row],[Qty]]*Table1[[#This Row],[Unit Price]])</f>
        <v/>
      </c>
      <c r="Z240" s="284" t="str">
        <f>IF(Table1[[#This Row],[h_hargasebelumdiskon]]="","",IF(Table1[[#This Row],[Disc 1]]="",0,Table1[[#This Row],[h_hargasebelumdiskon]]*Table1[[#This Row],[Disc 1]]))</f>
        <v/>
      </c>
      <c r="AA240" s="284" t="str">
        <f>IF(Table1[[#This Row],[h_hargasebelumdiskon]]="","",IF(Table1[[#This Row],[Disc 2]]="",0,(Table1[[#This Row],[h_hargasebelumdiskon]]-Table1[[#This Row],[h_disc 1]])*Table1[[#This Row],[Disc 2]]))</f>
        <v/>
      </c>
      <c r="AB240" s="284" t="str">
        <f>IF(Table1[Item Description]="","",Table1[[#This Row],[h_disc 1]]+Table1[[#This Row],[h_disc 2]])</f>
        <v/>
      </c>
      <c r="AC240" s="284" t="str">
        <f>IF(Table1[Item Description]="","",Table1[[#This Row],[h_hargasebelumdiskon]]-Table1[[#This Row],[h_diskon]])</f>
        <v/>
      </c>
      <c r="AD240" s="284" t="str">
        <f ca="1">IF(Table1[//]="","",SUMIF(Table1[h_id],Table1[h_id],Table1[h_hargasetelahdiskon]))</f>
        <v/>
      </c>
      <c r="AE240" s="284"/>
      <c r="AF240" s="284" t="str">
        <f>Table1[[#This Row],[Item Description]]&amp;Table1[[#This Row],[Unit]]&amp;Table1[[#This Row],[Unit Price]]</f>
        <v/>
      </c>
    </row>
    <row r="241" spans="1:32" x14ac:dyDescent="0.25">
      <c r="A241" s="288" t="str">
        <f ca="1">IF(Table1[[#This Row],[No. Invoice :]]="","",ROW())</f>
        <v/>
      </c>
      <c r="B241" s="288" t="str">
        <f ca="1">IF(Table1[h_Kode Sales :_1]="","",B$1+COUNT(INDIRECT("B$2:B"&amp;ROW()-1)))</f>
        <v/>
      </c>
      <c r="C241" s="282" t="str">
        <f>IF(Table1[[#This Row],[H_TGL]]="","",Table1[[#This Row],[H_TGL]]+C$1-1)</f>
        <v/>
      </c>
      <c r="H241" s="288" t="str">
        <f ca="1">IF(Table1[[#This Row],[h_No. Invoice :]]="","",CONCATENATE("AM"," ",Table1[[#This Row],[h_No. Invoice :]]))</f>
        <v/>
      </c>
      <c r="I241" s="289" t="str">
        <f>CONCATENATE(UPPER(Table1[[#This Row],[h_Kode Sales :_1]])," ",Table1[[#This Row],[h_Kode Sales :_2]])</f>
        <v xml:space="preserve"> </v>
      </c>
      <c r="J241" s="288" t="str">
        <f>IF(Table1[[#This Row],[h_toko]]="","",INDEX(Table2[e],IF(Table1[[#This Row],[h_toko]]="","",MATCH(Table1[[#This Row],[h_toko]],Table2[a],0)),))</f>
        <v/>
      </c>
      <c r="O241" s="288" t="str">
        <f>IF(Table1[[#This Row],[h_Item Description]]="","",INDEX([1]!db[NB PAJAK],MATCH(Table1[[#This Row],[h_Item Description]],[1]!db[kode],0)))</f>
        <v/>
      </c>
      <c r="Q241" s="284"/>
      <c r="R241" s="285"/>
      <c r="T241" s="284" t="str">
        <f>Table1[[#This Row],[h_hargasetelahdiskon]]</f>
        <v/>
      </c>
      <c r="W241" s="288" t="str">
        <f ca="1">IF(Table1[[#This Row],[Item Description]]="","",IF(Table1[[#This Row],[//]]="",INDIRECT(ADDRESS(ROW()-1,COLUMN())),Table1[[#This Row],[//]]))</f>
        <v/>
      </c>
      <c r="X241" s="288" t="str">
        <f ca="1">IF(Table1[[#This Row],[h_id]]="","",COUNTIF(Table1[h_id],Table1[[#This Row],[h_id]]))</f>
        <v/>
      </c>
      <c r="Y241" s="284" t="str">
        <f>IF(Table1[Item Description]="","",Table1[[#This Row],[Qty]]*Table1[[#This Row],[Unit Price]])</f>
        <v/>
      </c>
      <c r="Z241" s="284" t="str">
        <f>IF(Table1[[#This Row],[h_hargasebelumdiskon]]="","",IF(Table1[[#This Row],[Disc 1]]="",0,Table1[[#This Row],[h_hargasebelumdiskon]]*Table1[[#This Row],[Disc 1]]))</f>
        <v/>
      </c>
      <c r="AA241" s="284" t="str">
        <f>IF(Table1[[#This Row],[h_hargasebelumdiskon]]="","",IF(Table1[[#This Row],[Disc 2]]="",0,(Table1[[#This Row],[h_hargasebelumdiskon]]-Table1[[#This Row],[h_disc 1]])*Table1[[#This Row],[Disc 2]]))</f>
        <v/>
      </c>
      <c r="AB241" s="284" t="str">
        <f>IF(Table1[Item Description]="","",Table1[[#This Row],[h_disc 1]]+Table1[[#This Row],[h_disc 2]])</f>
        <v/>
      </c>
      <c r="AC241" s="284" t="str">
        <f>IF(Table1[Item Description]="","",Table1[[#This Row],[h_hargasebelumdiskon]]-Table1[[#This Row],[h_diskon]])</f>
        <v/>
      </c>
      <c r="AD241" s="284" t="str">
        <f ca="1">IF(Table1[//]="","",SUMIF(Table1[h_id],Table1[h_id],Table1[h_hargasetelahdiskon]))</f>
        <v/>
      </c>
      <c r="AE241" s="284"/>
      <c r="AF241" s="284" t="str">
        <f>Table1[[#This Row],[Item Description]]&amp;Table1[[#This Row],[Unit]]&amp;Table1[[#This Row],[Unit Price]]</f>
        <v/>
      </c>
    </row>
    <row r="242" spans="1:32" x14ac:dyDescent="0.25">
      <c r="A242" s="288" t="str">
        <f ca="1">IF(Table1[[#This Row],[No. Invoice :]]="","",ROW())</f>
        <v/>
      </c>
      <c r="B242" s="288" t="str">
        <f ca="1">IF(Table1[h_Kode Sales :_1]="","",B$1+COUNT(INDIRECT("B$2:B"&amp;ROW()-1)))</f>
        <v/>
      </c>
      <c r="C242" s="282" t="str">
        <f>IF(Table1[[#This Row],[H_TGL]]="","",Table1[[#This Row],[H_TGL]]+C$1-1)</f>
        <v/>
      </c>
      <c r="H242" s="288" t="str">
        <f ca="1">IF(Table1[[#This Row],[h_No. Invoice :]]="","",CONCATENATE("AM"," ",Table1[[#This Row],[h_No. Invoice :]]))</f>
        <v/>
      </c>
      <c r="I242" s="289" t="str">
        <f>CONCATENATE(UPPER(Table1[[#This Row],[h_Kode Sales :_1]])," ",Table1[[#This Row],[h_Kode Sales :_2]])</f>
        <v xml:space="preserve"> </v>
      </c>
      <c r="J242" s="288" t="str">
        <f>IF(Table1[[#This Row],[h_toko]]="","",INDEX(Table2[e],IF(Table1[[#This Row],[h_toko]]="","",MATCH(Table1[[#This Row],[h_toko]],Table2[a],0)),))</f>
        <v/>
      </c>
      <c r="O242" s="288" t="str">
        <f>IF(Table1[[#This Row],[h_Item Description]]="","",INDEX([1]!db[NB PAJAK],MATCH(Table1[[#This Row],[h_Item Description]],[1]!db[kode],0)))</f>
        <v/>
      </c>
      <c r="Q242" s="284"/>
      <c r="R242" s="285"/>
      <c r="T242" s="284" t="str">
        <f>Table1[[#This Row],[h_hargasetelahdiskon]]</f>
        <v/>
      </c>
      <c r="W242" s="288" t="str">
        <f ca="1">IF(Table1[[#This Row],[Item Description]]="","",IF(Table1[[#This Row],[//]]="",INDIRECT(ADDRESS(ROW()-1,COLUMN())),Table1[[#This Row],[//]]))</f>
        <v/>
      </c>
      <c r="X242" s="288" t="str">
        <f ca="1">IF(Table1[[#This Row],[h_id]]="","",COUNTIF(Table1[h_id],Table1[[#This Row],[h_id]]))</f>
        <v/>
      </c>
      <c r="Y242" s="284" t="str">
        <f>IF(Table1[Item Description]="","",Table1[[#This Row],[Qty]]*Table1[[#This Row],[Unit Price]])</f>
        <v/>
      </c>
      <c r="Z242" s="284" t="str">
        <f>IF(Table1[[#This Row],[h_hargasebelumdiskon]]="","",IF(Table1[[#This Row],[Disc 1]]="",0,Table1[[#This Row],[h_hargasebelumdiskon]]*Table1[[#This Row],[Disc 1]]))</f>
        <v/>
      </c>
      <c r="AA242" s="284" t="str">
        <f>IF(Table1[[#This Row],[h_hargasebelumdiskon]]="","",IF(Table1[[#This Row],[Disc 2]]="",0,(Table1[[#This Row],[h_hargasebelumdiskon]]-Table1[[#This Row],[h_disc 1]])*Table1[[#This Row],[Disc 2]]))</f>
        <v/>
      </c>
      <c r="AB242" s="284" t="str">
        <f>IF(Table1[Item Description]="","",Table1[[#This Row],[h_disc 1]]+Table1[[#This Row],[h_disc 2]])</f>
        <v/>
      </c>
      <c r="AC242" s="284" t="str">
        <f>IF(Table1[Item Description]="","",Table1[[#This Row],[h_hargasebelumdiskon]]-Table1[[#This Row],[h_diskon]])</f>
        <v/>
      </c>
      <c r="AD242" s="284" t="str">
        <f ca="1">IF(Table1[//]="","",SUMIF(Table1[h_id],Table1[h_id],Table1[h_hargasetelahdiskon]))</f>
        <v/>
      </c>
      <c r="AE242" s="284"/>
      <c r="AF242" s="284" t="str">
        <f>Table1[[#This Row],[Item Description]]&amp;Table1[[#This Row],[Unit]]&amp;Table1[[#This Row],[Unit Price]]</f>
        <v/>
      </c>
    </row>
    <row r="243" spans="1:32" x14ac:dyDescent="0.25">
      <c r="A243" s="288" t="str">
        <f ca="1">IF(Table1[[#This Row],[No. Invoice :]]="","",ROW())</f>
        <v/>
      </c>
      <c r="B243" s="288" t="str">
        <f ca="1">IF(Table1[h_Kode Sales :_1]="","",B$1+COUNT(INDIRECT("B$2:B"&amp;ROW()-1)))</f>
        <v/>
      </c>
      <c r="C243" s="282" t="str">
        <f>IF(Table1[[#This Row],[H_TGL]]="","",Table1[[#This Row],[H_TGL]]+C$1-1)</f>
        <v/>
      </c>
      <c r="H243" s="288" t="str">
        <f ca="1">IF(Table1[[#This Row],[h_No. Invoice :]]="","",CONCATENATE("AM"," ",Table1[[#This Row],[h_No. Invoice :]]))</f>
        <v/>
      </c>
      <c r="I243" s="289" t="str">
        <f>CONCATENATE(UPPER(Table1[[#This Row],[h_Kode Sales :_1]])," ",Table1[[#This Row],[h_Kode Sales :_2]])</f>
        <v xml:space="preserve"> </v>
      </c>
      <c r="J243" s="288" t="str">
        <f>IF(Table1[[#This Row],[h_toko]]="","",INDEX(Table2[e],IF(Table1[[#This Row],[h_toko]]="","",MATCH(Table1[[#This Row],[h_toko]],Table2[a],0)),))</f>
        <v/>
      </c>
      <c r="O243" s="288" t="str">
        <f>IF(Table1[[#This Row],[h_Item Description]]="","",INDEX([1]!db[NB PAJAK],MATCH(Table1[[#This Row],[h_Item Description]],[1]!db[kode],0)))</f>
        <v/>
      </c>
      <c r="Q243" s="284"/>
      <c r="R243" s="285"/>
      <c r="T243" s="284" t="str">
        <f>Table1[[#This Row],[h_hargasetelahdiskon]]</f>
        <v/>
      </c>
      <c r="W243" s="288" t="str">
        <f ca="1">IF(Table1[[#This Row],[Item Description]]="","",IF(Table1[[#This Row],[//]]="",INDIRECT(ADDRESS(ROW()-1,COLUMN())),Table1[[#This Row],[//]]))</f>
        <v/>
      </c>
      <c r="X243" s="288" t="str">
        <f ca="1">IF(Table1[[#This Row],[h_id]]="","",COUNTIF(Table1[h_id],Table1[[#This Row],[h_id]]))</f>
        <v/>
      </c>
      <c r="Y243" s="284" t="str">
        <f>IF(Table1[Item Description]="","",Table1[[#This Row],[Qty]]*Table1[[#This Row],[Unit Price]])</f>
        <v/>
      </c>
      <c r="Z243" s="284" t="str">
        <f>IF(Table1[[#This Row],[h_hargasebelumdiskon]]="","",IF(Table1[[#This Row],[Disc 1]]="",0,Table1[[#This Row],[h_hargasebelumdiskon]]*Table1[[#This Row],[Disc 1]]))</f>
        <v/>
      </c>
      <c r="AA243" s="284" t="str">
        <f>IF(Table1[[#This Row],[h_hargasebelumdiskon]]="","",IF(Table1[[#This Row],[Disc 2]]="",0,(Table1[[#This Row],[h_hargasebelumdiskon]]-Table1[[#This Row],[h_disc 1]])*Table1[[#This Row],[Disc 2]]))</f>
        <v/>
      </c>
      <c r="AB243" s="284" t="str">
        <f>IF(Table1[Item Description]="","",Table1[[#This Row],[h_disc 1]]+Table1[[#This Row],[h_disc 2]])</f>
        <v/>
      </c>
      <c r="AC243" s="284" t="str">
        <f>IF(Table1[Item Description]="","",Table1[[#This Row],[h_hargasebelumdiskon]]-Table1[[#This Row],[h_diskon]])</f>
        <v/>
      </c>
      <c r="AD243" s="284" t="str">
        <f ca="1">IF(Table1[//]="","",SUMIF(Table1[h_id],Table1[h_id],Table1[h_hargasetelahdiskon]))</f>
        <v/>
      </c>
      <c r="AE243" s="284"/>
      <c r="AF243" s="284" t="str">
        <f>Table1[[#This Row],[Item Description]]&amp;Table1[[#This Row],[Unit]]&amp;Table1[[#This Row],[Unit Price]]</f>
        <v/>
      </c>
    </row>
    <row r="244" spans="1:32" x14ac:dyDescent="0.25">
      <c r="A244" s="288" t="str">
        <f ca="1">IF(Table1[[#This Row],[No. Invoice :]]="","",ROW())</f>
        <v/>
      </c>
      <c r="B244" s="288" t="str">
        <f ca="1">IF(Table1[h_Kode Sales :_1]="","",B$1+COUNT(INDIRECT("B$2:B"&amp;ROW()-1)))</f>
        <v/>
      </c>
      <c r="C244" s="282" t="str">
        <f>IF(Table1[[#This Row],[H_TGL]]="","",Table1[[#This Row],[H_TGL]]+C$1-1)</f>
        <v/>
      </c>
      <c r="H244" s="288" t="str">
        <f ca="1">IF(Table1[[#This Row],[h_No. Invoice :]]="","",CONCATENATE("AM"," ",Table1[[#This Row],[h_No. Invoice :]]))</f>
        <v/>
      </c>
      <c r="I244" s="289" t="str">
        <f>CONCATENATE(UPPER(Table1[[#This Row],[h_Kode Sales :_1]])," ",Table1[[#This Row],[h_Kode Sales :_2]])</f>
        <v xml:space="preserve"> </v>
      </c>
      <c r="J244" s="288" t="str">
        <f>IF(Table1[[#This Row],[h_toko]]="","",INDEX(Table2[e],IF(Table1[[#This Row],[h_toko]]="","",MATCH(Table1[[#This Row],[h_toko]],Table2[a],0)),))</f>
        <v/>
      </c>
      <c r="O244" s="288" t="str">
        <f>IF(Table1[[#This Row],[h_Item Description]]="","",INDEX([1]!db[NB PAJAK],MATCH(Table1[[#This Row],[h_Item Description]],[1]!db[kode],0)))</f>
        <v/>
      </c>
      <c r="Q244" s="284"/>
      <c r="R244" s="285"/>
      <c r="T244" s="284" t="str">
        <f>Table1[[#This Row],[h_hargasetelahdiskon]]</f>
        <v/>
      </c>
      <c r="W244" s="288" t="str">
        <f ca="1">IF(Table1[[#This Row],[Item Description]]="","",IF(Table1[[#This Row],[//]]="",INDIRECT(ADDRESS(ROW()-1,COLUMN())),Table1[[#This Row],[//]]))</f>
        <v/>
      </c>
      <c r="X244" s="288" t="str">
        <f ca="1">IF(Table1[[#This Row],[h_id]]="","",COUNTIF(Table1[h_id],Table1[[#This Row],[h_id]]))</f>
        <v/>
      </c>
      <c r="Y244" s="284" t="str">
        <f>IF(Table1[Item Description]="","",Table1[[#This Row],[Qty]]*Table1[[#This Row],[Unit Price]])</f>
        <v/>
      </c>
      <c r="Z244" s="284" t="str">
        <f>IF(Table1[[#This Row],[h_hargasebelumdiskon]]="","",IF(Table1[[#This Row],[Disc 1]]="",0,Table1[[#This Row],[h_hargasebelumdiskon]]*Table1[[#This Row],[Disc 1]]))</f>
        <v/>
      </c>
      <c r="AA244" s="284" t="str">
        <f>IF(Table1[[#This Row],[h_hargasebelumdiskon]]="","",IF(Table1[[#This Row],[Disc 2]]="",0,(Table1[[#This Row],[h_hargasebelumdiskon]]-Table1[[#This Row],[h_disc 1]])*Table1[[#This Row],[Disc 2]]))</f>
        <v/>
      </c>
      <c r="AB244" s="284" t="str">
        <f>IF(Table1[Item Description]="","",Table1[[#This Row],[h_disc 1]]+Table1[[#This Row],[h_disc 2]])</f>
        <v/>
      </c>
      <c r="AC244" s="284" t="str">
        <f>IF(Table1[Item Description]="","",Table1[[#This Row],[h_hargasebelumdiskon]]-Table1[[#This Row],[h_diskon]])</f>
        <v/>
      </c>
      <c r="AD244" s="284" t="str">
        <f ca="1">IF(Table1[//]="","",SUMIF(Table1[h_id],Table1[h_id],Table1[h_hargasetelahdiskon]))</f>
        <v/>
      </c>
      <c r="AE244" s="284"/>
      <c r="AF244" s="284" t="str">
        <f>Table1[[#This Row],[Item Description]]&amp;Table1[[#This Row],[Unit]]&amp;Table1[[#This Row],[Unit Price]]</f>
        <v/>
      </c>
    </row>
    <row r="245" spans="1:32" x14ac:dyDescent="0.25">
      <c r="A245" s="288" t="str">
        <f ca="1">IF(Table1[[#This Row],[No. Invoice :]]="","",ROW())</f>
        <v/>
      </c>
      <c r="B245" s="288" t="str">
        <f ca="1">IF(Table1[h_Kode Sales :_1]="","",B$1+COUNT(INDIRECT("B$2:B"&amp;ROW()-1)))</f>
        <v/>
      </c>
      <c r="C245" s="282" t="str">
        <f>IF(Table1[[#This Row],[H_TGL]]="","",Table1[[#This Row],[H_TGL]]+C$1-1)</f>
        <v/>
      </c>
      <c r="H245" s="288" t="str">
        <f ca="1">IF(Table1[[#This Row],[h_No. Invoice :]]="","",CONCATENATE("AM"," ",Table1[[#This Row],[h_No. Invoice :]]))</f>
        <v/>
      </c>
      <c r="I245" s="289" t="str">
        <f>CONCATENATE(UPPER(Table1[[#This Row],[h_Kode Sales :_1]])," ",Table1[[#This Row],[h_Kode Sales :_2]])</f>
        <v xml:space="preserve"> </v>
      </c>
      <c r="J245" s="288" t="str">
        <f>IF(Table1[[#This Row],[h_toko]]="","",INDEX(Table2[e],IF(Table1[[#This Row],[h_toko]]="","",MATCH(Table1[[#This Row],[h_toko]],Table2[a],0)),))</f>
        <v/>
      </c>
      <c r="O245" s="288" t="str">
        <f>IF(Table1[[#This Row],[h_Item Description]]="","",INDEX([1]!db[NB PAJAK],MATCH(Table1[[#This Row],[h_Item Description]],[1]!db[kode],0)))</f>
        <v/>
      </c>
      <c r="Q245" s="284"/>
      <c r="R245" s="285"/>
      <c r="T245" s="284" t="str">
        <f>Table1[[#This Row],[h_hargasetelahdiskon]]</f>
        <v/>
      </c>
      <c r="W245" s="288" t="str">
        <f ca="1">IF(Table1[[#This Row],[Item Description]]="","",IF(Table1[[#This Row],[//]]="",INDIRECT(ADDRESS(ROW()-1,COLUMN())),Table1[[#This Row],[//]]))</f>
        <v/>
      </c>
      <c r="X245" s="288" t="str">
        <f ca="1">IF(Table1[[#This Row],[h_id]]="","",COUNTIF(Table1[h_id],Table1[[#This Row],[h_id]]))</f>
        <v/>
      </c>
      <c r="Y245" s="284" t="str">
        <f>IF(Table1[Item Description]="","",Table1[[#This Row],[Qty]]*Table1[[#This Row],[Unit Price]])</f>
        <v/>
      </c>
      <c r="Z245" s="284" t="str">
        <f>IF(Table1[[#This Row],[h_hargasebelumdiskon]]="","",IF(Table1[[#This Row],[Disc 1]]="",0,Table1[[#This Row],[h_hargasebelumdiskon]]*Table1[[#This Row],[Disc 1]]))</f>
        <v/>
      </c>
      <c r="AA245" s="284" t="str">
        <f>IF(Table1[[#This Row],[h_hargasebelumdiskon]]="","",IF(Table1[[#This Row],[Disc 2]]="",0,(Table1[[#This Row],[h_hargasebelumdiskon]]-Table1[[#This Row],[h_disc 1]])*Table1[[#This Row],[Disc 2]]))</f>
        <v/>
      </c>
      <c r="AB245" s="284" t="str">
        <f>IF(Table1[Item Description]="","",Table1[[#This Row],[h_disc 1]]+Table1[[#This Row],[h_disc 2]])</f>
        <v/>
      </c>
      <c r="AC245" s="284" t="str">
        <f>IF(Table1[Item Description]="","",Table1[[#This Row],[h_hargasebelumdiskon]]-Table1[[#This Row],[h_diskon]])</f>
        <v/>
      </c>
      <c r="AD245" s="284" t="str">
        <f ca="1">IF(Table1[//]="","",SUMIF(Table1[h_id],Table1[h_id],Table1[h_hargasetelahdiskon]))</f>
        <v/>
      </c>
      <c r="AE245" s="284"/>
      <c r="AF245" s="284" t="str">
        <f>Table1[[#This Row],[Item Description]]&amp;Table1[[#This Row],[Unit]]&amp;Table1[[#This Row],[Unit Price]]</f>
        <v/>
      </c>
    </row>
    <row r="246" spans="1:32" x14ac:dyDescent="0.25">
      <c r="A246" s="288" t="str">
        <f ca="1">IF(Table1[[#This Row],[No. Invoice :]]="","",ROW())</f>
        <v/>
      </c>
      <c r="B246" s="288" t="str">
        <f ca="1">IF(Table1[h_Kode Sales :_1]="","",B$1+COUNT(INDIRECT("B$2:B"&amp;ROW()-1)))</f>
        <v/>
      </c>
      <c r="C246" s="282" t="str">
        <f>IF(Table1[[#This Row],[H_TGL]]="","",Table1[[#This Row],[H_TGL]]+C$1-1)</f>
        <v/>
      </c>
      <c r="H246" s="288" t="str">
        <f ca="1">IF(Table1[[#This Row],[h_No. Invoice :]]="","",CONCATENATE("AM"," ",Table1[[#This Row],[h_No. Invoice :]]))</f>
        <v/>
      </c>
      <c r="I246" s="289" t="str">
        <f>CONCATENATE(UPPER(Table1[[#This Row],[h_Kode Sales :_1]])," ",Table1[[#This Row],[h_Kode Sales :_2]])</f>
        <v xml:space="preserve"> </v>
      </c>
      <c r="J246" s="288" t="str">
        <f>IF(Table1[[#This Row],[h_toko]]="","",INDEX(Table2[e],IF(Table1[[#This Row],[h_toko]]="","",MATCH(Table1[[#This Row],[h_toko]],Table2[a],0)),))</f>
        <v/>
      </c>
      <c r="O246" s="288" t="str">
        <f>IF(Table1[[#This Row],[h_Item Description]]="","",INDEX([1]!db[NB PAJAK],MATCH(Table1[[#This Row],[h_Item Description]],[1]!db[kode],0)))</f>
        <v/>
      </c>
      <c r="Q246" s="284"/>
      <c r="R246" s="285"/>
      <c r="T246" s="284" t="str">
        <f>Table1[[#This Row],[h_hargasetelahdiskon]]</f>
        <v/>
      </c>
      <c r="W246" s="288" t="str">
        <f ca="1">IF(Table1[[#This Row],[Item Description]]="","",IF(Table1[[#This Row],[//]]="",INDIRECT(ADDRESS(ROW()-1,COLUMN())),Table1[[#This Row],[//]]))</f>
        <v/>
      </c>
      <c r="X246" s="288" t="str">
        <f ca="1">IF(Table1[[#This Row],[h_id]]="","",COUNTIF(Table1[h_id],Table1[[#This Row],[h_id]]))</f>
        <v/>
      </c>
      <c r="Y246" s="284" t="str">
        <f>IF(Table1[Item Description]="","",Table1[[#This Row],[Qty]]*Table1[[#This Row],[Unit Price]])</f>
        <v/>
      </c>
      <c r="Z246" s="284" t="str">
        <f>IF(Table1[[#This Row],[h_hargasebelumdiskon]]="","",IF(Table1[[#This Row],[Disc 1]]="",0,Table1[[#This Row],[h_hargasebelumdiskon]]*Table1[[#This Row],[Disc 1]]))</f>
        <v/>
      </c>
      <c r="AA246" s="284" t="str">
        <f>IF(Table1[[#This Row],[h_hargasebelumdiskon]]="","",IF(Table1[[#This Row],[Disc 2]]="",0,(Table1[[#This Row],[h_hargasebelumdiskon]]-Table1[[#This Row],[h_disc 1]])*Table1[[#This Row],[Disc 2]]))</f>
        <v/>
      </c>
      <c r="AB246" s="284" t="str">
        <f>IF(Table1[Item Description]="","",Table1[[#This Row],[h_disc 1]]+Table1[[#This Row],[h_disc 2]])</f>
        <v/>
      </c>
      <c r="AC246" s="284" t="str">
        <f>IF(Table1[Item Description]="","",Table1[[#This Row],[h_hargasebelumdiskon]]-Table1[[#This Row],[h_diskon]])</f>
        <v/>
      </c>
      <c r="AD246" s="284" t="str">
        <f ca="1">IF(Table1[//]="","",SUMIF(Table1[h_id],Table1[h_id],Table1[h_hargasetelahdiskon]))</f>
        <v/>
      </c>
      <c r="AE246" s="284"/>
      <c r="AF246" s="284" t="str">
        <f>Table1[[#This Row],[Item Description]]&amp;Table1[[#This Row],[Unit]]&amp;Table1[[#This Row],[Unit Price]]</f>
        <v/>
      </c>
    </row>
    <row r="247" spans="1:32" x14ac:dyDescent="0.25">
      <c r="A247" s="288" t="str">
        <f ca="1">IF(Table1[[#This Row],[No. Invoice :]]="","",ROW())</f>
        <v/>
      </c>
      <c r="B247" s="288" t="str">
        <f ca="1">IF(Table1[h_Kode Sales :_1]="","",B$1+COUNT(INDIRECT("B$2:B"&amp;ROW()-1)))</f>
        <v/>
      </c>
      <c r="C247" s="282" t="str">
        <f>IF(Table1[[#This Row],[H_TGL]]="","",Table1[[#This Row],[H_TGL]]+C$1-1)</f>
        <v/>
      </c>
      <c r="H247" s="288" t="str">
        <f ca="1">IF(Table1[[#This Row],[h_No. Invoice :]]="","",CONCATENATE("AM"," ",Table1[[#This Row],[h_No. Invoice :]]))</f>
        <v/>
      </c>
      <c r="I247" s="289" t="str">
        <f>CONCATENATE(UPPER(Table1[[#This Row],[h_Kode Sales :_1]])," ",Table1[[#This Row],[h_Kode Sales :_2]])</f>
        <v xml:space="preserve"> </v>
      </c>
      <c r="J247" s="288" t="str">
        <f>IF(Table1[[#This Row],[h_toko]]="","",INDEX(Table2[e],IF(Table1[[#This Row],[h_toko]]="","",MATCH(Table1[[#This Row],[h_toko]],Table2[a],0)),))</f>
        <v/>
      </c>
      <c r="O247" s="288" t="str">
        <f>IF(Table1[[#This Row],[h_Item Description]]="","",INDEX([1]!db[NB PAJAK],MATCH(Table1[[#This Row],[h_Item Description]],[1]!db[kode],0)))</f>
        <v/>
      </c>
      <c r="Q247" s="284"/>
      <c r="R247" s="285"/>
      <c r="T247" s="284" t="str">
        <f>Table1[[#This Row],[h_hargasetelahdiskon]]</f>
        <v/>
      </c>
      <c r="W247" s="288" t="str">
        <f ca="1">IF(Table1[[#This Row],[Item Description]]="","",IF(Table1[[#This Row],[//]]="",INDIRECT(ADDRESS(ROW()-1,COLUMN())),Table1[[#This Row],[//]]))</f>
        <v/>
      </c>
      <c r="X247" s="288" t="str">
        <f ca="1">IF(Table1[[#This Row],[h_id]]="","",COUNTIF(Table1[h_id],Table1[[#This Row],[h_id]]))</f>
        <v/>
      </c>
      <c r="Y247" s="284" t="str">
        <f>IF(Table1[Item Description]="","",Table1[[#This Row],[Qty]]*Table1[[#This Row],[Unit Price]])</f>
        <v/>
      </c>
      <c r="Z247" s="284" t="str">
        <f>IF(Table1[[#This Row],[h_hargasebelumdiskon]]="","",IF(Table1[[#This Row],[Disc 1]]="",0,Table1[[#This Row],[h_hargasebelumdiskon]]*Table1[[#This Row],[Disc 1]]))</f>
        <v/>
      </c>
      <c r="AA247" s="284" t="str">
        <f>IF(Table1[[#This Row],[h_hargasebelumdiskon]]="","",IF(Table1[[#This Row],[Disc 2]]="",0,(Table1[[#This Row],[h_hargasebelumdiskon]]-Table1[[#This Row],[h_disc 1]])*Table1[[#This Row],[Disc 2]]))</f>
        <v/>
      </c>
      <c r="AB247" s="284" t="str">
        <f>IF(Table1[Item Description]="","",Table1[[#This Row],[h_disc 1]]+Table1[[#This Row],[h_disc 2]])</f>
        <v/>
      </c>
      <c r="AC247" s="284" t="str">
        <f>IF(Table1[Item Description]="","",Table1[[#This Row],[h_hargasebelumdiskon]]-Table1[[#This Row],[h_diskon]])</f>
        <v/>
      </c>
      <c r="AD247" s="284" t="str">
        <f ca="1">IF(Table1[//]="","",SUMIF(Table1[h_id],Table1[h_id],Table1[h_hargasetelahdiskon]))</f>
        <v/>
      </c>
      <c r="AE247" s="284"/>
      <c r="AF247" s="284" t="str">
        <f>Table1[[#This Row],[Item Description]]&amp;Table1[[#This Row],[Unit]]&amp;Table1[[#This Row],[Unit Price]]</f>
        <v/>
      </c>
    </row>
    <row r="248" spans="1:32" x14ac:dyDescent="0.25">
      <c r="A248" s="288" t="str">
        <f ca="1">IF(Table1[[#This Row],[No. Invoice :]]="","",ROW())</f>
        <v/>
      </c>
      <c r="B248" s="288" t="str">
        <f ca="1">IF(Table1[h_Kode Sales :_1]="","",B$1+COUNT(INDIRECT("B$2:B"&amp;ROW()-1)))</f>
        <v/>
      </c>
      <c r="C248" s="282" t="str">
        <f>IF(Table1[[#This Row],[H_TGL]]="","",Table1[[#This Row],[H_TGL]]+C$1-1)</f>
        <v/>
      </c>
      <c r="H248" s="288" t="str">
        <f ca="1">IF(Table1[[#This Row],[h_No. Invoice :]]="","",CONCATENATE("AM"," ",Table1[[#This Row],[h_No. Invoice :]]))</f>
        <v/>
      </c>
      <c r="I248" s="289" t="str">
        <f>CONCATENATE(UPPER(Table1[[#This Row],[h_Kode Sales :_1]])," ",Table1[[#This Row],[h_Kode Sales :_2]])</f>
        <v xml:space="preserve"> </v>
      </c>
      <c r="J248" s="288" t="str">
        <f>IF(Table1[[#This Row],[h_toko]]="","",INDEX(Table2[e],IF(Table1[[#This Row],[h_toko]]="","",MATCH(Table1[[#This Row],[h_toko]],Table2[a],0)),))</f>
        <v/>
      </c>
      <c r="O248" s="288" t="str">
        <f>IF(Table1[[#This Row],[h_Item Description]]="","",INDEX([1]!db[NB PAJAK],MATCH(Table1[[#This Row],[h_Item Description]],[1]!db[kode],0)))</f>
        <v/>
      </c>
      <c r="Q248" s="284"/>
      <c r="R248" s="285"/>
      <c r="T248" s="284" t="str">
        <f>Table1[[#This Row],[h_hargasetelahdiskon]]</f>
        <v/>
      </c>
      <c r="W248" s="288" t="str">
        <f ca="1">IF(Table1[[#This Row],[Item Description]]="","",IF(Table1[[#This Row],[//]]="",INDIRECT(ADDRESS(ROW()-1,COLUMN())),Table1[[#This Row],[//]]))</f>
        <v/>
      </c>
      <c r="X248" s="288" t="str">
        <f ca="1">IF(Table1[[#This Row],[h_id]]="","",COUNTIF(Table1[h_id],Table1[[#This Row],[h_id]]))</f>
        <v/>
      </c>
      <c r="Y248" s="284" t="str">
        <f>IF(Table1[Item Description]="","",Table1[[#This Row],[Qty]]*Table1[[#This Row],[Unit Price]])</f>
        <v/>
      </c>
      <c r="Z248" s="284" t="str">
        <f>IF(Table1[[#This Row],[h_hargasebelumdiskon]]="","",IF(Table1[[#This Row],[Disc 1]]="",0,Table1[[#This Row],[h_hargasebelumdiskon]]*Table1[[#This Row],[Disc 1]]))</f>
        <v/>
      </c>
      <c r="AA248" s="284" t="str">
        <f>IF(Table1[[#This Row],[h_hargasebelumdiskon]]="","",IF(Table1[[#This Row],[Disc 2]]="",0,(Table1[[#This Row],[h_hargasebelumdiskon]]-Table1[[#This Row],[h_disc 1]])*Table1[[#This Row],[Disc 2]]))</f>
        <v/>
      </c>
      <c r="AB248" s="284" t="str">
        <f>IF(Table1[Item Description]="","",Table1[[#This Row],[h_disc 1]]+Table1[[#This Row],[h_disc 2]])</f>
        <v/>
      </c>
      <c r="AC248" s="284" t="str">
        <f>IF(Table1[Item Description]="","",Table1[[#This Row],[h_hargasebelumdiskon]]-Table1[[#This Row],[h_diskon]])</f>
        <v/>
      </c>
      <c r="AD248" s="284" t="str">
        <f ca="1">IF(Table1[//]="","",SUMIF(Table1[h_id],Table1[h_id],Table1[h_hargasetelahdiskon]))</f>
        <v/>
      </c>
      <c r="AE248" s="284"/>
      <c r="AF248" s="284" t="str">
        <f>Table1[[#This Row],[Item Description]]&amp;Table1[[#This Row],[Unit]]&amp;Table1[[#This Row],[Unit Price]]</f>
        <v/>
      </c>
    </row>
    <row r="249" spans="1:32" x14ac:dyDescent="0.25">
      <c r="A249" s="288" t="str">
        <f ca="1">IF(Table1[[#This Row],[No. Invoice :]]="","",ROW())</f>
        <v/>
      </c>
      <c r="B249" s="288" t="str">
        <f ca="1">IF(Table1[h_Kode Sales :_1]="","",B$1+COUNT(INDIRECT("B$2:B"&amp;ROW()-1)))</f>
        <v/>
      </c>
      <c r="C249" s="282" t="str">
        <f>IF(Table1[[#This Row],[H_TGL]]="","",Table1[[#This Row],[H_TGL]]+C$1-1)</f>
        <v/>
      </c>
      <c r="H249" s="288" t="str">
        <f ca="1">IF(Table1[[#This Row],[h_No. Invoice :]]="","",CONCATENATE("AM"," ",Table1[[#This Row],[h_No. Invoice :]]))</f>
        <v/>
      </c>
      <c r="I249" s="289" t="str">
        <f>CONCATENATE(UPPER(Table1[[#This Row],[h_Kode Sales :_1]])," ",Table1[[#This Row],[h_Kode Sales :_2]])</f>
        <v xml:space="preserve"> </v>
      </c>
      <c r="J249" s="288" t="str">
        <f>IF(Table1[[#This Row],[h_toko]]="","",INDEX(Table2[e],IF(Table1[[#This Row],[h_toko]]="","",MATCH(Table1[[#This Row],[h_toko]],Table2[a],0)),))</f>
        <v/>
      </c>
      <c r="O249" s="288" t="str">
        <f>IF(Table1[[#This Row],[h_Item Description]]="","",INDEX([1]!db[NB PAJAK],MATCH(Table1[[#This Row],[h_Item Description]],[1]!db[kode],0)))</f>
        <v/>
      </c>
      <c r="Q249" s="284"/>
      <c r="R249" s="285"/>
      <c r="T249" s="284" t="str">
        <f>Table1[[#This Row],[h_hargasetelahdiskon]]</f>
        <v/>
      </c>
      <c r="W249" s="288" t="str">
        <f ca="1">IF(Table1[[#This Row],[Item Description]]="","",IF(Table1[[#This Row],[//]]="",INDIRECT(ADDRESS(ROW()-1,COLUMN())),Table1[[#This Row],[//]]))</f>
        <v/>
      </c>
      <c r="X249" s="288" t="str">
        <f ca="1">IF(Table1[[#This Row],[h_id]]="","",COUNTIF(Table1[h_id],Table1[[#This Row],[h_id]]))</f>
        <v/>
      </c>
      <c r="Y249" s="284" t="str">
        <f>IF(Table1[Item Description]="","",Table1[[#This Row],[Qty]]*Table1[[#This Row],[Unit Price]])</f>
        <v/>
      </c>
      <c r="Z249" s="284" t="str">
        <f>IF(Table1[[#This Row],[h_hargasebelumdiskon]]="","",IF(Table1[[#This Row],[Disc 1]]="",0,Table1[[#This Row],[h_hargasebelumdiskon]]*Table1[[#This Row],[Disc 1]]))</f>
        <v/>
      </c>
      <c r="AA249" s="284" t="str">
        <f>IF(Table1[[#This Row],[h_hargasebelumdiskon]]="","",IF(Table1[[#This Row],[Disc 2]]="",0,(Table1[[#This Row],[h_hargasebelumdiskon]]-Table1[[#This Row],[h_disc 1]])*Table1[[#This Row],[Disc 2]]))</f>
        <v/>
      </c>
      <c r="AB249" s="284" t="str">
        <f>IF(Table1[Item Description]="","",Table1[[#This Row],[h_disc 1]]+Table1[[#This Row],[h_disc 2]])</f>
        <v/>
      </c>
      <c r="AC249" s="284" t="str">
        <f>IF(Table1[Item Description]="","",Table1[[#This Row],[h_hargasebelumdiskon]]-Table1[[#This Row],[h_diskon]])</f>
        <v/>
      </c>
      <c r="AD249" s="284" t="str">
        <f ca="1">IF(Table1[//]="","",SUMIF(Table1[h_id],Table1[h_id],Table1[h_hargasetelahdiskon]))</f>
        <v/>
      </c>
      <c r="AE249" s="284"/>
      <c r="AF249" s="284" t="str">
        <f>Table1[[#This Row],[Item Description]]&amp;Table1[[#This Row],[Unit]]&amp;Table1[[#This Row],[Unit Price]]</f>
        <v/>
      </c>
    </row>
    <row r="250" spans="1:32" x14ac:dyDescent="0.25">
      <c r="A250" s="288" t="str">
        <f ca="1">IF(Table1[[#This Row],[No. Invoice :]]="","",ROW())</f>
        <v/>
      </c>
      <c r="B250" s="288" t="str">
        <f ca="1">IF(Table1[h_Kode Sales :_1]="","",B$1+COUNT(INDIRECT("B$2:B"&amp;ROW()-1)))</f>
        <v/>
      </c>
      <c r="C250" s="282" t="str">
        <f>IF(Table1[[#This Row],[H_TGL]]="","",Table1[[#This Row],[H_TGL]]+C$1-1)</f>
        <v/>
      </c>
      <c r="H250" s="288" t="str">
        <f ca="1">IF(Table1[[#This Row],[h_No. Invoice :]]="","",CONCATENATE("AM"," ",Table1[[#This Row],[h_No. Invoice :]]))</f>
        <v/>
      </c>
      <c r="I250" s="289" t="str">
        <f>CONCATENATE(UPPER(Table1[[#This Row],[h_Kode Sales :_1]])," ",Table1[[#This Row],[h_Kode Sales :_2]])</f>
        <v xml:space="preserve"> </v>
      </c>
      <c r="J250" s="288" t="str">
        <f>IF(Table1[[#This Row],[h_toko]]="","",INDEX(Table2[e],IF(Table1[[#This Row],[h_toko]]="","",MATCH(Table1[[#This Row],[h_toko]],Table2[a],0)),))</f>
        <v/>
      </c>
      <c r="O250" s="288" t="str">
        <f>IF(Table1[[#This Row],[h_Item Description]]="","",INDEX([1]!db[NB PAJAK],MATCH(Table1[[#This Row],[h_Item Description]],[1]!db[kode],0)))</f>
        <v/>
      </c>
      <c r="Q250" s="284"/>
      <c r="R250" s="285"/>
      <c r="T250" s="284" t="str">
        <f>Table1[[#This Row],[h_hargasetelahdiskon]]</f>
        <v/>
      </c>
      <c r="W250" s="288" t="str">
        <f ca="1">IF(Table1[[#This Row],[Item Description]]="","",IF(Table1[[#This Row],[//]]="",INDIRECT(ADDRESS(ROW()-1,COLUMN())),Table1[[#This Row],[//]]))</f>
        <v/>
      </c>
      <c r="X250" s="288" t="str">
        <f ca="1">IF(Table1[[#This Row],[h_id]]="","",COUNTIF(Table1[h_id],Table1[[#This Row],[h_id]]))</f>
        <v/>
      </c>
      <c r="Y250" s="284" t="str">
        <f>IF(Table1[Item Description]="","",Table1[[#This Row],[Qty]]*Table1[[#This Row],[Unit Price]])</f>
        <v/>
      </c>
      <c r="Z250" s="284" t="str">
        <f>IF(Table1[[#This Row],[h_hargasebelumdiskon]]="","",IF(Table1[[#This Row],[Disc 1]]="",0,Table1[[#This Row],[h_hargasebelumdiskon]]*Table1[[#This Row],[Disc 1]]))</f>
        <v/>
      </c>
      <c r="AA250" s="284" t="str">
        <f>IF(Table1[[#This Row],[h_hargasebelumdiskon]]="","",IF(Table1[[#This Row],[Disc 2]]="",0,(Table1[[#This Row],[h_hargasebelumdiskon]]-Table1[[#This Row],[h_disc 1]])*Table1[[#This Row],[Disc 2]]))</f>
        <v/>
      </c>
      <c r="AB250" s="284" t="str">
        <f>IF(Table1[Item Description]="","",Table1[[#This Row],[h_disc 1]]+Table1[[#This Row],[h_disc 2]])</f>
        <v/>
      </c>
      <c r="AC250" s="284" t="str">
        <f>IF(Table1[Item Description]="","",Table1[[#This Row],[h_hargasebelumdiskon]]-Table1[[#This Row],[h_diskon]])</f>
        <v/>
      </c>
      <c r="AD250" s="284" t="str">
        <f ca="1">IF(Table1[//]="","",SUMIF(Table1[h_id],Table1[h_id],Table1[h_hargasetelahdiskon]))</f>
        <v/>
      </c>
      <c r="AE250" s="284"/>
      <c r="AF250" s="284" t="str">
        <f>Table1[[#This Row],[Item Description]]&amp;Table1[[#This Row],[Unit]]&amp;Table1[[#This Row],[Unit Price]]</f>
        <v/>
      </c>
    </row>
    <row r="251" spans="1:32" x14ac:dyDescent="0.25">
      <c r="A251" s="288" t="str">
        <f ca="1">IF(Table1[[#This Row],[No. Invoice :]]="","",ROW())</f>
        <v/>
      </c>
      <c r="B251" s="288" t="str">
        <f ca="1">IF(Table1[h_Kode Sales :_1]="","",B$1+COUNT(INDIRECT("B$2:B"&amp;ROW()-1)))</f>
        <v/>
      </c>
      <c r="C251" s="282" t="str">
        <f>IF(Table1[[#This Row],[H_TGL]]="","",Table1[[#This Row],[H_TGL]]+C$1-1)</f>
        <v/>
      </c>
      <c r="H251" s="288" t="str">
        <f ca="1">IF(Table1[[#This Row],[h_No. Invoice :]]="","",CONCATENATE("AM"," ",Table1[[#This Row],[h_No. Invoice :]]))</f>
        <v/>
      </c>
      <c r="I251" s="289" t="str">
        <f>CONCATENATE(UPPER(Table1[[#This Row],[h_Kode Sales :_1]])," ",Table1[[#This Row],[h_Kode Sales :_2]])</f>
        <v xml:space="preserve"> </v>
      </c>
      <c r="J251" s="288" t="str">
        <f>IF(Table1[[#This Row],[h_toko]]="","",INDEX(Table2[e],IF(Table1[[#This Row],[h_toko]]="","",MATCH(Table1[[#This Row],[h_toko]],Table2[a],0)),))</f>
        <v/>
      </c>
      <c r="O251" s="288" t="str">
        <f>IF(Table1[[#This Row],[h_Item Description]]="","",INDEX([1]!db[NB PAJAK],MATCH(Table1[[#This Row],[h_Item Description]],[1]!db[kode],0)))</f>
        <v/>
      </c>
      <c r="Q251" s="284"/>
      <c r="R251" s="285"/>
      <c r="T251" s="284" t="str">
        <f>Table1[[#This Row],[h_hargasetelahdiskon]]</f>
        <v/>
      </c>
      <c r="W251" s="288" t="str">
        <f ca="1">IF(Table1[[#This Row],[Item Description]]="","",IF(Table1[[#This Row],[//]]="",INDIRECT(ADDRESS(ROW()-1,COLUMN())),Table1[[#This Row],[//]]))</f>
        <v/>
      </c>
      <c r="X251" s="288" t="str">
        <f ca="1">IF(Table1[[#This Row],[h_id]]="","",COUNTIF(Table1[h_id],Table1[[#This Row],[h_id]]))</f>
        <v/>
      </c>
      <c r="Y251" s="284" t="str">
        <f>IF(Table1[Item Description]="","",Table1[[#This Row],[Qty]]*Table1[[#This Row],[Unit Price]])</f>
        <v/>
      </c>
      <c r="Z251" s="284" t="str">
        <f>IF(Table1[[#This Row],[h_hargasebelumdiskon]]="","",IF(Table1[[#This Row],[Disc 1]]="",0,Table1[[#This Row],[h_hargasebelumdiskon]]*Table1[[#This Row],[Disc 1]]))</f>
        <v/>
      </c>
      <c r="AA251" s="284" t="str">
        <f>IF(Table1[[#This Row],[h_hargasebelumdiskon]]="","",IF(Table1[[#This Row],[Disc 2]]="",0,(Table1[[#This Row],[h_hargasebelumdiskon]]-Table1[[#This Row],[h_disc 1]])*Table1[[#This Row],[Disc 2]]))</f>
        <v/>
      </c>
      <c r="AB251" s="284" t="str">
        <f>IF(Table1[Item Description]="","",Table1[[#This Row],[h_disc 1]]+Table1[[#This Row],[h_disc 2]])</f>
        <v/>
      </c>
      <c r="AC251" s="284" t="str">
        <f>IF(Table1[Item Description]="","",Table1[[#This Row],[h_hargasebelumdiskon]]-Table1[[#This Row],[h_diskon]])</f>
        <v/>
      </c>
      <c r="AD251" s="284" t="str">
        <f ca="1">IF(Table1[//]="","",SUMIF(Table1[h_id],Table1[h_id],Table1[h_hargasetelahdiskon]))</f>
        <v/>
      </c>
      <c r="AE251" s="284"/>
      <c r="AF251" s="284" t="str">
        <f>Table1[[#This Row],[Item Description]]&amp;Table1[[#This Row],[Unit]]&amp;Table1[[#This Row],[Unit Price]]</f>
        <v/>
      </c>
    </row>
    <row r="252" spans="1:32" x14ac:dyDescent="0.25">
      <c r="A252" s="288" t="str">
        <f ca="1">IF(Table1[[#This Row],[No. Invoice :]]="","",ROW())</f>
        <v/>
      </c>
      <c r="B252" s="288" t="str">
        <f ca="1">IF(Table1[h_Kode Sales :_1]="","",B$1+COUNT(INDIRECT("B$2:B"&amp;ROW()-1)))</f>
        <v/>
      </c>
      <c r="C252" s="282" t="str">
        <f>IF(Table1[[#This Row],[H_TGL]]="","",Table1[[#This Row],[H_TGL]]+C$1-1)</f>
        <v/>
      </c>
      <c r="H252" s="288" t="str">
        <f ca="1">IF(Table1[[#This Row],[h_No. Invoice :]]="","",CONCATENATE("AM"," ",Table1[[#This Row],[h_No. Invoice :]]))</f>
        <v/>
      </c>
      <c r="I252" s="289" t="str">
        <f>CONCATENATE(UPPER(Table1[[#This Row],[h_Kode Sales :_1]])," ",Table1[[#This Row],[h_Kode Sales :_2]])</f>
        <v xml:space="preserve"> </v>
      </c>
      <c r="J252" s="288" t="str">
        <f>IF(Table1[[#This Row],[h_toko]]="","",INDEX(Table2[e],IF(Table1[[#This Row],[h_toko]]="","",MATCH(Table1[[#This Row],[h_toko]],Table2[a],0)),))</f>
        <v/>
      </c>
      <c r="O252" s="288" t="str">
        <f>IF(Table1[[#This Row],[h_Item Description]]="","",INDEX([1]!db[NB PAJAK],MATCH(Table1[[#This Row],[h_Item Description]],[1]!db[kode],0)))</f>
        <v/>
      </c>
      <c r="Q252" s="284"/>
      <c r="R252" s="285"/>
      <c r="T252" s="284" t="str">
        <f>Table1[[#This Row],[h_hargasetelahdiskon]]</f>
        <v/>
      </c>
      <c r="W252" s="288" t="str">
        <f ca="1">IF(Table1[[#This Row],[Item Description]]="","",IF(Table1[[#This Row],[//]]="",INDIRECT(ADDRESS(ROW()-1,COLUMN())),Table1[[#This Row],[//]]))</f>
        <v/>
      </c>
      <c r="X252" s="288" t="str">
        <f ca="1">IF(Table1[[#This Row],[h_id]]="","",COUNTIF(Table1[h_id],Table1[[#This Row],[h_id]]))</f>
        <v/>
      </c>
      <c r="Y252" s="284" t="str">
        <f>IF(Table1[Item Description]="","",Table1[[#This Row],[Qty]]*Table1[[#This Row],[Unit Price]])</f>
        <v/>
      </c>
      <c r="Z252" s="284" t="str">
        <f>IF(Table1[[#This Row],[h_hargasebelumdiskon]]="","",IF(Table1[[#This Row],[Disc 1]]="",0,Table1[[#This Row],[h_hargasebelumdiskon]]*Table1[[#This Row],[Disc 1]]))</f>
        <v/>
      </c>
      <c r="AA252" s="284" t="str">
        <f>IF(Table1[[#This Row],[h_hargasebelumdiskon]]="","",IF(Table1[[#This Row],[Disc 2]]="",0,(Table1[[#This Row],[h_hargasebelumdiskon]]-Table1[[#This Row],[h_disc 1]])*Table1[[#This Row],[Disc 2]]))</f>
        <v/>
      </c>
      <c r="AB252" s="284" t="str">
        <f>IF(Table1[Item Description]="","",Table1[[#This Row],[h_disc 1]]+Table1[[#This Row],[h_disc 2]])</f>
        <v/>
      </c>
      <c r="AC252" s="284" t="str">
        <f>IF(Table1[Item Description]="","",Table1[[#This Row],[h_hargasebelumdiskon]]-Table1[[#This Row],[h_diskon]])</f>
        <v/>
      </c>
      <c r="AD252" s="284" t="str">
        <f ca="1">IF(Table1[//]="","",SUMIF(Table1[h_id],Table1[h_id],Table1[h_hargasetelahdiskon]))</f>
        <v/>
      </c>
      <c r="AE252" s="284"/>
      <c r="AF252" s="284" t="str">
        <f>Table1[[#This Row],[Item Description]]&amp;Table1[[#This Row],[Unit]]&amp;Table1[[#This Row],[Unit Price]]</f>
        <v/>
      </c>
    </row>
    <row r="253" spans="1:32" x14ac:dyDescent="0.25">
      <c r="A253" s="288" t="str">
        <f ca="1">IF(Table1[[#This Row],[No. Invoice :]]="","",ROW())</f>
        <v/>
      </c>
      <c r="B253" s="288" t="str">
        <f ca="1">IF(Table1[h_Kode Sales :_1]="","",B$1+COUNT(INDIRECT("B$2:B"&amp;ROW()-1)))</f>
        <v/>
      </c>
      <c r="C253" s="282" t="str">
        <f>IF(Table1[[#This Row],[H_TGL]]="","",Table1[[#This Row],[H_TGL]]+C$1-1)</f>
        <v/>
      </c>
      <c r="H253" s="288" t="str">
        <f ca="1">IF(Table1[[#This Row],[h_No. Invoice :]]="","",CONCATENATE("AM"," ",Table1[[#This Row],[h_No. Invoice :]]))</f>
        <v/>
      </c>
      <c r="I253" s="289" t="str">
        <f>CONCATENATE(UPPER(Table1[[#This Row],[h_Kode Sales :_1]])," ",Table1[[#This Row],[h_Kode Sales :_2]])</f>
        <v xml:space="preserve"> </v>
      </c>
      <c r="J253" s="288" t="str">
        <f>IF(Table1[[#This Row],[h_toko]]="","",INDEX(Table2[e],IF(Table1[[#This Row],[h_toko]]="","",MATCH(Table1[[#This Row],[h_toko]],Table2[a],0)),))</f>
        <v/>
      </c>
      <c r="O253" s="288" t="str">
        <f>IF(Table1[[#This Row],[h_Item Description]]="","",INDEX([1]!db[NB PAJAK],MATCH(Table1[[#This Row],[h_Item Description]],[1]!db[kode],0)))</f>
        <v/>
      </c>
      <c r="Q253" s="284"/>
      <c r="R253" s="285"/>
      <c r="T253" s="284" t="str">
        <f>Table1[[#This Row],[h_hargasetelahdiskon]]</f>
        <v/>
      </c>
      <c r="W253" s="288" t="str">
        <f ca="1">IF(Table1[[#This Row],[Item Description]]="","",IF(Table1[[#This Row],[//]]="",INDIRECT(ADDRESS(ROW()-1,COLUMN())),Table1[[#This Row],[//]]))</f>
        <v/>
      </c>
      <c r="X253" s="288" t="str">
        <f ca="1">IF(Table1[[#This Row],[h_id]]="","",COUNTIF(Table1[h_id],Table1[[#This Row],[h_id]]))</f>
        <v/>
      </c>
      <c r="Y253" s="284" t="str">
        <f>IF(Table1[Item Description]="","",Table1[[#This Row],[Qty]]*Table1[[#This Row],[Unit Price]])</f>
        <v/>
      </c>
      <c r="Z253" s="284" t="str">
        <f>IF(Table1[[#This Row],[h_hargasebelumdiskon]]="","",IF(Table1[[#This Row],[Disc 1]]="",0,Table1[[#This Row],[h_hargasebelumdiskon]]*Table1[[#This Row],[Disc 1]]))</f>
        <v/>
      </c>
      <c r="AA253" s="284" t="str">
        <f>IF(Table1[[#This Row],[h_hargasebelumdiskon]]="","",IF(Table1[[#This Row],[Disc 2]]="",0,(Table1[[#This Row],[h_hargasebelumdiskon]]-Table1[[#This Row],[h_disc 1]])*Table1[[#This Row],[Disc 2]]))</f>
        <v/>
      </c>
      <c r="AB253" s="284" t="str">
        <f>IF(Table1[Item Description]="","",Table1[[#This Row],[h_disc 1]]+Table1[[#This Row],[h_disc 2]])</f>
        <v/>
      </c>
      <c r="AC253" s="284" t="str">
        <f>IF(Table1[Item Description]="","",Table1[[#This Row],[h_hargasebelumdiskon]]-Table1[[#This Row],[h_diskon]])</f>
        <v/>
      </c>
      <c r="AD253" s="284" t="str">
        <f ca="1">IF(Table1[//]="","",SUMIF(Table1[h_id],Table1[h_id],Table1[h_hargasetelahdiskon]))</f>
        <v/>
      </c>
      <c r="AE253" s="284"/>
      <c r="AF253" s="284" t="str">
        <f>Table1[[#This Row],[Item Description]]&amp;Table1[[#This Row],[Unit]]&amp;Table1[[#This Row],[Unit Price]]</f>
        <v/>
      </c>
    </row>
    <row r="254" spans="1:32" x14ac:dyDescent="0.25">
      <c r="A254" s="288" t="str">
        <f ca="1">IF(Table1[[#This Row],[No. Invoice :]]="","",ROW())</f>
        <v/>
      </c>
      <c r="B254" s="288" t="str">
        <f ca="1">IF(Table1[h_Kode Sales :_1]="","",B$1+COUNT(INDIRECT("B$2:B"&amp;ROW()-1)))</f>
        <v/>
      </c>
      <c r="C254" s="282" t="str">
        <f>IF(Table1[[#This Row],[H_TGL]]="","",Table1[[#This Row],[H_TGL]]+C$1-1)</f>
        <v/>
      </c>
      <c r="H254" s="288" t="str">
        <f ca="1">IF(Table1[[#This Row],[h_No. Invoice :]]="","",CONCATENATE("AM"," ",Table1[[#This Row],[h_No. Invoice :]]))</f>
        <v/>
      </c>
      <c r="I254" s="289" t="str">
        <f>CONCATENATE(UPPER(Table1[[#This Row],[h_Kode Sales :_1]])," ",Table1[[#This Row],[h_Kode Sales :_2]])</f>
        <v xml:space="preserve"> </v>
      </c>
      <c r="J254" s="288" t="str">
        <f>IF(Table1[[#This Row],[h_toko]]="","",INDEX(Table2[e],IF(Table1[[#This Row],[h_toko]]="","",MATCH(Table1[[#This Row],[h_toko]],Table2[a],0)),))</f>
        <v/>
      </c>
      <c r="O254" s="288" t="str">
        <f>IF(Table1[[#This Row],[h_Item Description]]="","",INDEX([1]!db[NB PAJAK],MATCH(Table1[[#This Row],[h_Item Description]],[1]!db[kode],0)))</f>
        <v/>
      </c>
      <c r="Q254" s="284"/>
      <c r="R254" s="285"/>
      <c r="T254" s="284" t="str">
        <f>Table1[[#This Row],[h_hargasetelahdiskon]]</f>
        <v/>
      </c>
      <c r="W254" s="288" t="str">
        <f ca="1">IF(Table1[[#This Row],[Item Description]]="","",IF(Table1[[#This Row],[//]]="",INDIRECT(ADDRESS(ROW()-1,COLUMN())),Table1[[#This Row],[//]]))</f>
        <v/>
      </c>
      <c r="X254" s="288" t="str">
        <f ca="1">IF(Table1[[#This Row],[h_id]]="","",COUNTIF(Table1[h_id],Table1[[#This Row],[h_id]]))</f>
        <v/>
      </c>
      <c r="Y254" s="284" t="str">
        <f>IF(Table1[Item Description]="","",Table1[[#This Row],[Qty]]*Table1[[#This Row],[Unit Price]])</f>
        <v/>
      </c>
      <c r="Z254" s="284" t="str">
        <f>IF(Table1[[#This Row],[h_hargasebelumdiskon]]="","",IF(Table1[[#This Row],[Disc 1]]="",0,Table1[[#This Row],[h_hargasebelumdiskon]]*Table1[[#This Row],[Disc 1]]))</f>
        <v/>
      </c>
      <c r="AA254" s="284" t="str">
        <f>IF(Table1[[#This Row],[h_hargasebelumdiskon]]="","",IF(Table1[[#This Row],[Disc 2]]="",0,(Table1[[#This Row],[h_hargasebelumdiskon]]-Table1[[#This Row],[h_disc 1]])*Table1[[#This Row],[Disc 2]]))</f>
        <v/>
      </c>
      <c r="AB254" s="284" t="str">
        <f>IF(Table1[Item Description]="","",Table1[[#This Row],[h_disc 1]]+Table1[[#This Row],[h_disc 2]])</f>
        <v/>
      </c>
      <c r="AC254" s="284" t="str">
        <f>IF(Table1[Item Description]="","",Table1[[#This Row],[h_hargasebelumdiskon]]-Table1[[#This Row],[h_diskon]])</f>
        <v/>
      </c>
      <c r="AD254" s="284" t="str">
        <f ca="1">IF(Table1[//]="","",SUMIF(Table1[h_id],Table1[h_id],Table1[h_hargasetelahdiskon]))</f>
        <v/>
      </c>
      <c r="AE254" s="284"/>
      <c r="AF254" s="284" t="str">
        <f>Table1[[#This Row],[Item Description]]&amp;Table1[[#This Row],[Unit]]&amp;Table1[[#This Row],[Unit Price]]</f>
        <v/>
      </c>
    </row>
    <row r="255" spans="1:32" x14ac:dyDescent="0.25">
      <c r="A255" s="288" t="str">
        <f ca="1">IF(Table1[[#This Row],[No. Invoice :]]="","",ROW())</f>
        <v/>
      </c>
      <c r="B255" s="288" t="str">
        <f ca="1">IF(Table1[h_Kode Sales :_1]="","",B$1+COUNT(INDIRECT("B$2:B"&amp;ROW()-1)))</f>
        <v/>
      </c>
      <c r="C255" s="282" t="str">
        <f>IF(Table1[[#This Row],[H_TGL]]="","",Table1[[#This Row],[H_TGL]]+C$1-1)</f>
        <v/>
      </c>
      <c r="H255" s="288" t="str">
        <f ca="1">IF(Table1[[#This Row],[h_No. Invoice :]]="","",CONCATENATE("AM"," ",Table1[[#This Row],[h_No. Invoice :]]))</f>
        <v/>
      </c>
      <c r="I255" s="289" t="str">
        <f>CONCATENATE(UPPER(Table1[[#This Row],[h_Kode Sales :_1]])," ",Table1[[#This Row],[h_Kode Sales :_2]])</f>
        <v xml:space="preserve"> </v>
      </c>
      <c r="J255" s="288" t="str">
        <f>IF(Table1[[#This Row],[h_toko]]="","",INDEX(Table2[e],IF(Table1[[#This Row],[h_toko]]="","",MATCH(Table1[[#This Row],[h_toko]],Table2[a],0)),))</f>
        <v/>
      </c>
      <c r="O255" s="288" t="str">
        <f>IF(Table1[[#This Row],[h_Item Description]]="","",INDEX([1]!db[NB PAJAK],MATCH(Table1[[#This Row],[h_Item Description]],[1]!db[kode],0)))</f>
        <v/>
      </c>
      <c r="Q255" s="284"/>
      <c r="R255" s="285"/>
      <c r="T255" s="284" t="str">
        <f>Table1[[#This Row],[h_hargasetelahdiskon]]</f>
        <v/>
      </c>
      <c r="W255" s="288" t="str">
        <f ca="1">IF(Table1[[#This Row],[Item Description]]="","",IF(Table1[[#This Row],[//]]="",INDIRECT(ADDRESS(ROW()-1,COLUMN())),Table1[[#This Row],[//]]))</f>
        <v/>
      </c>
      <c r="X255" s="288" t="str">
        <f ca="1">IF(Table1[[#This Row],[h_id]]="","",COUNTIF(Table1[h_id],Table1[[#This Row],[h_id]]))</f>
        <v/>
      </c>
      <c r="Y255" s="284" t="str">
        <f>IF(Table1[Item Description]="","",Table1[[#This Row],[Qty]]*Table1[[#This Row],[Unit Price]])</f>
        <v/>
      </c>
      <c r="Z255" s="284" t="str">
        <f>IF(Table1[[#This Row],[h_hargasebelumdiskon]]="","",IF(Table1[[#This Row],[Disc 1]]="",0,Table1[[#This Row],[h_hargasebelumdiskon]]*Table1[[#This Row],[Disc 1]]))</f>
        <v/>
      </c>
      <c r="AA255" s="284" t="str">
        <f>IF(Table1[[#This Row],[h_hargasebelumdiskon]]="","",IF(Table1[[#This Row],[Disc 2]]="",0,(Table1[[#This Row],[h_hargasebelumdiskon]]-Table1[[#This Row],[h_disc 1]])*Table1[[#This Row],[Disc 2]]))</f>
        <v/>
      </c>
      <c r="AB255" s="284" t="str">
        <f>IF(Table1[Item Description]="","",Table1[[#This Row],[h_disc 1]]+Table1[[#This Row],[h_disc 2]])</f>
        <v/>
      </c>
      <c r="AC255" s="284" t="str">
        <f>IF(Table1[Item Description]="","",Table1[[#This Row],[h_hargasebelumdiskon]]-Table1[[#This Row],[h_diskon]])</f>
        <v/>
      </c>
      <c r="AD255" s="284" t="str">
        <f ca="1">IF(Table1[//]="","",SUMIF(Table1[h_id],Table1[h_id],Table1[h_hargasetelahdiskon]))</f>
        <v/>
      </c>
      <c r="AE255" s="284"/>
      <c r="AF255" s="284" t="str">
        <f>Table1[[#This Row],[Item Description]]&amp;Table1[[#This Row],[Unit]]&amp;Table1[[#This Row],[Unit Price]]</f>
        <v/>
      </c>
    </row>
    <row r="256" spans="1:32" x14ac:dyDescent="0.25">
      <c r="A256" s="288" t="str">
        <f ca="1">IF(Table1[[#This Row],[No. Invoice :]]="","",ROW())</f>
        <v/>
      </c>
      <c r="B256" s="288" t="str">
        <f ca="1">IF(Table1[h_Kode Sales :_1]="","",B$1+COUNT(INDIRECT("B$2:B"&amp;ROW()-1)))</f>
        <v/>
      </c>
      <c r="C256" s="282" t="str">
        <f>IF(Table1[[#This Row],[H_TGL]]="","",Table1[[#This Row],[H_TGL]]+C$1-1)</f>
        <v/>
      </c>
      <c r="H256" s="288" t="str">
        <f ca="1">IF(Table1[[#This Row],[h_No. Invoice :]]="","",CONCATENATE("AM"," ",Table1[[#This Row],[h_No. Invoice :]]))</f>
        <v/>
      </c>
      <c r="I256" s="289" t="str">
        <f>CONCATENATE(UPPER(Table1[[#This Row],[h_Kode Sales :_1]])," ",Table1[[#This Row],[h_Kode Sales :_2]])</f>
        <v xml:space="preserve"> </v>
      </c>
      <c r="J256" s="288" t="str">
        <f>IF(Table1[[#This Row],[h_toko]]="","",INDEX(Table2[e],IF(Table1[[#This Row],[h_toko]]="","",MATCH(Table1[[#This Row],[h_toko]],Table2[a],0)),))</f>
        <v/>
      </c>
      <c r="O256" s="288" t="str">
        <f>IF(Table1[[#This Row],[h_Item Description]]="","",INDEX([1]!db[NB PAJAK],MATCH(Table1[[#This Row],[h_Item Description]],[1]!db[kode],0)))</f>
        <v/>
      </c>
      <c r="Q256" s="284"/>
      <c r="R256" s="285"/>
      <c r="T256" s="284" t="str">
        <f>Table1[[#This Row],[h_hargasetelahdiskon]]</f>
        <v/>
      </c>
      <c r="W256" s="288" t="str">
        <f ca="1">IF(Table1[[#This Row],[Item Description]]="","",IF(Table1[[#This Row],[//]]="",INDIRECT(ADDRESS(ROW()-1,COLUMN())),Table1[[#This Row],[//]]))</f>
        <v/>
      </c>
      <c r="X256" s="288" t="str">
        <f ca="1">IF(Table1[[#This Row],[h_id]]="","",COUNTIF(Table1[h_id],Table1[[#This Row],[h_id]]))</f>
        <v/>
      </c>
      <c r="Y256" s="284" t="str">
        <f>IF(Table1[Item Description]="","",Table1[[#This Row],[Qty]]*Table1[[#This Row],[Unit Price]])</f>
        <v/>
      </c>
      <c r="Z256" s="284" t="str">
        <f>IF(Table1[[#This Row],[h_hargasebelumdiskon]]="","",IF(Table1[[#This Row],[Disc 1]]="",0,Table1[[#This Row],[h_hargasebelumdiskon]]*Table1[[#This Row],[Disc 1]]))</f>
        <v/>
      </c>
      <c r="AA256" s="284" t="str">
        <f>IF(Table1[[#This Row],[h_hargasebelumdiskon]]="","",IF(Table1[[#This Row],[Disc 2]]="",0,(Table1[[#This Row],[h_hargasebelumdiskon]]-Table1[[#This Row],[h_disc 1]])*Table1[[#This Row],[Disc 2]]))</f>
        <v/>
      </c>
      <c r="AB256" s="284" t="str">
        <f>IF(Table1[Item Description]="","",Table1[[#This Row],[h_disc 1]]+Table1[[#This Row],[h_disc 2]])</f>
        <v/>
      </c>
      <c r="AC256" s="284" t="str">
        <f>IF(Table1[Item Description]="","",Table1[[#This Row],[h_hargasebelumdiskon]]-Table1[[#This Row],[h_diskon]])</f>
        <v/>
      </c>
      <c r="AD256" s="284" t="str">
        <f ca="1">IF(Table1[//]="","",SUMIF(Table1[h_id],Table1[h_id],Table1[h_hargasetelahdiskon]))</f>
        <v/>
      </c>
      <c r="AE256" s="284"/>
      <c r="AF256" s="284" t="str">
        <f>Table1[[#This Row],[Item Description]]&amp;Table1[[#This Row],[Unit]]&amp;Table1[[#This Row],[Unit Price]]</f>
        <v/>
      </c>
    </row>
    <row r="257" spans="1:32" x14ac:dyDescent="0.25">
      <c r="A257" s="288" t="str">
        <f ca="1">IF(Table1[[#This Row],[No. Invoice :]]="","",ROW())</f>
        <v/>
      </c>
      <c r="B257" s="288" t="str">
        <f ca="1">IF(Table1[h_Kode Sales :_1]="","",B$1+COUNT(INDIRECT("B$2:B"&amp;ROW()-1)))</f>
        <v/>
      </c>
      <c r="C257" s="282" t="str">
        <f>IF(Table1[[#This Row],[H_TGL]]="","",Table1[[#This Row],[H_TGL]]+C$1-1)</f>
        <v/>
      </c>
      <c r="H257" s="288" t="str">
        <f ca="1">IF(Table1[[#This Row],[h_No. Invoice :]]="","",CONCATENATE("AM"," ",Table1[[#This Row],[h_No. Invoice :]]))</f>
        <v/>
      </c>
      <c r="I257" s="289" t="str">
        <f>CONCATENATE(UPPER(Table1[[#This Row],[h_Kode Sales :_1]])," ",Table1[[#This Row],[h_Kode Sales :_2]])</f>
        <v xml:space="preserve"> </v>
      </c>
      <c r="J257" s="288" t="str">
        <f>IF(Table1[[#This Row],[h_toko]]="","",INDEX(Table2[e],IF(Table1[[#This Row],[h_toko]]="","",MATCH(Table1[[#This Row],[h_toko]],Table2[a],0)),))</f>
        <v/>
      </c>
      <c r="O257" s="288" t="str">
        <f>IF(Table1[[#This Row],[h_Item Description]]="","",INDEX([1]!db[NB PAJAK],MATCH(Table1[[#This Row],[h_Item Description]],[1]!db[kode],0)))</f>
        <v/>
      </c>
      <c r="Q257" s="284"/>
      <c r="R257" s="285"/>
      <c r="T257" s="284" t="str">
        <f>Table1[[#This Row],[h_hargasetelahdiskon]]</f>
        <v/>
      </c>
      <c r="W257" s="288" t="str">
        <f ca="1">IF(Table1[[#This Row],[Item Description]]="","",IF(Table1[[#This Row],[//]]="",INDIRECT(ADDRESS(ROW()-1,COLUMN())),Table1[[#This Row],[//]]))</f>
        <v/>
      </c>
      <c r="X257" s="288" t="str">
        <f ca="1">IF(Table1[[#This Row],[h_id]]="","",COUNTIF(Table1[h_id],Table1[[#This Row],[h_id]]))</f>
        <v/>
      </c>
      <c r="Y257" s="284" t="str">
        <f>IF(Table1[Item Description]="","",Table1[[#This Row],[Qty]]*Table1[[#This Row],[Unit Price]])</f>
        <v/>
      </c>
      <c r="Z257" s="284" t="str">
        <f>IF(Table1[[#This Row],[h_hargasebelumdiskon]]="","",IF(Table1[[#This Row],[Disc 1]]="",0,Table1[[#This Row],[h_hargasebelumdiskon]]*Table1[[#This Row],[Disc 1]]))</f>
        <v/>
      </c>
      <c r="AA257" s="284" t="str">
        <f>IF(Table1[[#This Row],[h_hargasebelumdiskon]]="","",IF(Table1[[#This Row],[Disc 2]]="",0,(Table1[[#This Row],[h_hargasebelumdiskon]]-Table1[[#This Row],[h_disc 1]])*Table1[[#This Row],[Disc 2]]))</f>
        <v/>
      </c>
      <c r="AB257" s="284" t="str">
        <f>IF(Table1[Item Description]="","",Table1[[#This Row],[h_disc 1]]+Table1[[#This Row],[h_disc 2]])</f>
        <v/>
      </c>
      <c r="AC257" s="284" t="str">
        <f>IF(Table1[Item Description]="","",Table1[[#This Row],[h_hargasebelumdiskon]]-Table1[[#This Row],[h_diskon]])</f>
        <v/>
      </c>
      <c r="AD257" s="284" t="str">
        <f ca="1">IF(Table1[//]="","",SUMIF(Table1[h_id],Table1[h_id],Table1[h_hargasetelahdiskon]))</f>
        <v/>
      </c>
      <c r="AE257" s="284"/>
      <c r="AF257" s="284" t="str">
        <f>Table1[[#This Row],[Item Description]]&amp;Table1[[#This Row],[Unit]]&amp;Table1[[#This Row],[Unit Price]]</f>
        <v/>
      </c>
    </row>
    <row r="258" spans="1:32" x14ac:dyDescent="0.25">
      <c r="A258" s="288" t="str">
        <f ca="1">IF(Table1[[#This Row],[No. Invoice :]]="","",ROW())</f>
        <v/>
      </c>
      <c r="B258" s="288" t="str">
        <f ca="1">IF(Table1[h_Kode Sales :_1]="","",B$1+COUNT(INDIRECT("B$2:B"&amp;ROW()-1)))</f>
        <v/>
      </c>
      <c r="C258" s="282" t="str">
        <f>IF(Table1[[#This Row],[H_TGL]]="","",Table1[[#This Row],[H_TGL]]+C$1-1)</f>
        <v/>
      </c>
      <c r="H258" s="288" t="str">
        <f ca="1">IF(Table1[[#This Row],[h_No. Invoice :]]="","",CONCATENATE("AM"," ",Table1[[#This Row],[h_No. Invoice :]]))</f>
        <v/>
      </c>
      <c r="I258" s="289" t="str">
        <f>CONCATENATE(UPPER(Table1[[#This Row],[h_Kode Sales :_1]])," ",Table1[[#This Row],[h_Kode Sales :_2]])</f>
        <v xml:space="preserve"> </v>
      </c>
      <c r="J258" s="288" t="str">
        <f>IF(Table1[[#This Row],[h_toko]]="","",INDEX(Table2[e],IF(Table1[[#This Row],[h_toko]]="","",MATCH(Table1[[#This Row],[h_toko]],Table2[a],0)),))</f>
        <v/>
      </c>
      <c r="O258" s="288" t="str">
        <f>IF(Table1[[#This Row],[h_Item Description]]="","",INDEX([1]!db[NB PAJAK],MATCH(Table1[[#This Row],[h_Item Description]],[1]!db[kode],0)))</f>
        <v/>
      </c>
      <c r="Q258" s="284"/>
      <c r="R258" s="285"/>
      <c r="T258" s="284" t="str">
        <f>Table1[[#This Row],[h_hargasetelahdiskon]]</f>
        <v/>
      </c>
      <c r="W258" s="288" t="str">
        <f ca="1">IF(Table1[[#This Row],[Item Description]]="","",IF(Table1[[#This Row],[//]]="",INDIRECT(ADDRESS(ROW()-1,COLUMN())),Table1[[#This Row],[//]]))</f>
        <v/>
      </c>
      <c r="X258" s="288" t="str">
        <f ca="1">IF(Table1[[#This Row],[h_id]]="","",COUNTIF(Table1[h_id],Table1[[#This Row],[h_id]]))</f>
        <v/>
      </c>
      <c r="Y258" s="284" t="str">
        <f>IF(Table1[Item Description]="","",Table1[[#This Row],[Qty]]*Table1[[#This Row],[Unit Price]])</f>
        <v/>
      </c>
      <c r="Z258" s="284" t="str">
        <f>IF(Table1[[#This Row],[h_hargasebelumdiskon]]="","",IF(Table1[[#This Row],[Disc 1]]="",0,Table1[[#This Row],[h_hargasebelumdiskon]]*Table1[[#This Row],[Disc 1]]))</f>
        <v/>
      </c>
      <c r="AA258" s="284" t="str">
        <f>IF(Table1[[#This Row],[h_hargasebelumdiskon]]="","",IF(Table1[[#This Row],[Disc 2]]="",0,(Table1[[#This Row],[h_hargasebelumdiskon]]-Table1[[#This Row],[h_disc 1]])*Table1[[#This Row],[Disc 2]]))</f>
        <v/>
      </c>
      <c r="AB258" s="284" t="str">
        <f>IF(Table1[Item Description]="","",Table1[[#This Row],[h_disc 1]]+Table1[[#This Row],[h_disc 2]])</f>
        <v/>
      </c>
      <c r="AC258" s="284" t="str">
        <f>IF(Table1[Item Description]="","",Table1[[#This Row],[h_hargasebelumdiskon]]-Table1[[#This Row],[h_diskon]])</f>
        <v/>
      </c>
      <c r="AD258" s="284" t="str">
        <f ca="1">IF(Table1[//]="","",SUMIF(Table1[h_id],Table1[h_id],Table1[h_hargasetelahdiskon]))</f>
        <v/>
      </c>
      <c r="AE258" s="284"/>
      <c r="AF258" s="284" t="str">
        <f>Table1[[#This Row],[Item Description]]&amp;Table1[[#This Row],[Unit]]&amp;Table1[[#This Row],[Unit Price]]</f>
        <v/>
      </c>
    </row>
    <row r="259" spans="1:32" x14ac:dyDescent="0.25">
      <c r="A259" s="288" t="str">
        <f ca="1">IF(Table1[[#This Row],[No. Invoice :]]="","",ROW())</f>
        <v/>
      </c>
      <c r="B259" s="288" t="str">
        <f ca="1">IF(Table1[h_Kode Sales :_1]="","",B$1+COUNT(INDIRECT("B$2:B"&amp;ROW()-1)))</f>
        <v/>
      </c>
      <c r="C259" s="282" t="str">
        <f>IF(Table1[[#This Row],[H_TGL]]="","",Table1[[#This Row],[H_TGL]]+C$1-1)</f>
        <v/>
      </c>
      <c r="H259" s="288" t="str">
        <f ca="1">IF(Table1[[#This Row],[h_No. Invoice :]]="","",CONCATENATE("AM"," ",Table1[[#This Row],[h_No. Invoice :]]))</f>
        <v/>
      </c>
      <c r="I259" s="289" t="str">
        <f>CONCATENATE(UPPER(Table1[[#This Row],[h_Kode Sales :_1]])," ",Table1[[#This Row],[h_Kode Sales :_2]])</f>
        <v xml:space="preserve"> </v>
      </c>
      <c r="J259" s="288" t="str">
        <f>IF(Table1[[#This Row],[h_toko]]="","",INDEX(Table2[e],IF(Table1[[#This Row],[h_toko]]="","",MATCH(Table1[[#This Row],[h_toko]],Table2[a],0)),))</f>
        <v/>
      </c>
      <c r="O259" s="288" t="str">
        <f>IF(Table1[[#This Row],[h_Item Description]]="","",INDEX([1]!db[NB PAJAK],MATCH(Table1[[#This Row],[h_Item Description]],[1]!db[kode],0)))</f>
        <v/>
      </c>
      <c r="Q259" s="284"/>
      <c r="R259" s="285"/>
      <c r="T259" s="284" t="str">
        <f>Table1[[#This Row],[h_hargasetelahdiskon]]</f>
        <v/>
      </c>
      <c r="W259" s="288" t="str">
        <f ca="1">IF(Table1[[#This Row],[Item Description]]="","",IF(Table1[[#This Row],[//]]="",INDIRECT(ADDRESS(ROW()-1,COLUMN())),Table1[[#This Row],[//]]))</f>
        <v/>
      </c>
      <c r="X259" s="288" t="str">
        <f ca="1">IF(Table1[[#This Row],[h_id]]="","",COUNTIF(Table1[h_id],Table1[[#This Row],[h_id]]))</f>
        <v/>
      </c>
      <c r="Y259" s="284" t="str">
        <f>IF(Table1[Item Description]="","",Table1[[#This Row],[Qty]]*Table1[[#This Row],[Unit Price]])</f>
        <v/>
      </c>
      <c r="Z259" s="284" t="str">
        <f>IF(Table1[[#This Row],[h_hargasebelumdiskon]]="","",IF(Table1[[#This Row],[Disc 1]]="",0,Table1[[#This Row],[h_hargasebelumdiskon]]*Table1[[#This Row],[Disc 1]]))</f>
        <v/>
      </c>
      <c r="AA259" s="284" t="str">
        <f>IF(Table1[[#This Row],[h_hargasebelumdiskon]]="","",IF(Table1[[#This Row],[Disc 2]]="",0,(Table1[[#This Row],[h_hargasebelumdiskon]]-Table1[[#This Row],[h_disc 1]])*Table1[[#This Row],[Disc 2]]))</f>
        <v/>
      </c>
      <c r="AB259" s="284" t="str">
        <f>IF(Table1[Item Description]="","",Table1[[#This Row],[h_disc 1]]+Table1[[#This Row],[h_disc 2]])</f>
        <v/>
      </c>
      <c r="AC259" s="284" t="str">
        <f>IF(Table1[Item Description]="","",Table1[[#This Row],[h_hargasebelumdiskon]]-Table1[[#This Row],[h_diskon]])</f>
        <v/>
      </c>
      <c r="AD259" s="284" t="str">
        <f ca="1">IF(Table1[//]="","",SUMIF(Table1[h_id],Table1[h_id],Table1[h_hargasetelahdiskon]))</f>
        <v/>
      </c>
      <c r="AE259" s="284"/>
      <c r="AF259" s="284" t="str">
        <f>Table1[[#This Row],[Item Description]]&amp;Table1[[#This Row],[Unit]]&amp;Table1[[#This Row],[Unit Price]]</f>
        <v/>
      </c>
    </row>
    <row r="260" spans="1:32" x14ac:dyDescent="0.25">
      <c r="A260" s="288" t="str">
        <f ca="1">IF(Table1[[#This Row],[No. Invoice :]]="","",ROW())</f>
        <v/>
      </c>
      <c r="B260" s="288" t="str">
        <f ca="1">IF(Table1[h_Kode Sales :_1]="","",B$1+COUNT(INDIRECT("B$2:B"&amp;ROW()-1)))</f>
        <v/>
      </c>
      <c r="C260" s="282" t="str">
        <f>IF(Table1[[#This Row],[H_TGL]]="","",Table1[[#This Row],[H_TGL]]+C$1-1)</f>
        <v/>
      </c>
      <c r="H260" s="288" t="str">
        <f ca="1">IF(Table1[[#This Row],[h_No. Invoice :]]="","",CONCATENATE("AM"," ",Table1[[#This Row],[h_No. Invoice :]]))</f>
        <v/>
      </c>
      <c r="I260" s="289" t="str">
        <f>CONCATENATE(UPPER(Table1[[#This Row],[h_Kode Sales :_1]])," ",Table1[[#This Row],[h_Kode Sales :_2]])</f>
        <v xml:space="preserve"> </v>
      </c>
      <c r="J260" s="288" t="str">
        <f>IF(Table1[[#This Row],[h_toko]]="","",INDEX(Table2[e],IF(Table1[[#This Row],[h_toko]]="","",MATCH(Table1[[#This Row],[h_toko]],Table2[a],0)),))</f>
        <v/>
      </c>
      <c r="O260" s="288" t="str">
        <f>IF(Table1[[#This Row],[h_Item Description]]="","",INDEX([1]!db[NB PAJAK],MATCH(Table1[[#This Row],[h_Item Description]],[1]!db[kode],0)))</f>
        <v/>
      </c>
      <c r="Q260" s="284"/>
      <c r="R260" s="285"/>
      <c r="T260" s="284" t="str">
        <f>Table1[[#This Row],[h_hargasetelahdiskon]]</f>
        <v/>
      </c>
      <c r="W260" s="288" t="str">
        <f ca="1">IF(Table1[[#This Row],[Item Description]]="","",IF(Table1[[#This Row],[//]]="",INDIRECT(ADDRESS(ROW()-1,COLUMN())),Table1[[#This Row],[//]]))</f>
        <v/>
      </c>
      <c r="X260" s="288" t="str">
        <f ca="1">IF(Table1[[#This Row],[h_id]]="","",COUNTIF(Table1[h_id],Table1[[#This Row],[h_id]]))</f>
        <v/>
      </c>
      <c r="Y260" s="284" t="str">
        <f>IF(Table1[Item Description]="","",Table1[[#This Row],[Qty]]*Table1[[#This Row],[Unit Price]])</f>
        <v/>
      </c>
      <c r="Z260" s="284" t="str">
        <f>IF(Table1[[#This Row],[h_hargasebelumdiskon]]="","",IF(Table1[[#This Row],[Disc 1]]="",0,Table1[[#This Row],[h_hargasebelumdiskon]]*Table1[[#This Row],[Disc 1]]))</f>
        <v/>
      </c>
      <c r="AA260" s="284" t="str">
        <f>IF(Table1[[#This Row],[h_hargasebelumdiskon]]="","",IF(Table1[[#This Row],[Disc 2]]="",0,(Table1[[#This Row],[h_hargasebelumdiskon]]-Table1[[#This Row],[h_disc 1]])*Table1[[#This Row],[Disc 2]]))</f>
        <v/>
      </c>
      <c r="AB260" s="284" t="str">
        <f>IF(Table1[Item Description]="","",Table1[[#This Row],[h_disc 1]]+Table1[[#This Row],[h_disc 2]])</f>
        <v/>
      </c>
      <c r="AC260" s="284" t="str">
        <f>IF(Table1[Item Description]="","",Table1[[#This Row],[h_hargasebelumdiskon]]-Table1[[#This Row],[h_diskon]])</f>
        <v/>
      </c>
      <c r="AD260" s="284" t="str">
        <f ca="1">IF(Table1[//]="","",SUMIF(Table1[h_id],Table1[h_id],Table1[h_hargasetelahdiskon]))</f>
        <v/>
      </c>
      <c r="AE260" s="284"/>
      <c r="AF260" s="284" t="str">
        <f>Table1[[#This Row],[Item Description]]&amp;Table1[[#This Row],[Unit]]&amp;Table1[[#This Row],[Unit Price]]</f>
        <v/>
      </c>
    </row>
    <row r="261" spans="1:32" x14ac:dyDescent="0.25">
      <c r="A261" s="288" t="str">
        <f ca="1">IF(Table1[[#This Row],[No. Invoice :]]="","",ROW())</f>
        <v/>
      </c>
      <c r="B261" s="288" t="str">
        <f ca="1">IF(Table1[h_Kode Sales :_1]="","",B$1+COUNT(INDIRECT("B$2:B"&amp;ROW()-1)))</f>
        <v/>
      </c>
      <c r="C261" s="282" t="str">
        <f>IF(Table1[[#This Row],[H_TGL]]="","",Table1[[#This Row],[H_TGL]]+C$1-1)</f>
        <v/>
      </c>
      <c r="H261" s="288" t="str">
        <f ca="1">IF(Table1[[#This Row],[h_No. Invoice :]]="","",CONCATENATE("AM"," ",Table1[[#This Row],[h_No. Invoice :]]))</f>
        <v/>
      </c>
      <c r="I261" s="289" t="str">
        <f>CONCATENATE(UPPER(Table1[[#This Row],[h_Kode Sales :_1]])," ",Table1[[#This Row],[h_Kode Sales :_2]])</f>
        <v xml:space="preserve"> </v>
      </c>
      <c r="J261" s="288" t="str">
        <f>IF(Table1[[#This Row],[h_toko]]="","",INDEX(Table2[e],IF(Table1[[#This Row],[h_toko]]="","",MATCH(Table1[[#This Row],[h_toko]],Table2[a],0)),))</f>
        <v/>
      </c>
      <c r="O261" s="288" t="str">
        <f>IF(Table1[[#This Row],[h_Item Description]]="","",INDEX([1]!db[NB PAJAK],MATCH(Table1[[#This Row],[h_Item Description]],[1]!db[kode],0)))</f>
        <v/>
      </c>
      <c r="Q261" s="284"/>
      <c r="R261" s="285"/>
      <c r="T261" s="284" t="str">
        <f>Table1[[#This Row],[h_hargasetelahdiskon]]</f>
        <v/>
      </c>
      <c r="W261" s="288" t="str">
        <f ca="1">IF(Table1[[#This Row],[Item Description]]="","",IF(Table1[[#This Row],[//]]="",INDIRECT(ADDRESS(ROW()-1,COLUMN())),Table1[[#This Row],[//]]))</f>
        <v/>
      </c>
      <c r="X261" s="288" t="str">
        <f ca="1">IF(Table1[[#This Row],[h_id]]="","",COUNTIF(Table1[h_id],Table1[[#This Row],[h_id]]))</f>
        <v/>
      </c>
      <c r="Y261" s="284" t="str">
        <f>IF(Table1[Item Description]="","",Table1[[#This Row],[Qty]]*Table1[[#This Row],[Unit Price]])</f>
        <v/>
      </c>
      <c r="Z261" s="284" t="str">
        <f>IF(Table1[[#This Row],[h_hargasebelumdiskon]]="","",IF(Table1[[#This Row],[Disc 1]]="",0,Table1[[#This Row],[h_hargasebelumdiskon]]*Table1[[#This Row],[Disc 1]]))</f>
        <v/>
      </c>
      <c r="AA261" s="284" t="str">
        <f>IF(Table1[[#This Row],[h_hargasebelumdiskon]]="","",IF(Table1[[#This Row],[Disc 2]]="",0,(Table1[[#This Row],[h_hargasebelumdiskon]]-Table1[[#This Row],[h_disc 1]])*Table1[[#This Row],[Disc 2]]))</f>
        <v/>
      </c>
      <c r="AB261" s="284" t="str">
        <f>IF(Table1[Item Description]="","",Table1[[#This Row],[h_disc 1]]+Table1[[#This Row],[h_disc 2]])</f>
        <v/>
      </c>
      <c r="AC261" s="284" t="str">
        <f>IF(Table1[Item Description]="","",Table1[[#This Row],[h_hargasebelumdiskon]]-Table1[[#This Row],[h_diskon]])</f>
        <v/>
      </c>
      <c r="AD261" s="284" t="str">
        <f ca="1">IF(Table1[//]="","",SUMIF(Table1[h_id],Table1[h_id],Table1[h_hargasetelahdiskon]))</f>
        <v/>
      </c>
      <c r="AE261" s="284"/>
      <c r="AF261" s="284" t="str">
        <f>Table1[[#This Row],[Item Description]]&amp;Table1[[#This Row],[Unit]]&amp;Table1[[#This Row],[Unit Price]]</f>
        <v/>
      </c>
    </row>
    <row r="262" spans="1:32" x14ac:dyDescent="0.25">
      <c r="A262" s="288" t="str">
        <f ca="1">IF(Table1[[#This Row],[No. Invoice :]]="","",ROW())</f>
        <v/>
      </c>
      <c r="B262" s="288" t="str">
        <f ca="1">IF(Table1[h_Kode Sales :_1]="","",B$1+COUNT(INDIRECT("B$2:B"&amp;ROW()-1)))</f>
        <v/>
      </c>
      <c r="C262" s="282" t="str">
        <f>IF(Table1[[#This Row],[H_TGL]]="","",Table1[[#This Row],[H_TGL]]+C$1-1)</f>
        <v/>
      </c>
      <c r="H262" s="288" t="str">
        <f ca="1">IF(Table1[[#This Row],[h_No. Invoice :]]="","",CONCATENATE("AM"," ",Table1[[#This Row],[h_No. Invoice :]]))</f>
        <v/>
      </c>
      <c r="I262" s="289" t="str">
        <f>CONCATENATE(UPPER(Table1[[#This Row],[h_Kode Sales :_1]])," ",Table1[[#This Row],[h_Kode Sales :_2]])</f>
        <v xml:space="preserve"> </v>
      </c>
      <c r="J262" s="288" t="str">
        <f>IF(Table1[[#This Row],[h_toko]]="","",INDEX(Table2[e],IF(Table1[[#This Row],[h_toko]]="","",MATCH(Table1[[#This Row],[h_toko]],Table2[a],0)),))</f>
        <v/>
      </c>
      <c r="O262" s="288" t="str">
        <f>IF(Table1[[#This Row],[h_Item Description]]="","",INDEX([1]!db[NB PAJAK],MATCH(Table1[[#This Row],[h_Item Description]],[1]!db[kode],0)))</f>
        <v/>
      </c>
      <c r="Q262" s="284"/>
      <c r="R262" s="285"/>
      <c r="T262" s="284" t="str">
        <f>Table1[[#This Row],[h_hargasetelahdiskon]]</f>
        <v/>
      </c>
      <c r="W262" s="288" t="str">
        <f ca="1">IF(Table1[[#This Row],[Item Description]]="","",IF(Table1[[#This Row],[//]]="",INDIRECT(ADDRESS(ROW()-1,COLUMN())),Table1[[#This Row],[//]]))</f>
        <v/>
      </c>
      <c r="X262" s="288" t="str">
        <f ca="1">IF(Table1[[#This Row],[h_id]]="","",COUNTIF(Table1[h_id],Table1[[#This Row],[h_id]]))</f>
        <v/>
      </c>
      <c r="Y262" s="284" t="str">
        <f>IF(Table1[Item Description]="","",Table1[[#This Row],[Qty]]*Table1[[#This Row],[Unit Price]])</f>
        <v/>
      </c>
      <c r="Z262" s="284" t="str">
        <f>IF(Table1[[#This Row],[h_hargasebelumdiskon]]="","",IF(Table1[[#This Row],[Disc 1]]="",0,Table1[[#This Row],[h_hargasebelumdiskon]]*Table1[[#This Row],[Disc 1]]))</f>
        <v/>
      </c>
      <c r="AA262" s="284" t="str">
        <f>IF(Table1[[#This Row],[h_hargasebelumdiskon]]="","",IF(Table1[[#This Row],[Disc 2]]="",0,(Table1[[#This Row],[h_hargasebelumdiskon]]-Table1[[#This Row],[h_disc 1]])*Table1[[#This Row],[Disc 2]]))</f>
        <v/>
      </c>
      <c r="AB262" s="284" t="str">
        <f>IF(Table1[Item Description]="","",Table1[[#This Row],[h_disc 1]]+Table1[[#This Row],[h_disc 2]])</f>
        <v/>
      </c>
      <c r="AC262" s="284" t="str">
        <f>IF(Table1[Item Description]="","",Table1[[#This Row],[h_hargasebelumdiskon]]-Table1[[#This Row],[h_diskon]])</f>
        <v/>
      </c>
      <c r="AD262" s="284" t="str">
        <f ca="1">IF(Table1[//]="","",SUMIF(Table1[h_id],Table1[h_id],Table1[h_hargasetelahdiskon]))</f>
        <v/>
      </c>
      <c r="AE262" s="284"/>
      <c r="AF262" s="284" t="str">
        <f>Table1[[#This Row],[Item Description]]&amp;Table1[[#This Row],[Unit]]&amp;Table1[[#This Row],[Unit Price]]</f>
        <v/>
      </c>
    </row>
    <row r="263" spans="1:32" x14ac:dyDescent="0.25">
      <c r="A263" s="288" t="str">
        <f ca="1">IF(Table1[[#This Row],[No. Invoice :]]="","",ROW())</f>
        <v/>
      </c>
      <c r="B263" s="288" t="str">
        <f ca="1">IF(Table1[h_Kode Sales :_1]="","",B$1+COUNT(INDIRECT("B$2:B"&amp;ROW()-1)))</f>
        <v/>
      </c>
      <c r="C263" s="282" t="str">
        <f>IF(Table1[[#This Row],[H_TGL]]="","",Table1[[#This Row],[H_TGL]]+C$1-1)</f>
        <v/>
      </c>
      <c r="H263" s="288" t="str">
        <f ca="1">IF(Table1[[#This Row],[h_No. Invoice :]]="","",CONCATENATE("AM"," ",Table1[[#This Row],[h_No. Invoice :]]))</f>
        <v/>
      </c>
      <c r="I263" s="289" t="str">
        <f>CONCATENATE(UPPER(Table1[[#This Row],[h_Kode Sales :_1]])," ",Table1[[#This Row],[h_Kode Sales :_2]])</f>
        <v xml:space="preserve"> </v>
      </c>
      <c r="J263" s="288" t="str">
        <f>IF(Table1[[#This Row],[h_toko]]="","",INDEX(Table2[e],IF(Table1[[#This Row],[h_toko]]="","",MATCH(Table1[[#This Row],[h_toko]],Table2[a],0)),))</f>
        <v/>
      </c>
      <c r="O263" s="288" t="str">
        <f>IF(Table1[[#This Row],[h_Item Description]]="","",INDEX([1]!db[NB PAJAK],MATCH(Table1[[#This Row],[h_Item Description]],[1]!db[kode],0)))</f>
        <v/>
      </c>
      <c r="Q263" s="284"/>
      <c r="R263" s="285"/>
      <c r="T263" s="284" t="str">
        <f>Table1[[#This Row],[h_hargasetelahdiskon]]</f>
        <v/>
      </c>
      <c r="W263" s="288" t="str">
        <f ca="1">IF(Table1[[#This Row],[Item Description]]="","",IF(Table1[[#This Row],[//]]="",INDIRECT(ADDRESS(ROW()-1,COLUMN())),Table1[[#This Row],[//]]))</f>
        <v/>
      </c>
      <c r="X263" s="288" t="str">
        <f ca="1">IF(Table1[[#This Row],[h_id]]="","",COUNTIF(Table1[h_id],Table1[[#This Row],[h_id]]))</f>
        <v/>
      </c>
      <c r="Y263" s="284" t="str">
        <f>IF(Table1[Item Description]="","",Table1[[#This Row],[Qty]]*Table1[[#This Row],[Unit Price]])</f>
        <v/>
      </c>
      <c r="Z263" s="284" t="str">
        <f>IF(Table1[[#This Row],[h_hargasebelumdiskon]]="","",IF(Table1[[#This Row],[Disc 1]]="",0,Table1[[#This Row],[h_hargasebelumdiskon]]*Table1[[#This Row],[Disc 1]]))</f>
        <v/>
      </c>
      <c r="AA263" s="284" t="str">
        <f>IF(Table1[[#This Row],[h_hargasebelumdiskon]]="","",IF(Table1[[#This Row],[Disc 2]]="",0,(Table1[[#This Row],[h_hargasebelumdiskon]]-Table1[[#This Row],[h_disc 1]])*Table1[[#This Row],[Disc 2]]))</f>
        <v/>
      </c>
      <c r="AB263" s="284" t="str">
        <f>IF(Table1[Item Description]="","",Table1[[#This Row],[h_disc 1]]+Table1[[#This Row],[h_disc 2]])</f>
        <v/>
      </c>
      <c r="AC263" s="284" t="str">
        <f>IF(Table1[Item Description]="","",Table1[[#This Row],[h_hargasebelumdiskon]]-Table1[[#This Row],[h_diskon]])</f>
        <v/>
      </c>
      <c r="AD263" s="284" t="str">
        <f ca="1">IF(Table1[//]="","",SUMIF(Table1[h_id],Table1[h_id],Table1[h_hargasetelahdiskon]))</f>
        <v/>
      </c>
      <c r="AE263" s="284"/>
      <c r="AF263" s="284" t="str">
        <f>Table1[[#This Row],[Item Description]]&amp;Table1[[#This Row],[Unit]]&amp;Table1[[#This Row],[Unit Price]]</f>
        <v/>
      </c>
    </row>
    <row r="264" spans="1:32" x14ac:dyDescent="0.25">
      <c r="A264" s="298"/>
      <c r="B264" s="298"/>
      <c r="C264" s="299"/>
      <c r="D264" s="300"/>
      <c r="E264" s="301"/>
      <c r="F264" s="302"/>
      <c r="G264" s="301"/>
      <c r="H264" s="298"/>
      <c r="I264" s="303"/>
      <c r="J264" s="298"/>
      <c r="K264" s="301"/>
      <c r="L264" s="301"/>
      <c r="M264" s="301"/>
      <c r="N264" s="301"/>
      <c r="O264" s="298"/>
      <c r="P264" s="301"/>
      <c r="Q264" s="304"/>
      <c r="R264" s="305"/>
      <c r="S264" s="305"/>
      <c r="T264" s="304"/>
      <c r="U264" s="304"/>
      <c r="V264" s="301"/>
      <c r="W264" s="298"/>
      <c r="X264" s="298"/>
      <c r="Y264" s="304"/>
      <c r="Z264" s="304"/>
      <c r="AA264" s="304"/>
      <c r="AB264" s="304"/>
      <c r="AC264" s="304"/>
      <c r="AD264" s="304"/>
      <c r="AE264" s="304"/>
      <c r="AF264" s="304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58"/>
  <sheetViews>
    <sheetView topLeftCell="A28" zoomScaleNormal="100" workbookViewId="0">
      <selection activeCell="A36" sqref="A36"/>
    </sheetView>
  </sheetViews>
  <sheetFormatPr defaultRowHeight="15" x14ac:dyDescent="0.25"/>
  <cols>
    <col min="1" max="1" width="13.140625" customWidth="1"/>
    <col min="2" max="2" width="6" customWidth="1"/>
    <col min="3" max="3" width="5.28515625" customWidth="1"/>
    <col min="4" max="4" width="12.42578125" customWidth="1"/>
    <col min="5" max="5" width="10.7109375" style="88" customWidth="1"/>
    <col min="6" max="6" width="8" customWidth="1"/>
    <col min="7" max="7" width="54.7109375" customWidth="1"/>
    <col min="8" max="8" width="15.28515625" style="87" customWidth="1"/>
    <col min="9" max="9" width="14.28515625" style="87" customWidth="1"/>
    <col min="10" max="10" width="15.28515625" style="87" customWidth="1"/>
    <col min="11" max="11" width="14.28515625" style="87" customWidth="1"/>
    <col min="12" max="12" width="15.28515625" style="87" customWidth="1"/>
    <col min="13" max="13" width="16.42578125" style="85" customWidth="1"/>
    <col min="14" max="14" width="8.85546875" style="85" customWidth="1"/>
    <col min="15" max="15" width="6" style="85" customWidth="1"/>
    <col min="16" max="16" width="4.42578125" style="85" customWidth="1"/>
    <col min="17" max="17" width="7.28515625" customWidth="1"/>
    <col min="18" max="18" width="9" customWidth="1"/>
    <col min="19" max="23" width="6.140625" style="183" customWidth="1"/>
    <col min="25" max="25" width="14.5703125" customWidth="1"/>
    <col min="26" max="26" width="15.28515625" bestFit="1" customWidth="1"/>
  </cols>
  <sheetData>
    <row r="1" spans="1:26" x14ac:dyDescent="0.25">
      <c r="Q1" t="s">
        <v>135</v>
      </c>
      <c r="S1" s="183" t="s">
        <v>136</v>
      </c>
      <c r="T1" s="183" t="s">
        <v>135</v>
      </c>
      <c r="U1" s="183" t="s">
        <v>135</v>
      </c>
      <c r="V1" s="183" t="s">
        <v>137</v>
      </c>
      <c r="W1" s="183" t="s">
        <v>138</v>
      </c>
    </row>
    <row r="2" spans="1:26" x14ac:dyDescent="0.25">
      <c r="G2" t="s">
        <v>249</v>
      </c>
      <c r="T2" s="183">
        <v>4</v>
      </c>
      <c r="U2" s="183">
        <v>2</v>
      </c>
      <c r="V2" s="183">
        <v>32</v>
      </c>
      <c r="W2" s="183">
        <v>34</v>
      </c>
    </row>
    <row r="3" spans="1:26" x14ac:dyDescent="0.25">
      <c r="D3">
        <f ca="1">COUNT(Table1[//])</f>
        <v>44</v>
      </c>
      <c r="G3" s="295" t="str">
        <f>"["&amp;G2&amp;".xlsx]Invoice"</f>
        <v>[07-Hitung FP Keluar Juli 2023.xlsx]Invoice</v>
      </c>
      <c r="H3" s="297"/>
      <c r="N3" s="85">
        <f>preview!K1</f>
        <v>0</v>
      </c>
      <c r="Q3" t="str">
        <f>"'"&amp;pointer&amp;"'"&amp;"!$"&amp;1:1&amp;":$"&amp;1:1</f>
        <v>'[07-Hitung FP Keluar Juli 2023.xlsx]Invoice'!$D:$D</v>
      </c>
      <c r="R3">
        <f>NOTA!B1</f>
        <v>23070001</v>
      </c>
      <c r="S3" t="str">
        <f>"'"&amp;pointer&amp;"'"&amp;"!$"&amp;1:1&amp;":$"&amp;1:1</f>
        <v>'[07-Hitung FP Keluar Juli 2023.xlsx]Invoice'!$E:$E</v>
      </c>
      <c r="T3" t="str">
        <f>"'"&amp;pointer&amp;"'"&amp;"!$"&amp;1:1&amp;":$"&amp;1:1</f>
        <v>'[07-Hitung FP Keluar Juli 2023.xlsx]Invoice'!$D:$D</v>
      </c>
      <c r="U3" t="str">
        <f>"'"&amp;pointer&amp;"'"&amp;"!$"&amp;1:1&amp;":$"&amp;1:1</f>
        <v>'[07-Hitung FP Keluar Juli 2023.xlsx]Invoice'!$D:$D</v>
      </c>
      <c r="V3" t="str">
        <f>"'"&amp;pointer&amp;"'"&amp;"!$"&amp;1:1&amp;":$"&amp;1:1</f>
        <v>'[07-Hitung FP Keluar Juli 2023.xlsx]Invoice'!$K:$K</v>
      </c>
      <c r="W3" t="str">
        <f>"'"&amp;pointer&amp;"'"&amp;"!$"&amp;1:1&amp;":$"&amp;1:1</f>
        <v>'[07-Hitung FP Keluar Juli 2023.xlsx]Invoice'!$J:$J</v>
      </c>
    </row>
    <row r="4" spans="1:26" s="86" customFormat="1" x14ac:dyDescent="0.25">
      <c r="A4" s="277" t="s">
        <v>54</v>
      </c>
      <c r="C4" s="86" t="s">
        <v>14</v>
      </c>
      <c r="D4" s="86" t="s">
        <v>1</v>
      </c>
      <c r="E4" s="278" t="s">
        <v>2</v>
      </c>
      <c r="F4" s="86" t="s">
        <v>3</v>
      </c>
      <c r="G4" s="86" t="s">
        <v>4</v>
      </c>
      <c r="H4" s="279" t="s">
        <v>51</v>
      </c>
      <c r="I4" s="279" t="s">
        <v>56</v>
      </c>
      <c r="J4" s="279" t="s">
        <v>50</v>
      </c>
      <c r="K4" s="279" t="s">
        <v>52</v>
      </c>
      <c r="L4" s="279" t="s">
        <v>53</v>
      </c>
      <c r="M4" s="280" t="s">
        <v>57</v>
      </c>
      <c r="N4" s="280" t="s">
        <v>58</v>
      </c>
      <c r="O4" s="280" t="s">
        <v>140</v>
      </c>
      <c r="P4" s="280"/>
      <c r="Q4" s="292" t="s">
        <v>15</v>
      </c>
      <c r="R4" s="296" t="s">
        <v>139</v>
      </c>
      <c r="S4" s="86" t="s">
        <v>1</v>
      </c>
      <c r="T4" s="292" t="s">
        <v>3</v>
      </c>
      <c r="U4" s="86" t="s">
        <v>2</v>
      </c>
      <c r="V4" s="86" t="s">
        <v>53</v>
      </c>
      <c r="W4" s="86" t="s">
        <v>57</v>
      </c>
      <c r="Y4" s="86" t="s">
        <v>26</v>
      </c>
      <c r="Z4" s="279">
        <f ca="1">SUM(pajak[Total Invoice])</f>
        <v>416008907.5</v>
      </c>
    </row>
    <row r="5" spans="1:26" x14ac:dyDescent="0.25">
      <c r="A5" s="292">
        <v>3</v>
      </c>
      <c r="C5">
        <f t="shared" ref="C5:C36" ca="1" si="0">IF(ROW()-(COUNTBLANK($C$1:$C$3)+1)&lt;=jNota,A5,"")</f>
        <v>3</v>
      </c>
      <c r="D5" t="str">
        <f ca="1">IF(pajak[[#This Row],[//]]="","",INDEX(Table1[No. Invoice :],pajak[//]-offset))</f>
        <v>AM 23070001</v>
      </c>
      <c r="E5" s="88">
        <f ca="1">IF(pajak[[#This Row],[//]]="","",INDEX(Table1[Tgl Invoice :],pajak[//]-offset))</f>
        <v>45111</v>
      </c>
      <c r="F5" t="str">
        <f ca="1">IF(pajak[[#This Row],[//]]="","",INDEX(Table1[Kode Sales :],pajak[//]-offset))</f>
        <v>KO 4721</v>
      </c>
      <c r="G5" t="str">
        <f ca="1">IF(pajak[[#This Row],[//]]="","",INDEX(Table1[Toko],pajak[//]-offset))</f>
        <v>CV SINAR CAHAYA NIRMALA BREBES</v>
      </c>
      <c r="H5" s="87">
        <f ca="1">IF(pajak[[#This Row],[//]]="","",SUMIF(Table1[h_id],pajak[[#This Row],[//]],Table1[h_hargasebelumdiskon]))</f>
        <v>643200</v>
      </c>
      <c r="I5" s="87">
        <f ca="1">IF(pajak[[#This Row],[//]]="","",SUMIF(Table1[h_id],pajak[[#This Row],[//]],Table1[h_diskon]))</f>
        <v>64320</v>
      </c>
      <c r="J5" s="87">
        <f ca="1">IF(pajak[[#This Row],[//]]="","",SUMIF(Table1[h_id],pajak[[#This Row],[//]],Table1[h_hargasetelahdiskon]))</f>
        <v>578880</v>
      </c>
      <c r="K5" s="87">
        <f ca="1">IF(pajak[//]="","",pajak[[#This Row],[Sub Total]]/1.11*11%)</f>
        <v>57366.486486486487</v>
      </c>
      <c r="L5" s="87">
        <f ca="1">pajak[[#This Row],[Sub Total]]</f>
        <v>578880</v>
      </c>
      <c r="M5" s="85" t="str">
        <f ca="1">IF(pajak[[#This Row],[//]]="","",INDEX(Table1[pembuat nota :],pajak[//]-offset))</f>
        <v>RISMA / YO</v>
      </c>
      <c r="N5" s="85" t="str">
        <f ca="1">IF(pajak[[#This Row],[//]]="","",IF(INDEX(Table1[edited :],pajak[//]-offset)="","",INDEX(Table1[edited :],pajak[//]-offset)))</f>
        <v/>
      </c>
      <c r="O5" s="87"/>
      <c r="Q5" t="str">
        <f>Table4[[#Headers],[AM]]</f>
        <v>AM</v>
      </c>
      <c r="R5">
        <f t="shared" ref="R5:R36" si="1">R$3+ROW()-5</f>
        <v>23070001</v>
      </c>
      <c r="S5" s="183" t="e">
        <f ca="1">IF(Table4[[#This Row],[AM]]&amp;" "&amp;Table4[[#This Row],[---]]=INDIRECT("pajak[@["&amp;Table4[#Headers]&amp;"]]"),MATCH(Table4[[#This Row],[---]],INDIRECT($3:$3),0))</f>
        <v>#REF!</v>
      </c>
      <c r="T5" s="183" t="e">
        <f ca="1">IF((INDEX(INDIRECT($3:$3),Table4[[#This Row],[No. Invoice :]]+$2:$2))=INDIRECT("pajak[@["&amp;Table4[#Headers]&amp;"]]"),1)</f>
        <v>#REF!</v>
      </c>
      <c r="U5" s="183" t="e">
        <f ca="1">IF((INDEX(INDIRECT($3:$3),Table4[[#This Row],[No. Invoice :]]+$2:$2))=INDIRECT("pajak[@["&amp;Table4[#Headers]&amp;"]]"),1)</f>
        <v>#REF!</v>
      </c>
      <c r="V5" s="183" t="e">
        <f ca="1">IF((INDEX(INDIRECT($3:$3),Table4[[#This Row],[No. Invoice :]]+$2:$2))=INDIRECT("pajak[@["&amp;Table4[#Headers]&amp;"]]"),1)</f>
        <v>#REF!</v>
      </c>
      <c r="W5" s="183" t="e">
        <f ca="1">IF((INDEX(INDIRECT($3:$3),Table4[[#This Row],[No. Invoice :]]+$2:$2))=INDIRECT("pajak[@["&amp;Table4[#Headers]&amp;"]]"),1)</f>
        <v>#REF!</v>
      </c>
      <c r="Y5" t="s">
        <v>25</v>
      </c>
      <c r="Z5" s="87">
        <f ca="1">SUM(pajak[PPN 11%])</f>
        <v>41226107.950450435</v>
      </c>
    </row>
    <row r="6" spans="1:26" x14ac:dyDescent="0.25">
      <c r="A6" s="292">
        <v>6</v>
      </c>
      <c r="C6">
        <f t="shared" ca="1" si="0"/>
        <v>6</v>
      </c>
      <c r="D6" t="str">
        <f ca="1">IF(pajak[[#This Row],[//]]="","",INDEX(Table1[No. Invoice :],pajak[//]-offset))</f>
        <v>AM 23070002</v>
      </c>
      <c r="E6" s="88">
        <f ca="1">IF(pajak[[#This Row],[//]]="","",INDEX(Table1[Tgl Invoice :],pajak[//]-offset))</f>
        <v>45112</v>
      </c>
      <c r="F6" t="str">
        <f ca="1">IF(pajak[[#This Row],[//]]="","",INDEX(Table1[Kode Sales :],pajak[//]-offset))</f>
        <v>G 4920</v>
      </c>
      <c r="G6" t="str">
        <f ca="1">IF(pajak[[#This Row],[//]]="","",INDEX(Table1[Toko],pajak[//]-offset))</f>
        <v>GUNAWAN HARTONO KUSUMA ( NIKI SAE ) TULUNG AGUNG</v>
      </c>
      <c r="H6" s="87">
        <f ca="1">IF(pajak[[#This Row],[//]]="","",SUMIF(Table1[h_id],pajak[[#This Row],[//]],Table1[h_hargasebelumdiskon]))</f>
        <v>11406000</v>
      </c>
      <c r="I6" s="87">
        <f ca="1">IF(pajak[[#This Row],[//]]="","",SUMIF(Table1[h_id],pajak[[#This Row],[//]],Table1[h_diskon]))</f>
        <v>1425750</v>
      </c>
      <c r="J6" s="87">
        <f ca="1">IF(pajak[[#This Row],[//]]="","",SUMIF(Table1[h_id],pajak[[#This Row],[//]],Table1[h_hargasetelahdiskon]))</f>
        <v>9980250</v>
      </c>
      <c r="K6" s="87">
        <f ca="1">IF(pajak[//]="","",pajak[[#This Row],[Sub Total]]/1.11*11%)</f>
        <v>989033.78378378379</v>
      </c>
      <c r="L6" s="87">
        <f ca="1">pajak[[#This Row],[Sub Total]]</f>
        <v>9980250</v>
      </c>
      <c r="M6" s="85" t="str">
        <f ca="1">IF(pajak[[#This Row],[//]]="","",INDEX(Table1[pembuat nota :],pajak[//]-offset))</f>
        <v>NOVI / YO</v>
      </c>
      <c r="N6" s="85" t="str">
        <f ca="1">IF(pajak[[#This Row],[//]]="","",IF(INDEX(Table1[edited :],pajak[//]-offset)="","",INDEX(Table1[edited :],pajak[//]-offset)))</f>
        <v/>
      </c>
      <c r="O6" s="87"/>
      <c r="Q6" t="str">
        <f>Table4[[#Headers],[AM]]</f>
        <v>AM</v>
      </c>
      <c r="R6">
        <f t="shared" si="1"/>
        <v>23070002</v>
      </c>
      <c r="S6" s="183" t="e">
        <f ca="1">IF(Table4[[#This Row],[AM]]&amp;" "&amp;Table4[[#This Row],[---]]=INDIRECT("pajak[@["&amp;Table4[#Headers]&amp;"]]"),MATCH(Table4[[#This Row],[---]],INDIRECT($3:$3),0))</f>
        <v>#REF!</v>
      </c>
      <c r="T6" s="183" t="e">
        <f ca="1">IF((INDEX(INDIRECT($3:$3),Table4[[#This Row],[No. Invoice :]]+$2:$2))=INDIRECT("pajak[@["&amp;Table4[#Headers]&amp;"]]"),1)</f>
        <v>#REF!</v>
      </c>
      <c r="U6" s="183" t="e">
        <f ca="1">IF((INDEX(INDIRECT($3:$3),Table4[[#This Row],[No. Invoice :]]+$2:$2))=INDIRECT("pajak[@["&amp;Table4[#Headers]&amp;"]]"),1)</f>
        <v>#REF!</v>
      </c>
      <c r="V6" s="183" t="e">
        <f ca="1">IF((INDEX(INDIRECT($3:$3),Table4[[#This Row],[No. Invoice :]]+$2:$2))=INDIRECT("pajak[@["&amp;Table4[#Headers]&amp;"]]"),1)</f>
        <v>#REF!</v>
      </c>
      <c r="W6" s="184" t="e">
        <f ca="1">IF((INDEX(INDIRECT($3:$3),Table4[[#This Row],[No. Invoice :]]+$2:$2))=INDIRECT("pajak[@["&amp;Table4[#Headers]&amp;"]]"),1)</f>
        <v>#REF!</v>
      </c>
      <c r="Z6" s="87">
        <f ca="1">(Z4/1.11)*11%</f>
        <v>41226107.95045045</v>
      </c>
    </row>
    <row r="7" spans="1:26" x14ac:dyDescent="0.25">
      <c r="A7" s="292">
        <v>9</v>
      </c>
      <c r="C7">
        <f t="shared" ca="1" si="0"/>
        <v>9</v>
      </c>
      <c r="D7" t="str">
        <f ca="1">IF(pajak[[#This Row],[//]]="","",INDEX(Table1[No. Invoice :],pajak[//]-offset))</f>
        <v>AM 23070003</v>
      </c>
      <c r="E7" s="88">
        <f ca="1">IF(pajak[[#This Row],[//]]="","",INDEX(Table1[Tgl Invoice :],pajak[//]-offset))</f>
        <v>45113</v>
      </c>
      <c r="F7" t="str">
        <f ca="1">IF(pajak[[#This Row],[//]]="","",INDEX(Table1[Kode Sales :],pajak[//]-offset))</f>
        <v>KO 4928</v>
      </c>
      <c r="G7" t="str">
        <f ca="1">IF(pajak[[#This Row],[//]]="","",INDEX(Table1[Toko],pajak[//]-offset))</f>
        <v>CV PELITA JAYA (ANUGERAH SEJAHTERA) PURWOKERTO</v>
      </c>
      <c r="H7" s="87">
        <f ca="1">IF(pajak[[#This Row],[//]]="","",SUMIF(Table1[h_id],pajak[[#This Row],[//]],Table1[h_hargasebelumdiskon]))</f>
        <v>50803200</v>
      </c>
      <c r="I7" s="87">
        <f ca="1">IF(pajak[[#This Row],[//]]="","",SUMIF(Table1[h_id],pajak[[#This Row],[//]],Table1[h_diskon]))</f>
        <v>6858432</v>
      </c>
      <c r="J7" s="87">
        <f ca="1">IF(pajak[[#This Row],[//]]="","",SUMIF(Table1[h_id],pajak[[#This Row],[//]],Table1[h_hargasetelahdiskon]))</f>
        <v>43944768</v>
      </c>
      <c r="K7" s="87">
        <f ca="1">IF(pajak[//]="","",pajak[[#This Row],[Sub Total]]/1.11*11%)</f>
        <v>4354886.9189189188</v>
      </c>
      <c r="L7" s="87">
        <f ca="1">pajak[[#This Row],[Sub Total]]</f>
        <v>43944768</v>
      </c>
      <c r="M7" s="85" t="str">
        <f ca="1">IF(pajak[[#This Row],[//]]="","",INDEX(Table1[pembuat nota :],pajak[//]-offset))</f>
        <v>NOVI / CONDRO</v>
      </c>
      <c r="N7" s="85" t="str">
        <f ca="1">IF(pajak[[#This Row],[//]]="","",IF(INDEX(Table1[edited :],pajak[//]-offset)="","",INDEX(Table1[edited :],pajak[//]-offset)))</f>
        <v/>
      </c>
      <c r="O7" s="87"/>
      <c r="Q7" t="str">
        <f>Table4[[#Headers],[AM]]</f>
        <v>AM</v>
      </c>
      <c r="R7">
        <f t="shared" si="1"/>
        <v>23070003</v>
      </c>
      <c r="S7" s="183" t="e">
        <f ca="1">IF(Table4[[#This Row],[AM]]&amp;" "&amp;Table4[[#This Row],[---]]=INDIRECT("pajak[@["&amp;Table4[#Headers]&amp;"]]"),MATCH(Table4[[#This Row],[---]],INDIRECT($3:$3),0))</f>
        <v>#REF!</v>
      </c>
      <c r="T7" s="183" t="e">
        <f ca="1">IF((INDEX(INDIRECT($3:$3),Table4[[#This Row],[No. Invoice :]]+$2:$2))=INDIRECT("pajak[@["&amp;Table4[#Headers]&amp;"]]"),1)</f>
        <v>#REF!</v>
      </c>
      <c r="U7" s="183" t="e">
        <f ca="1">IF((INDEX(INDIRECT($3:$3),Table4[[#This Row],[No. Invoice :]]+$2:$2))=INDIRECT("pajak[@["&amp;Table4[#Headers]&amp;"]]"),1)</f>
        <v>#REF!</v>
      </c>
      <c r="V7" s="183" t="e">
        <f ca="1">IF((INDEX(INDIRECT($3:$3),Table4[[#This Row],[No. Invoice :]]+$2:$2))=INDIRECT("pajak[@["&amp;Table4[#Headers]&amp;"]]"),1)</f>
        <v>#REF!</v>
      </c>
      <c r="W7" s="184" t="e">
        <f ca="1">IF((INDEX(INDIRECT($3:$3),Table4[[#This Row],[No. Invoice :]]+$2:$2))=INDIRECT("pajak[@["&amp;Table4[#Headers]&amp;"]]"),1)</f>
        <v>#REF!</v>
      </c>
    </row>
    <row r="8" spans="1:26" x14ac:dyDescent="0.25">
      <c r="A8" s="292">
        <v>13</v>
      </c>
      <c r="C8">
        <f t="shared" ca="1" si="0"/>
        <v>13</v>
      </c>
      <c r="D8" t="str">
        <f ca="1">IF(pajak[[#This Row],[//]]="","",INDEX(Table1[No. Invoice :],pajak[//]-offset))</f>
        <v>AM 23070004</v>
      </c>
      <c r="E8" s="88">
        <f ca="1">IF(pajak[[#This Row],[//]]="","",INDEX(Table1[Tgl Invoice :],pajak[//]-offset))</f>
        <v>45113</v>
      </c>
      <c r="F8" t="str">
        <f ca="1">IF(pajak[[#This Row],[//]]="","",INDEX(Table1[Kode Sales :],pajak[//]-offset))</f>
        <v>KO 4861</v>
      </c>
      <c r="G8" t="str">
        <f ca="1">IF(pajak[[#This Row],[//]]="","",INDEX(Table1[Toko],pajak[//]-offset))</f>
        <v>CV  WISUDA PURWOKERTO</v>
      </c>
      <c r="H8" s="87">
        <f ca="1">IF(pajak[[#This Row],[//]]="","",SUMIF(Table1[h_id],pajak[[#This Row],[//]],Table1[h_hargasebelumdiskon]))</f>
        <v>4191000</v>
      </c>
      <c r="I8" s="87">
        <f ca="1">IF(pajak[[#This Row],[//]]="","",SUMIF(Table1[h_id],pajak[[#This Row],[//]],Table1[h_diskon]))</f>
        <v>419100</v>
      </c>
      <c r="J8" s="87">
        <f ca="1">IF(pajak[[#This Row],[//]]="","",SUMIF(Table1[h_id],pajak[[#This Row],[//]],Table1[h_hargasetelahdiskon]))</f>
        <v>3771900</v>
      </c>
      <c r="K8" s="87">
        <f ca="1">IF(pajak[//]="","",pajak[[#This Row],[Sub Total]]/1.11*11%)</f>
        <v>373791.89189189189</v>
      </c>
      <c r="L8" s="87">
        <f ca="1">pajak[[#This Row],[Sub Total]]</f>
        <v>3771900</v>
      </c>
      <c r="M8" s="85" t="str">
        <f ca="1">IF(pajak[[#This Row],[//]]="","",INDEX(Table1[pembuat nota :],pajak[//]-offset))</f>
        <v>NOVI / CONDRO</v>
      </c>
      <c r="N8" s="85" t="str">
        <f ca="1">IF(pajak[[#This Row],[//]]="","",IF(INDEX(Table1[edited :],pajak[//]-offset)="","",INDEX(Table1[edited :],pajak[//]-offset)))</f>
        <v>CONDRO</v>
      </c>
      <c r="O8" s="87"/>
      <c r="Q8" t="str">
        <f>Table4[[#Headers],[AM]]</f>
        <v>AM</v>
      </c>
      <c r="R8">
        <f t="shared" si="1"/>
        <v>23070004</v>
      </c>
      <c r="S8" s="183" t="e">
        <f ca="1">IF(Table4[[#This Row],[AM]]&amp;" "&amp;Table4[[#This Row],[---]]=INDIRECT("pajak[@["&amp;Table4[#Headers]&amp;"]]"),MATCH(Table4[[#This Row],[---]],INDIRECT($3:$3),0))</f>
        <v>#REF!</v>
      </c>
      <c r="T8" s="183" t="e">
        <f ca="1">IF((INDEX(INDIRECT($3:$3),Table4[[#This Row],[No. Invoice :]]+$2:$2))=INDIRECT("pajak[@["&amp;Table4[#Headers]&amp;"]]"),1)</f>
        <v>#REF!</v>
      </c>
      <c r="U8" s="183" t="e">
        <f ca="1">IF((INDEX(INDIRECT($3:$3),Table4[[#This Row],[No. Invoice :]]+$2:$2))=INDIRECT("pajak[@["&amp;Table4[#Headers]&amp;"]]"),1)</f>
        <v>#REF!</v>
      </c>
      <c r="V8" s="183" t="e">
        <f ca="1">IF((INDEX(INDIRECT($3:$3),Table4[[#This Row],[No. Invoice :]]+$2:$2))=INDIRECT("pajak[@["&amp;Table4[#Headers]&amp;"]]"),1)</f>
        <v>#REF!</v>
      </c>
      <c r="W8" s="184" t="e">
        <f ca="1">IF((INDEX(INDIRECT($3:$3),Table4[[#This Row],[No. Invoice :]]+$2:$2))=INDIRECT("pajak[@["&amp;Table4[#Headers]&amp;"]]"),1)</f>
        <v>#REF!</v>
      </c>
    </row>
    <row r="9" spans="1:26" x14ac:dyDescent="0.25">
      <c r="A9" s="292">
        <v>20</v>
      </c>
      <c r="C9">
        <f t="shared" ca="1" si="0"/>
        <v>20</v>
      </c>
      <c r="D9" t="str">
        <f ca="1">IF(pajak[[#This Row],[//]]="","",INDEX(Table1[No. Invoice :],pajak[//]-offset))</f>
        <v>AM 23070005</v>
      </c>
      <c r="E9" s="88">
        <f ca="1">IF(pajak[[#This Row],[//]]="","",INDEX(Table1[Tgl Invoice :],pajak[//]-offset))</f>
        <v>45113</v>
      </c>
      <c r="F9" t="str">
        <f ca="1">IF(pajak[[#This Row],[//]]="","",INDEX(Table1[Kode Sales :],pajak[//]-offset))</f>
        <v>KO 4731</v>
      </c>
      <c r="G9" t="str">
        <f ca="1">IF(pajak[[#This Row],[//]]="","",INDEX(Table1[Toko],pajak[//]-offset))</f>
        <v>SANTOSO BUDIONO (  ARMADA  ) PURWOKERTO</v>
      </c>
      <c r="H9" s="87">
        <f ca="1">IF(pajak[[#This Row],[//]]="","",SUMIF(Table1[h_id],pajak[[#This Row],[//]],Table1[h_hargasebelumdiskon]))</f>
        <v>5021000</v>
      </c>
      <c r="I9" s="87">
        <f ca="1">IF(pajak[[#This Row],[//]]="","",SUMIF(Table1[h_id],pajak[[#This Row],[//]],Table1[h_diskon]))</f>
        <v>630877.5</v>
      </c>
      <c r="J9" s="87">
        <f ca="1">IF(pajak[[#This Row],[//]]="","",SUMIF(Table1[h_id],pajak[[#This Row],[//]],Table1[h_hargasetelahdiskon]))</f>
        <v>4390122.5</v>
      </c>
      <c r="K9" s="87">
        <f ca="1">IF(pajak[//]="","",pajak[[#This Row],[Sub Total]]/1.11*11%)</f>
        <v>435057.18468468467</v>
      </c>
      <c r="L9" s="87">
        <f ca="1">pajak[[#This Row],[Sub Total]]</f>
        <v>4390122.5</v>
      </c>
      <c r="M9" s="85" t="str">
        <f ca="1">IF(pajak[[#This Row],[//]]="","",INDEX(Table1[pembuat nota :],pajak[//]-offset))</f>
        <v>RISMA / CONDRO</v>
      </c>
      <c r="N9" s="85" t="str">
        <f ca="1">IF(pajak[[#This Row],[//]]="","",IF(INDEX(Table1[edited :],pajak[//]-offset)="","",INDEX(Table1[edited :],pajak[//]-offset)))</f>
        <v/>
      </c>
      <c r="O9" s="87"/>
      <c r="Q9" t="str">
        <f>Table4[[#Headers],[AM]]</f>
        <v>AM</v>
      </c>
      <c r="R9">
        <f t="shared" si="1"/>
        <v>23070005</v>
      </c>
      <c r="S9" s="183" t="e">
        <f ca="1">IF(Table4[[#This Row],[AM]]&amp;" "&amp;Table4[[#This Row],[---]]=INDIRECT("pajak[@["&amp;Table4[#Headers]&amp;"]]"),MATCH(Table4[[#This Row],[---]],INDIRECT($3:$3),0))</f>
        <v>#REF!</v>
      </c>
      <c r="T9" s="183" t="e">
        <f ca="1">IF((INDEX(INDIRECT($3:$3),Table4[[#This Row],[No. Invoice :]]+$2:$2))=INDIRECT("pajak[@["&amp;Table4[#Headers]&amp;"]]"),1)</f>
        <v>#REF!</v>
      </c>
      <c r="U9" s="183" t="e">
        <f ca="1">IF((INDEX(INDIRECT($3:$3),Table4[[#This Row],[No. Invoice :]]+$2:$2))=INDIRECT("pajak[@["&amp;Table4[#Headers]&amp;"]]"),1)</f>
        <v>#REF!</v>
      </c>
      <c r="V9" s="183" t="e">
        <f ca="1">IF((INDEX(INDIRECT($3:$3),Table4[[#This Row],[No. Invoice :]]+$2:$2))=INDIRECT("pajak[@["&amp;Table4[#Headers]&amp;"]]"),1)</f>
        <v>#REF!</v>
      </c>
      <c r="W9" s="184" t="e">
        <f ca="1">IF((INDEX(INDIRECT($3:$3),Table4[[#This Row],[No. Invoice :]]+$2:$2))=INDIRECT("pajak[@["&amp;Table4[#Headers]&amp;"]]"),1)</f>
        <v>#REF!</v>
      </c>
    </row>
    <row r="10" spans="1:26" x14ac:dyDescent="0.25">
      <c r="A10" s="292">
        <v>25</v>
      </c>
      <c r="C10">
        <f t="shared" ca="1" si="0"/>
        <v>25</v>
      </c>
      <c r="D10" t="str">
        <f ca="1">IF(pajak[[#This Row],[//]]="","",INDEX(Table1[No. Invoice :],pajak[//]-offset))</f>
        <v>AM 23070006</v>
      </c>
      <c r="E10" s="88">
        <f ca="1">IF(pajak[[#This Row],[//]]="","",INDEX(Table1[Tgl Invoice :],pajak[//]-offset))</f>
        <v>45113</v>
      </c>
      <c r="F10" t="str">
        <f ca="1">IF(pajak[[#This Row],[//]]="","",INDEX(Table1[Kode Sales :],pajak[//]-offset))</f>
        <v>KO 4923</v>
      </c>
      <c r="G10" t="str">
        <f ca="1">IF(pajak[[#This Row],[//]]="","",INDEX(Table1[Toko],pajak[//]-offset))</f>
        <v>CV DWI JAYA YOGYAKARTA</v>
      </c>
      <c r="H10" s="87">
        <f ca="1">IF(pajak[[#This Row],[//]]="","",SUMIF(Table1[h_id],pajak[[#This Row],[//]],Table1[h_hargasebelumdiskon]))</f>
        <v>4766400</v>
      </c>
      <c r="I10" s="87">
        <f ca="1">IF(pajak[[#This Row],[//]]="","",SUMIF(Table1[h_id],pajak[[#This Row],[//]],Table1[h_diskon]))</f>
        <v>476640</v>
      </c>
      <c r="J10" s="87">
        <f ca="1">IF(pajak[[#This Row],[//]]="","",SUMIF(Table1[h_id],pajak[[#This Row],[//]],Table1[h_hargasetelahdiskon]))</f>
        <v>4289760</v>
      </c>
      <c r="K10" s="87">
        <f ca="1">IF(pajak[//]="","",pajak[[#This Row],[Sub Total]]/1.11*11%)</f>
        <v>425111.35135135136</v>
      </c>
      <c r="L10" s="87">
        <f ca="1">pajak[[#This Row],[Sub Total]]</f>
        <v>4289760</v>
      </c>
      <c r="M10" s="85" t="str">
        <f ca="1">IF(pajak[[#This Row],[//]]="","",INDEX(Table1[pembuat nota :],pajak[//]-offset))</f>
        <v>NOVI / CONDRO</v>
      </c>
      <c r="N10" s="85" t="str">
        <f ca="1">IF(pajak[[#This Row],[//]]="","",IF(INDEX(Table1[edited :],pajak[//]-offset)="","",INDEX(Table1[edited :],pajak[//]-offset)))</f>
        <v/>
      </c>
      <c r="O10" s="87"/>
      <c r="Q10" t="str">
        <f>Table4[[#Headers],[AM]]</f>
        <v>AM</v>
      </c>
      <c r="R10">
        <f t="shared" si="1"/>
        <v>23070006</v>
      </c>
      <c r="S10" s="183" t="e">
        <f ca="1">IF(Table4[[#This Row],[AM]]&amp;" "&amp;Table4[[#This Row],[---]]=INDIRECT("pajak[@["&amp;Table4[#Headers]&amp;"]]"),MATCH(Table4[[#This Row],[---]],INDIRECT($3:$3),0))</f>
        <v>#REF!</v>
      </c>
      <c r="T10" s="183" t="e">
        <f ca="1">IF((INDEX(INDIRECT($3:$3),Table4[[#This Row],[No. Invoice :]]+$2:$2))=INDIRECT("pajak[@["&amp;Table4[#Headers]&amp;"]]"),1)</f>
        <v>#REF!</v>
      </c>
      <c r="U10" s="183" t="e">
        <f ca="1">IF((INDEX(INDIRECT($3:$3),Table4[[#This Row],[No. Invoice :]]+$2:$2))=INDIRECT("pajak[@["&amp;Table4[#Headers]&amp;"]]"),1)</f>
        <v>#REF!</v>
      </c>
      <c r="V10" s="183" t="e">
        <f ca="1">IF((INDEX(INDIRECT($3:$3),Table4[[#This Row],[No. Invoice :]]+$2:$2))=INDIRECT("pajak[@["&amp;Table4[#Headers]&amp;"]]"),1)</f>
        <v>#REF!</v>
      </c>
      <c r="W10" s="184" t="e">
        <f ca="1">IF((INDEX(INDIRECT($3:$3),Table4[[#This Row],[No. Invoice :]]+$2:$2))=INDIRECT("pajak[@["&amp;Table4[#Headers]&amp;"]]"),1)</f>
        <v>#REF!</v>
      </c>
    </row>
    <row r="11" spans="1:26" x14ac:dyDescent="0.25">
      <c r="A11" s="292">
        <v>28</v>
      </c>
      <c r="C11">
        <f t="shared" ca="1" si="0"/>
        <v>28</v>
      </c>
      <c r="D11" t="str">
        <f ca="1">IF(pajak[[#This Row],[//]]="","",INDEX(Table1[No. Invoice :],pajak[//]-offset))</f>
        <v>AM 23070007</v>
      </c>
      <c r="E11" s="88">
        <f ca="1">IF(pajak[[#This Row],[//]]="","",INDEX(Table1[Tgl Invoice :],pajak[//]-offset))</f>
        <v>45114</v>
      </c>
      <c r="F11" t="str">
        <f ca="1">IF(pajak[[#This Row],[//]]="","",INDEX(Table1[Kode Sales :],pajak[//]-offset))</f>
        <v>G 4866</v>
      </c>
      <c r="G11" t="str">
        <f ca="1">IF(pajak[[#This Row],[//]]="","",INDEX(Table1[Toko],pajak[//]-offset))</f>
        <v>GUNAWAN HARTONO KUSUMA ( NIKI SAE ) TULUNG AGUNG</v>
      </c>
      <c r="H11" s="87">
        <f ca="1">IF(pajak[[#This Row],[//]]="","",SUMIF(Table1[h_id],pajak[[#This Row],[//]],Table1[h_hargasebelumdiskon]))</f>
        <v>36000000</v>
      </c>
      <c r="I11" s="87">
        <f ca="1">IF(pajak[[#This Row],[//]]="","",SUMIF(Table1[h_id],pajak[[#This Row],[//]],Table1[h_diskon]))</f>
        <v>4500000</v>
      </c>
      <c r="J11" s="87">
        <f ca="1">IF(pajak[[#This Row],[//]]="","",SUMIF(Table1[h_id],pajak[[#This Row],[//]],Table1[h_hargasetelahdiskon]))</f>
        <v>31500000</v>
      </c>
      <c r="K11" s="87">
        <f ca="1">IF(pajak[//]="","",pajak[[#This Row],[Sub Total]]/1.11*11%)</f>
        <v>3121621.6216216213</v>
      </c>
      <c r="L11" s="87">
        <f ca="1">pajak[[#This Row],[Sub Total]]</f>
        <v>31500000</v>
      </c>
      <c r="M11" s="85" t="str">
        <f ca="1">IF(pajak[[#This Row],[//]]="","",INDEX(Table1[pembuat nota :],pajak[//]-offset))</f>
        <v>NOVI / CONDRO</v>
      </c>
      <c r="N11" s="85" t="str">
        <f ca="1">IF(pajak[[#This Row],[//]]="","",IF(INDEX(Table1[edited :],pajak[//]-offset)="","",INDEX(Table1[edited :],pajak[//]-offset)))</f>
        <v/>
      </c>
      <c r="O11" s="87"/>
      <c r="Q11" t="str">
        <f>Table4[[#Headers],[AM]]</f>
        <v>AM</v>
      </c>
      <c r="R11">
        <f t="shared" si="1"/>
        <v>23070007</v>
      </c>
      <c r="S11" s="183" t="e">
        <f ca="1">IF(Table4[[#This Row],[AM]]&amp;" "&amp;Table4[[#This Row],[---]]=INDIRECT("pajak[@["&amp;Table4[#Headers]&amp;"]]"),MATCH(Table4[[#This Row],[---]],INDIRECT($3:$3),0))</f>
        <v>#REF!</v>
      </c>
      <c r="T11" s="183" t="e">
        <f ca="1">IF((INDEX(INDIRECT($3:$3),Table4[[#This Row],[No. Invoice :]]+$2:$2))=INDIRECT("pajak[@["&amp;Table4[#Headers]&amp;"]]"),1)</f>
        <v>#REF!</v>
      </c>
      <c r="U11" s="183" t="e">
        <f ca="1">IF((INDEX(INDIRECT($3:$3),Table4[[#This Row],[No. Invoice :]]+$2:$2))=INDIRECT("pajak[@["&amp;Table4[#Headers]&amp;"]]"),1)</f>
        <v>#REF!</v>
      </c>
      <c r="V11" s="183" t="e">
        <f ca="1">IF((INDEX(INDIRECT($3:$3),Table4[[#This Row],[No. Invoice :]]+$2:$2))=INDIRECT("pajak[@["&amp;Table4[#Headers]&amp;"]]"),1)</f>
        <v>#REF!</v>
      </c>
      <c r="W11" s="184" t="e">
        <f ca="1">IF((INDEX(INDIRECT($3:$3),Table4[[#This Row],[No. Invoice :]]+$2:$2))=INDIRECT("pajak[@["&amp;Table4[#Headers]&amp;"]]"),1)</f>
        <v>#REF!</v>
      </c>
    </row>
    <row r="12" spans="1:26" x14ac:dyDescent="0.25">
      <c r="A12" s="292">
        <v>30</v>
      </c>
      <c r="C12">
        <f t="shared" ca="1" si="0"/>
        <v>30</v>
      </c>
      <c r="D12" t="str">
        <f ca="1">IF(pajak[[#This Row],[//]]="","",INDEX(Table1[No. Invoice :],pajak[//]-offset))</f>
        <v>AM 23070008</v>
      </c>
      <c r="E12" s="88">
        <f ca="1">IF(pajak[[#This Row],[//]]="","",INDEX(Table1[Tgl Invoice :],pajak[//]-offset))</f>
        <v>45115</v>
      </c>
      <c r="F12" t="str">
        <f ca="1">IF(pajak[[#This Row],[//]]="","",INDEX(Table1[Kode Sales :],pajak[//]-offset))</f>
        <v>KO 4871</v>
      </c>
      <c r="G12" t="str">
        <f ca="1">IF(pajak[[#This Row],[//]]="","",INDEX(Table1[Toko],pajak[//]-offset))</f>
        <v>CV PELITA JAYA (ANUGERAH SEJAHTERA) PURWOKERTO</v>
      </c>
      <c r="H12" s="87">
        <f ca="1">IF(pajak[[#This Row],[//]]="","",SUMIF(Table1[h_id],pajak[[#This Row],[//]],Table1[h_hargasebelumdiskon]))</f>
        <v>4140000</v>
      </c>
      <c r="I12" s="87">
        <f ca="1">IF(pajak[[#This Row],[//]]="","",SUMIF(Table1[h_id],pajak[[#This Row],[//]],Table1[h_diskon]))</f>
        <v>517500</v>
      </c>
      <c r="J12" s="87">
        <f ca="1">IF(pajak[[#This Row],[//]]="","",SUMIF(Table1[h_id],pajak[[#This Row],[//]],Table1[h_hargasetelahdiskon]))</f>
        <v>3622500</v>
      </c>
      <c r="K12" s="87">
        <f ca="1">IF(pajak[//]="","",pajak[[#This Row],[Sub Total]]/1.11*11%)</f>
        <v>358986.48648648645</v>
      </c>
      <c r="L12" s="87">
        <f ca="1">pajak[[#This Row],[Sub Total]]</f>
        <v>3622500</v>
      </c>
      <c r="M12" s="85" t="str">
        <f ca="1">IF(pajak[[#This Row],[//]]="","",INDEX(Table1[pembuat nota :],pajak[//]-offset))</f>
        <v>NOVI / CONDRO</v>
      </c>
      <c r="N12" s="85" t="str">
        <f ca="1">IF(pajak[[#This Row],[//]]="","",IF(INDEX(Table1[edited :],pajak[//]-offset)="","",INDEX(Table1[edited :],pajak[//]-offset)))</f>
        <v/>
      </c>
      <c r="O12" s="87"/>
      <c r="Q12" t="str">
        <f>Table4[[#Headers],[AM]]</f>
        <v>AM</v>
      </c>
      <c r="R12">
        <f t="shared" si="1"/>
        <v>23070008</v>
      </c>
      <c r="S12" s="183" t="e">
        <f ca="1">IF(Table4[[#This Row],[AM]]&amp;" "&amp;Table4[[#This Row],[---]]=INDIRECT("pajak[@["&amp;Table4[#Headers]&amp;"]]"),MATCH(Table4[[#This Row],[---]],INDIRECT($3:$3),0))</f>
        <v>#REF!</v>
      </c>
      <c r="T12" s="183" t="e">
        <f ca="1">IF((INDEX(INDIRECT($3:$3),Table4[[#This Row],[No. Invoice :]]+$2:$2))=INDIRECT("pajak[@["&amp;Table4[#Headers]&amp;"]]"),1)</f>
        <v>#REF!</v>
      </c>
      <c r="U12" s="183" t="e">
        <f ca="1">IF((INDEX(INDIRECT($3:$3),Table4[[#This Row],[No. Invoice :]]+$2:$2))=INDIRECT("pajak[@["&amp;Table4[#Headers]&amp;"]]"),1)</f>
        <v>#REF!</v>
      </c>
      <c r="V12" s="183" t="e">
        <f ca="1">IF((INDEX(INDIRECT($3:$3),Table4[[#This Row],[No. Invoice :]]+$2:$2))=INDIRECT("pajak[@["&amp;Table4[#Headers]&amp;"]]"),1)</f>
        <v>#REF!</v>
      </c>
      <c r="W12" s="184" t="e">
        <f ca="1">IF((INDEX(INDIRECT($3:$3),Table4[[#This Row],[No. Invoice :]]+$2:$2))=INDIRECT("pajak[@["&amp;Table4[#Headers]&amp;"]]"),1)</f>
        <v>#REF!</v>
      </c>
    </row>
    <row r="13" spans="1:26" x14ac:dyDescent="0.25">
      <c r="A13" s="292">
        <v>32</v>
      </c>
      <c r="C13">
        <f t="shared" ca="1" si="0"/>
        <v>32</v>
      </c>
      <c r="D13" t="str">
        <f ca="1">IF(pajak[[#This Row],[//]]="","",INDEX(Table1[No. Invoice :],pajak[//]-offset))</f>
        <v>AM 23070009</v>
      </c>
      <c r="E13" s="88">
        <f ca="1">IF(pajak[[#This Row],[//]]="","",INDEX(Table1[Tgl Invoice :],pajak[//]-offset))</f>
        <v>45115</v>
      </c>
      <c r="F13" t="str">
        <f ca="1">IF(pajak[[#This Row],[//]]="","",INDEX(Table1[Kode Sales :],pajak[//]-offset))</f>
        <v>G 4944</v>
      </c>
      <c r="G13" t="str">
        <f ca="1">IF(pajak[[#This Row],[//]]="","",INDEX(Table1[Toko],pajak[//]-offset))</f>
        <v>GUNAWAN HARTONO KUSUMA ( NIKI SAE ) TULUNG AGUNG</v>
      </c>
      <c r="H13" s="87">
        <f ca="1">IF(pajak[[#This Row],[//]]="","",SUMIF(Table1[h_id],pajak[[#This Row],[//]],Table1[h_hargasebelumdiskon]))</f>
        <v>8640000</v>
      </c>
      <c r="I13" s="87">
        <f ca="1">IF(pajak[[#This Row],[//]]="","",SUMIF(Table1[h_id],pajak[[#This Row],[//]],Table1[h_diskon]))</f>
        <v>1080000</v>
      </c>
      <c r="J13" s="87">
        <f ca="1">IF(pajak[[#This Row],[//]]="","",SUMIF(Table1[h_id],pajak[[#This Row],[//]],Table1[h_hargasetelahdiskon]))</f>
        <v>7560000</v>
      </c>
      <c r="K13" s="87">
        <f ca="1">IF(pajak[//]="","",pajak[[#This Row],[Sub Total]]/1.11*11%)</f>
        <v>749189.18918918911</v>
      </c>
      <c r="L13" s="87">
        <f ca="1">pajak[[#This Row],[Sub Total]]</f>
        <v>7560000</v>
      </c>
      <c r="M13" s="85" t="str">
        <f ca="1">IF(pajak[[#This Row],[//]]="","",INDEX(Table1[pembuat nota :],pajak[//]-offset))</f>
        <v>NOVI / CONDRO</v>
      </c>
      <c r="N13" s="85" t="str">
        <f ca="1">IF(pajak[[#This Row],[//]]="","",IF(INDEX(Table1[edited :],pajak[//]-offset)="","",INDEX(Table1[edited :],pajak[//]-offset)))</f>
        <v/>
      </c>
      <c r="O13" s="87"/>
      <c r="Q13" t="str">
        <f>Table4[[#Headers],[AM]]</f>
        <v>AM</v>
      </c>
      <c r="R13">
        <f t="shared" si="1"/>
        <v>23070009</v>
      </c>
      <c r="S13" s="183" t="e">
        <f ca="1">IF(Table4[[#This Row],[AM]]&amp;" "&amp;Table4[[#This Row],[---]]=INDIRECT("pajak[@["&amp;Table4[#Headers]&amp;"]]"),MATCH(Table4[[#This Row],[---]],INDIRECT($3:$3),0))</f>
        <v>#REF!</v>
      </c>
      <c r="T13" s="183" t="e">
        <f ca="1">IF((INDEX(INDIRECT($3:$3),Table4[[#This Row],[No. Invoice :]]+$2:$2))=INDIRECT("pajak[@["&amp;Table4[#Headers]&amp;"]]"),1)</f>
        <v>#REF!</v>
      </c>
      <c r="U13" s="183" t="e">
        <f ca="1">IF((INDEX(INDIRECT($3:$3),Table4[[#This Row],[No. Invoice :]]+$2:$2))=INDIRECT("pajak[@["&amp;Table4[#Headers]&amp;"]]"),1)</f>
        <v>#REF!</v>
      </c>
      <c r="V13" s="183" t="e">
        <f ca="1">IF((INDEX(INDIRECT($3:$3),Table4[[#This Row],[No. Invoice :]]+$2:$2))=INDIRECT("pajak[@["&amp;Table4[#Headers]&amp;"]]"),1)</f>
        <v>#REF!</v>
      </c>
      <c r="W13" s="184" t="e">
        <f ca="1">IF((INDEX(INDIRECT($3:$3),Table4[[#This Row],[No. Invoice :]]+$2:$2))=INDIRECT("pajak[@["&amp;Table4[#Headers]&amp;"]]"),1)</f>
        <v>#REF!</v>
      </c>
    </row>
    <row r="14" spans="1:26" x14ac:dyDescent="0.25">
      <c r="A14" s="292">
        <v>34</v>
      </c>
      <c r="C14" s="85">
        <f t="shared" ca="1" si="0"/>
        <v>34</v>
      </c>
      <c r="D14" t="str">
        <f ca="1">IF(pajak[[#This Row],[//]]="","",INDEX(Table1[No. Invoice :],pajak[//]-offset))</f>
        <v>AM 23070010</v>
      </c>
      <c r="E14" s="88">
        <f ca="1">IF(pajak[[#This Row],[//]]="","",INDEX(Table1[Tgl Invoice :],pajak[//]-offset))</f>
        <v>45115</v>
      </c>
      <c r="F14" s="85" t="str">
        <f ca="1">IF(pajak[[#This Row],[//]]="","",INDEX(Table1[Kode Sales :],pajak[//]-offset))</f>
        <v>KO 4949</v>
      </c>
      <c r="G14" s="85" t="str">
        <f ca="1">IF(pajak[[#This Row],[//]]="","",INDEX(Table1[Toko],pajak[//]-offset))</f>
        <v>CV GANESHA WONOSOBO</v>
      </c>
      <c r="H14" s="87">
        <f ca="1">IF(pajak[[#This Row],[//]]="","",SUMIF(Table1[h_id],pajak[[#This Row],[//]],Table1[h_hargasebelumdiskon]))</f>
        <v>2865000</v>
      </c>
      <c r="I14" s="87">
        <f ca="1">IF(pajak[[#This Row],[//]]="","",SUMIF(Table1[h_id],pajak[[#This Row],[//]],Table1[h_diskon]))</f>
        <v>286500</v>
      </c>
      <c r="J14" s="87">
        <f ca="1">IF(pajak[[#This Row],[//]]="","",SUMIF(Table1[h_id],pajak[[#This Row],[//]],Table1[h_hargasetelahdiskon]))</f>
        <v>2578500</v>
      </c>
      <c r="K14" s="87">
        <f ca="1">IF(pajak[//]="","",pajak[[#This Row],[Sub Total]]/1.11*11%)</f>
        <v>255527.02702702701</v>
      </c>
      <c r="L14" s="87">
        <f ca="1">pajak[[#This Row],[Sub Total]]</f>
        <v>2578500</v>
      </c>
      <c r="M14" s="85" t="str">
        <f ca="1">IF(pajak[[#This Row],[//]]="","",INDEX(Table1[pembuat nota :],pajak[//]-offset))</f>
        <v>NOVI / CONDRO</v>
      </c>
      <c r="N14" s="85" t="str">
        <f ca="1">IF(pajak[[#This Row],[//]]="","",IF(INDEX(Table1[edited :],pajak[//]-offset)="","",INDEX(Table1[edited :],pajak[//]-offset)))</f>
        <v/>
      </c>
      <c r="O14" s="87"/>
      <c r="Q14" t="str">
        <f>Table4[[#Headers],[AM]]</f>
        <v>AM</v>
      </c>
      <c r="R14">
        <f t="shared" si="1"/>
        <v>23070010</v>
      </c>
      <c r="S14" s="183" t="e">
        <f ca="1">IF(Table4[[#This Row],[AM]]&amp;" "&amp;Table4[[#This Row],[---]]=INDIRECT("pajak[@["&amp;Table4[#Headers]&amp;"]]"),MATCH(Table4[[#This Row],[---]],INDIRECT($3:$3),0))</f>
        <v>#REF!</v>
      </c>
      <c r="T14" s="183" t="e">
        <f ca="1">IF((INDEX(INDIRECT($3:$3),Table4[[#This Row],[No. Invoice :]]+$2:$2))=INDIRECT("pajak[@["&amp;Table4[#Headers]&amp;"]]"),1)</f>
        <v>#REF!</v>
      </c>
      <c r="U14" s="183" t="e">
        <f ca="1">IF((INDEX(INDIRECT($3:$3),Table4[[#This Row],[No. Invoice :]]+$2:$2))=INDIRECT("pajak[@["&amp;Table4[#Headers]&amp;"]]"),1)</f>
        <v>#REF!</v>
      </c>
      <c r="V14" s="183" t="e">
        <f ca="1">IF((INDEX(INDIRECT($3:$3),Table4[[#This Row],[No. Invoice :]]+$2:$2))=INDIRECT("pajak[@["&amp;Table4[#Headers]&amp;"]]"),1)</f>
        <v>#REF!</v>
      </c>
      <c r="W14" s="184" t="e">
        <f ca="1">IF((INDEX(INDIRECT($3:$3),Table4[[#This Row],[No. Invoice :]]+$2:$2))=INDIRECT("pajak[@["&amp;Table4[#Headers]&amp;"]]"),1)</f>
        <v>#REF!</v>
      </c>
    </row>
    <row r="15" spans="1:26" x14ac:dyDescent="0.25">
      <c r="A15" s="292">
        <v>40</v>
      </c>
      <c r="C15" s="85">
        <f t="shared" ca="1" si="0"/>
        <v>40</v>
      </c>
      <c r="D15" t="str">
        <f ca="1">IF(pajak[[#This Row],[//]]="","",INDEX(Table1[No. Invoice :],pajak[//]-offset))</f>
        <v>AM 23070011</v>
      </c>
      <c r="E15" s="88">
        <f ca="1">IF(pajak[[#This Row],[//]]="","",INDEX(Table1[Tgl Invoice :],pajak[//]-offset))</f>
        <v>45117</v>
      </c>
      <c r="F15" s="85" t="str">
        <f ca="1">IF(pajak[[#This Row],[//]]="","",INDEX(Table1[Kode Sales :],pajak[//]-offset))</f>
        <v>G 4927</v>
      </c>
      <c r="G15" s="85" t="str">
        <f ca="1">IF(pajak[[#This Row],[//]]="","",INDEX(Table1[Toko],pajak[//]-offset))</f>
        <v>LILY JULIAWATI (REJO AGUNG) JOMBANG</v>
      </c>
      <c r="H15" s="87">
        <f ca="1">IF(pajak[[#This Row],[//]]="","",SUMIF(Table1[h_id],pajak[[#This Row],[//]],Table1[h_hargasebelumdiskon]))</f>
        <v>5904000</v>
      </c>
      <c r="I15" s="87">
        <f ca="1">IF(pajak[[#This Row],[//]]="","",SUMIF(Table1[h_id],pajak[[#This Row],[//]],Table1[h_diskon]))</f>
        <v>738000</v>
      </c>
      <c r="J15" s="87">
        <f ca="1">IF(pajak[[#This Row],[//]]="","",SUMIF(Table1[h_id],pajak[[#This Row],[//]],Table1[h_hargasetelahdiskon]))</f>
        <v>5166000</v>
      </c>
      <c r="K15" s="87">
        <f ca="1">IF(pajak[//]="","",pajak[[#This Row],[Sub Total]]/1.11*11%)</f>
        <v>511945.94594594586</v>
      </c>
      <c r="L15" s="87">
        <f ca="1">pajak[[#This Row],[Sub Total]]</f>
        <v>5166000</v>
      </c>
      <c r="M15" s="85" t="str">
        <f ca="1">IF(pajak[[#This Row],[//]]="","",INDEX(Table1[pembuat nota :],pajak[//]-offset))</f>
        <v>NOVI / CONDRO</v>
      </c>
      <c r="N15" s="85" t="str">
        <f ca="1">IF(pajak[[#This Row],[//]]="","",IF(INDEX(Table1[edited :],pajak[//]-offset)="","",INDEX(Table1[edited :],pajak[//]-offset)))</f>
        <v/>
      </c>
      <c r="O15" s="87"/>
      <c r="Q15" t="str">
        <f>Table4[[#Headers],[AM]]</f>
        <v>AM</v>
      </c>
      <c r="R15">
        <f t="shared" si="1"/>
        <v>23070011</v>
      </c>
      <c r="S15" s="183" t="e">
        <f ca="1">IF(Table4[[#This Row],[AM]]&amp;" "&amp;Table4[[#This Row],[---]]=INDIRECT("pajak[@["&amp;Table4[#Headers]&amp;"]]"),MATCH(Table4[[#This Row],[---]],INDIRECT($3:$3),0))</f>
        <v>#REF!</v>
      </c>
      <c r="T15" s="183" t="e">
        <f ca="1">IF((INDEX(INDIRECT($3:$3),Table4[[#This Row],[No. Invoice :]]+$2:$2))=INDIRECT("pajak[@["&amp;Table4[#Headers]&amp;"]]"),1)</f>
        <v>#REF!</v>
      </c>
      <c r="U15" s="183" t="e">
        <f ca="1">IF((INDEX(INDIRECT($3:$3),Table4[[#This Row],[No. Invoice :]]+$2:$2))=INDIRECT("pajak[@["&amp;Table4[#Headers]&amp;"]]"),1)</f>
        <v>#REF!</v>
      </c>
      <c r="V15" s="183" t="e">
        <f ca="1">IF((INDEX(INDIRECT($3:$3),Table4[[#This Row],[No. Invoice :]]+$2:$2))=INDIRECT("pajak[@["&amp;Table4[#Headers]&amp;"]]"),1)</f>
        <v>#REF!</v>
      </c>
      <c r="W15" s="184" t="e">
        <f ca="1">IF((INDEX(INDIRECT($3:$3),Table4[[#This Row],[No. Invoice :]]+$2:$2))=INDIRECT("pajak[@["&amp;Table4[#Headers]&amp;"]]"),1)</f>
        <v>#REF!</v>
      </c>
    </row>
    <row r="16" spans="1:26" x14ac:dyDescent="0.25">
      <c r="A16" s="292">
        <v>42</v>
      </c>
      <c r="C16" s="85">
        <f t="shared" ca="1" si="0"/>
        <v>42</v>
      </c>
      <c r="D16" t="str">
        <f ca="1">IF(pajak[[#This Row],[//]]="","",INDEX(Table1[No. Invoice :],pajak[//]-offset))</f>
        <v>AM 23070012</v>
      </c>
      <c r="E16" s="88">
        <f ca="1">IF(pajak[[#This Row],[//]]="","",INDEX(Table1[Tgl Invoice :],pajak[//]-offset))</f>
        <v>45117</v>
      </c>
      <c r="F16" s="85" t="str">
        <f ca="1">IF(pajak[[#This Row],[//]]="","",INDEX(Table1[Kode Sales :],pajak[//]-offset))</f>
        <v>KO 4823</v>
      </c>
      <c r="G16" s="85" t="str">
        <f ca="1">IF(pajak[[#This Row],[//]]="","",INDEX(Table1[Toko],pajak[//]-offset))</f>
        <v>CV LANCAR JAYA SENTOSA MALANG</v>
      </c>
      <c r="H16" s="87">
        <f ca="1">IF(pajak[[#This Row],[//]]="","",SUMIF(Table1[h_id],pajak[[#This Row],[//]],Table1[h_hargasebelumdiskon]))</f>
        <v>24736600</v>
      </c>
      <c r="I16" s="87">
        <f ca="1">IF(pajak[[#This Row],[//]]="","",SUMIF(Table1[h_id],pajak[[#This Row],[//]],Table1[h_diskon]))</f>
        <v>3092075</v>
      </c>
      <c r="J16" s="87">
        <f ca="1">IF(pajak[[#This Row],[//]]="","",SUMIF(Table1[h_id],pajak[[#This Row],[//]],Table1[h_hargasetelahdiskon]))</f>
        <v>21644525</v>
      </c>
      <c r="K16" s="87">
        <f ca="1">IF(pajak[//]="","",pajak[[#This Row],[Sub Total]]/1.11*11%)</f>
        <v>2144952.9279279276</v>
      </c>
      <c r="L16" s="87">
        <f ca="1">pajak[[#This Row],[Sub Total]]</f>
        <v>21644525</v>
      </c>
      <c r="M16" s="85" t="str">
        <f ca="1">IF(pajak[[#This Row],[//]]="","",INDEX(Table1[pembuat nota :],pajak[//]-offset))</f>
        <v>NOVI / CONDRO</v>
      </c>
      <c r="N16" s="85" t="str">
        <f ca="1">IF(pajak[[#This Row],[//]]="","",IF(INDEX(Table1[edited :],pajak[//]-offset)="","",INDEX(Table1[edited :],pajak[//]-offset)))</f>
        <v/>
      </c>
      <c r="O16" s="87"/>
      <c r="Q16" t="str">
        <f>Table4[[#Headers],[AM]]</f>
        <v>AM</v>
      </c>
      <c r="R16">
        <f t="shared" si="1"/>
        <v>23070012</v>
      </c>
      <c r="S16" s="183" t="e">
        <f ca="1">IF(Table4[[#This Row],[AM]]&amp;" "&amp;Table4[[#This Row],[---]]=INDIRECT("pajak[@["&amp;Table4[#Headers]&amp;"]]"),MATCH(Table4[[#This Row],[---]],INDIRECT($3:$3),0))</f>
        <v>#REF!</v>
      </c>
      <c r="T16" s="183" t="e">
        <f ca="1">IF((INDEX(INDIRECT($3:$3),Table4[[#This Row],[No. Invoice :]]+$2:$2))=INDIRECT("pajak[@["&amp;Table4[#Headers]&amp;"]]"),1)</f>
        <v>#REF!</v>
      </c>
      <c r="U16" s="183" t="e">
        <f ca="1">IF((INDEX(INDIRECT($3:$3),Table4[[#This Row],[No. Invoice :]]+$2:$2))=INDIRECT("pajak[@["&amp;Table4[#Headers]&amp;"]]"),1)</f>
        <v>#REF!</v>
      </c>
      <c r="V16" s="183" t="e">
        <f ca="1">IF((INDEX(INDIRECT($3:$3),Table4[[#This Row],[No. Invoice :]]+$2:$2))=INDIRECT("pajak[@["&amp;Table4[#Headers]&amp;"]]"),1)</f>
        <v>#REF!</v>
      </c>
      <c r="W16" s="184" t="e">
        <f ca="1">IF((INDEX(INDIRECT($3:$3),Table4[[#This Row],[No. Invoice :]]+$2:$2))=INDIRECT("pajak[@["&amp;Table4[#Headers]&amp;"]]"),1)</f>
        <v>#REF!</v>
      </c>
    </row>
    <row r="17" spans="1:23" x14ac:dyDescent="0.25">
      <c r="A17" s="292">
        <v>49</v>
      </c>
      <c r="C17" s="85">
        <f t="shared" ca="1" si="0"/>
        <v>49</v>
      </c>
      <c r="D17" t="str">
        <f ca="1">IF(pajak[[#This Row],[//]]="","",INDEX(Table1[No. Invoice :],pajak[//]-offset))</f>
        <v>AM 23070013</v>
      </c>
      <c r="E17" s="88">
        <f ca="1">IF(pajak[[#This Row],[//]]="","",INDEX(Table1[Tgl Invoice :],pajak[//]-offset))</f>
        <v>45117</v>
      </c>
      <c r="F17" s="85" t="str">
        <f ca="1">IF(pajak[[#This Row],[//]]="","",INDEX(Table1[Kode Sales :],pajak[//]-offset))</f>
        <v>KO 4883</v>
      </c>
      <c r="G17" s="85" t="str">
        <f ca="1">IF(pajak[[#This Row],[//]]="","",INDEX(Table1[Toko],pajak[//]-offset))</f>
        <v>HARNOYO (BENDAN) PEKALONGAN</v>
      </c>
      <c r="H17" s="87">
        <f ca="1">IF(pajak[[#This Row],[//]]="","",SUMIF(Table1[h_id],pajak[[#This Row],[//]],Table1[h_hargasebelumdiskon]))</f>
        <v>2112000</v>
      </c>
      <c r="I17" s="87">
        <f ca="1">IF(pajak[[#This Row],[//]]="","",SUMIF(Table1[h_id],pajak[[#This Row],[//]],Table1[h_diskon]))</f>
        <v>295680</v>
      </c>
      <c r="J17" s="87">
        <f ca="1">IF(pajak[[#This Row],[//]]="","",SUMIF(Table1[h_id],pajak[[#This Row],[//]],Table1[h_hargasetelahdiskon]))</f>
        <v>1816320</v>
      </c>
      <c r="K17" s="87">
        <f ca="1">IF(pajak[//]="","",pajak[[#This Row],[Sub Total]]/1.11*11%)</f>
        <v>179995.67567567568</v>
      </c>
      <c r="L17" s="87">
        <f ca="1">pajak[[#This Row],[Sub Total]]</f>
        <v>1816320</v>
      </c>
      <c r="M17" s="85" t="str">
        <f ca="1">IF(pajak[[#This Row],[//]]="","",INDEX(Table1[pembuat nota :],pajak[//]-offset))</f>
        <v>NOVI / CONDRO</v>
      </c>
      <c r="N17" s="85" t="str">
        <f ca="1">IF(pajak[[#This Row],[//]]="","",IF(INDEX(Table1[edited :],pajak[//]-offset)="","",INDEX(Table1[edited :],pajak[//]-offset)))</f>
        <v/>
      </c>
      <c r="O17" s="87"/>
      <c r="Q17" t="str">
        <f>Table4[[#Headers],[AM]]</f>
        <v>AM</v>
      </c>
      <c r="R17">
        <f t="shared" si="1"/>
        <v>23070013</v>
      </c>
      <c r="S17" s="183" t="e">
        <f ca="1">IF(Table4[[#This Row],[AM]]&amp;" "&amp;Table4[[#This Row],[---]]=INDIRECT("pajak[@["&amp;Table4[#Headers]&amp;"]]"),MATCH(Table4[[#This Row],[---]],INDIRECT($3:$3),0))</f>
        <v>#REF!</v>
      </c>
      <c r="T17" s="183" t="e">
        <f ca="1">IF((INDEX(INDIRECT($3:$3),Table4[[#This Row],[No. Invoice :]]+$2:$2))=INDIRECT("pajak[@["&amp;Table4[#Headers]&amp;"]]"),1)</f>
        <v>#REF!</v>
      </c>
      <c r="U17" s="183" t="e">
        <f ca="1">IF((INDEX(INDIRECT($3:$3),Table4[[#This Row],[No. Invoice :]]+$2:$2))=INDIRECT("pajak[@["&amp;Table4[#Headers]&amp;"]]"),1)</f>
        <v>#REF!</v>
      </c>
      <c r="V17" s="183" t="e">
        <f ca="1">IF((INDEX(INDIRECT($3:$3),Table4[[#This Row],[No. Invoice :]]+$2:$2))=INDIRECT("pajak[@["&amp;Table4[#Headers]&amp;"]]"),1)</f>
        <v>#REF!</v>
      </c>
      <c r="W17" s="184" t="e">
        <f ca="1">IF((INDEX(INDIRECT($3:$3),Table4[[#This Row],[No. Invoice :]]+$2:$2))=INDIRECT("pajak[@["&amp;Table4[#Headers]&amp;"]]"),1)</f>
        <v>#REF!</v>
      </c>
    </row>
    <row r="18" spans="1:23" x14ac:dyDescent="0.25">
      <c r="A18" s="292">
        <v>51</v>
      </c>
      <c r="C18" s="85">
        <f t="shared" ca="1" si="0"/>
        <v>51</v>
      </c>
      <c r="D18" t="str">
        <f ca="1">IF(pajak[[#This Row],[//]]="","",INDEX(Table1[No. Invoice :],pajak[//]-offset))</f>
        <v>AM 23070014</v>
      </c>
      <c r="E18" s="88">
        <f ca="1">IF(pajak[[#This Row],[//]]="","",INDEX(Table1[Tgl Invoice :],pajak[//]-offset))</f>
        <v>45118</v>
      </c>
      <c r="F18" s="85" t="str">
        <f ca="1">IF(pajak[[#This Row],[//]]="","",INDEX(Table1[Kode Sales :],pajak[//]-offset))</f>
        <v>KO 4888</v>
      </c>
      <c r="G18" s="85" t="str">
        <f ca="1">IF(pajak[[#This Row],[//]]="","",INDEX(Table1[Toko],pajak[//]-offset))</f>
        <v>SANTOSO BUDIONO (  ARMADA  ) PURWOKERTO</v>
      </c>
      <c r="H18" s="87">
        <f ca="1">IF(pajak[[#This Row],[//]]="","",SUMIF(Table1[h_id],pajak[[#This Row],[//]],Table1[h_hargasebelumdiskon]))</f>
        <v>3264000</v>
      </c>
      <c r="I18" s="87">
        <f ca="1">IF(pajak[[#This Row],[//]]="","",SUMIF(Table1[h_id],pajak[[#This Row],[//]],Table1[h_diskon]))</f>
        <v>419760</v>
      </c>
      <c r="J18" s="87">
        <f ca="1">IF(pajak[[#This Row],[//]]="","",SUMIF(Table1[h_id],pajak[[#This Row],[//]],Table1[h_hargasetelahdiskon]))</f>
        <v>2844240</v>
      </c>
      <c r="K18" s="87">
        <f ca="1">IF(pajak[//]="","",pajak[[#This Row],[Sub Total]]/1.11*11%)</f>
        <v>281861.6216216216</v>
      </c>
      <c r="L18" s="87">
        <f ca="1">pajak[[#This Row],[Sub Total]]</f>
        <v>2844240</v>
      </c>
      <c r="M18" s="85" t="str">
        <f ca="1">IF(pajak[[#This Row],[//]]="","",INDEX(Table1[pembuat nota :],pajak[//]-offset))</f>
        <v>NOVI / CONDRO</v>
      </c>
      <c r="N18" s="85" t="str">
        <f ca="1">IF(pajak[[#This Row],[//]]="","",IF(INDEX(Table1[edited :],pajak[//]-offset)="","",INDEX(Table1[edited :],pajak[//]-offset)))</f>
        <v/>
      </c>
      <c r="O18" s="87"/>
      <c r="Q18" t="str">
        <f>Table4[[#Headers],[AM]]</f>
        <v>AM</v>
      </c>
      <c r="R18">
        <f t="shared" si="1"/>
        <v>23070014</v>
      </c>
      <c r="S18" s="183" t="e">
        <f ca="1">IF(Table4[[#This Row],[AM]]&amp;" "&amp;Table4[[#This Row],[---]]=INDIRECT("pajak[@["&amp;Table4[#Headers]&amp;"]]"),MATCH(Table4[[#This Row],[---]],INDIRECT($3:$3),0))</f>
        <v>#REF!</v>
      </c>
      <c r="T18" s="183" t="e">
        <f ca="1">IF((INDEX(INDIRECT($3:$3),Table4[[#This Row],[No. Invoice :]]+$2:$2))=INDIRECT("pajak[@["&amp;Table4[#Headers]&amp;"]]"),1)</f>
        <v>#REF!</v>
      </c>
      <c r="U18" s="183" t="e">
        <f ca="1">IF((INDEX(INDIRECT($3:$3),Table4[[#This Row],[No. Invoice :]]+$2:$2))=INDIRECT("pajak[@["&amp;Table4[#Headers]&amp;"]]"),1)</f>
        <v>#REF!</v>
      </c>
      <c r="V18" s="183" t="e">
        <f ca="1">IF((INDEX(INDIRECT($3:$3),Table4[[#This Row],[No. Invoice :]]+$2:$2))=INDIRECT("pajak[@["&amp;Table4[#Headers]&amp;"]]"),1)</f>
        <v>#REF!</v>
      </c>
      <c r="W18" s="184" t="e">
        <f ca="1">IF((INDEX(INDIRECT($3:$3),Table4[[#This Row],[No. Invoice :]]+$2:$2))=INDIRECT("pajak[@["&amp;Table4[#Headers]&amp;"]]"),1)</f>
        <v>#REF!</v>
      </c>
    </row>
    <row r="19" spans="1:23" x14ac:dyDescent="0.25">
      <c r="A19" s="292">
        <v>54</v>
      </c>
      <c r="C19" s="85">
        <f t="shared" ca="1" si="0"/>
        <v>54</v>
      </c>
      <c r="D19" t="str">
        <f ca="1">IF(pajak[[#This Row],[//]]="","",INDEX(Table1[No. Invoice :],pajak[//]-offset))</f>
        <v>AM 23070015</v>
      </c>
      <c r="E19" s="88">
        <f ca="1">IF(pajak[[#This Row],[//]]="","",INDEX(Table1[Tgl Invoice :],pajak[//]-offset))</f>
        <v>45118</v>
      </c>
      <c r="F19" s="85" t="str">
        <f ca="1">IF(pajak[[#This Row],[//]]="","",INDEX(Table1[Kode Sales :],pajak[//]-offset))</f>
        <v>KO 4892</v>
      </c>
      <c r="G19" s="85" t="str">
        <f ca="1">IF(pajak[[#This Row],[//]]="","",INDEX(Table1[Toko],pajak[//]-offset))</f>
        <v>CV PELITA JAYA (ANUGERAH SEJAHTERA) PURWOKERTO</v>
      </c>
      <c r="H19" s="87">
        <f ca="1">IF(pajak[[#This Row],[//]]="","",SUMIF(Table1[h_id],pajak[[#This Row],[//]],Table1[h_hargasebelumdiskon]))</f>
        <v>6768000</v>
      </c>
      <c r="I19" s="87">
        <f ca="1">IF(pajak[[#This Row],[//]]="","",SUMIF(Table1[h_id],pajak[[#This Row],[//]],Table1[h_diskon]))</f>
        <v>913680</v>
      </c>
      <c r="J19" s="87">
        <f ca="1">IF(pajak[[#This Row],[//]]="","",SUMIF(Table1[h_id],pajak[[#This Row],[//]],Table1[h_hargasetelahdiskon]))</f>
        <v>5854320</v>
      </c>
      <c r="K19" s="87">
        <f ca="1">IF(pajak[//]="","",pajak[[#This Row],[Sub Total]]/1.11*11%)</f>
        <v>580157.83783783775</v>
      </c>
      <c r="L19" s="87">
        <f ca="1">pajak[[#This Row],[Sub Total]]</f>
        <v>5854320</v>
      </c>
      <c r="M19" s="85" t="str">
        <f ca="1">IF(pajak[[#This Row],[//]]="","",INDEX(Table1[pembuat nota :],pajak[//]-offset))</f>
        <v>NOVI / CONDRO</v>
      </c>
      <c r="N19" s="85" t="str">
        <f ca="1">IF(pajak[[#This Row],[//]]="","",IF(INDEX(Table1[edited :],pajak[//]-offset)="","",INDEX(Table1[edited :],pajak[//]-offset)))</f>
        <v/>
      </c>
      <c r="O19" s="87"/>
      <c r="Q19" t="str">
        <f>Table4[[#Headers],[AM]]</f>
        <v>AM</v>
      </c>
      <c r="R19">
        <f t="shared" si="1"/>
        <v>23070015</v>
      </c>
      <c r="S19" s="183" t="e">
        <f ca="1">IF(Table4[[#This Row],[AM]]&amp;" "&amp;Table4[[#This Row],[---]]=INDIRECT("pajak[@["&amp;Table4[#Headers]&amp;"]]"),MATCH(Table4[[#This Row],[---]],INDIRECT($3:$3),0))</f>
        <v>#REF!</v>
      </c>
      <c r="T19" s="183" t="e">
        <f ca="1">IF((INDEX(INDIRECT($3:$3),Table4[[#This Row],[No. Invoice :]]+$2:$2))=INDIRECT("pajak[@["&amp;Table4[#Headers]&amp;"]]"),1)</f>
        <v>#REF!</v>
      </c>
      <c r="U19" s="183" t="e">
        <f ca="1">IF((INDEX(INDIRECT($3:$3),Table4[[#This Row],[No. Invoice :]]+$2:$2))=INDIRECT("pajak[@["&amp;Table4[#Headers]&amp;"]]"),1)</f>
        <v>#REF!</v>
      </c>
      <c r="V19" s="183" t="e">
        <f ca="1">IF((INDEX(INDIRECT($3:$3),Table4[[#This Row],[No. Invoice :]]+$2:$2))=INDIRECT("pajak[@["&amp;Table4[#Headers]&amp;"]]"),1)</f>
        <v>#REF!</v>
      </c>
      <c r="W19" s="184" t="e">
        <f ca="1">IF((INDEX(INDIRECT($3:$3),Table4[[#This Row],[No. Invoice :]]+$2:$2))=INDIRECT("pajak[@["&amp;Table4[#Headers]&amp;"]]"),1)</f>
        <v>#REF!</v>
      </c>
    </row>
    <row r="20" spans="1:23" x14ac:dyDescent="0.25">
      <c r="A20" s="292">
        <v>57</v>
      </c>
      <c r="C20" s="85">
        <f t="shared" ca="1" si="0"/>
        <v>57</v>
      </c>
      <c r="D20" t="str">
        <f ca="1">IF(pajak[[#This Row],[//]]="","",INDEX(Table1[No. Invoice :],pajak[//]-offset))</f>
        <v>AM 23070016</v>
      </c>
      <c r="E20" s="88">
        <f ca="1">IF(pajak[[#This Row],[//]]="","",INDEX(Table1[Tgl Invoice :],pajak[//]-offset))</f>
        <v>45118</v>
      </c>
      <c r="F20" s="85" t="str">
        <f ca="1">IF(pajak[[#This Row],[//]]="","",INDEX(Table1[Kode Sales :],pajak[//]-offset))</f>
        <v>G 4963</v>
      </c>
      <c r="G20" s="85" t="str">
        <f ca="1">IF(pajak[[#This Row],[//]]="","",INDEX(Table1[Toko],pajak[//]-offset))</f>
        <v>GUNAWAN HARTONO KUSUMA ( NIKI SAE ) TULUNG AGUNG</v>
      </c>
      <c r="H20" s="87">
        <f ca="1">IF(pajak[[#This Row],[//]]="","",SUMIF(Table1[h_id],pajak[[#This Row],[//]],Table1[h_hargasebelumdiskon]))</f>
        <v>9331200</v>
      </c>
      <c r="I20" s="87">
        <f ca="1">IF(pajak[[#This Row],[//]]="","",SUMIF(Table1[h_id],pajak[[#This Row],[//]],Table1[h_diskon]))</f>
        <v>1166400</v>
      </c>
      <c r="J20" s="87">
        <f ca="1">IF(pajak[[#This Row],[//]]="","",SUMIF(Table1[h_id],pajak[[#This Row],[//]],Table1[h_hargasetelahdiskon]))</f>
        <v>8164800</v>
      </c>
      <c r="K20" s="87">
        <f ca="1">IF(pajak[//]="","",pajak[[#This Row],[Sub Total]]/1.11*11%)</f>
        <v>809124.32432432426</v>
      </c>
      <c r="L20" s="87">
        <f ca="1">pajak[[#This Row],[Sub Total]]</f>
        <v>8164800</v>
      </c>
      <c r="M20" s="85" t="str">
        <f ca="1">IF(pajak[[#This Row],[//]]="","",INDEX(Table1[pembuat nota :],pajak[//]-offset))</f>
        <v>NOVI / CONDRO</v>
      </c>
      <c r="N20" s="85" t="str">
        <f ca="1">IF(pajak[[#This Row],[//]]="","",IF(INDEX(Table1[edited :],pajak[//]-offset)="","",INDEX(Table1[edited :],pajak[//]-offset)))</f>
        <v/>
      </c>
      <c r="O20" s="87"/>
      <c r="Q20" t="str">
        <f>Table4[[#Headers],[AM]]</f>
        <v>AM</v>
      </c>
      <c r="R20">
        <f t="shared" si="1"/>
        <v>23070016</v>
      </c>
      <c r="S20" s="183" t="e">
        <f ca="1">IF(Table4[[#This Row],[AM]]&amp;" "&amp;Table4[[#This Row],[---]]=INDIRECT("pajak[@["&amp;Table4[#Headers]&amp;"]]"),MATCH(Table4[[#This Row],[---]],INDIRECT($3:$3),0))</f>
        <v>#REF!</v>
      </c>
      <c r="T20" s="183" t="e">
        <f ca="1">IF((INDEX(INDIRECT($3:$3),Table4[[#This Row],[No. Invoice :]]+$2:$2))=INDIRECT("pajak[@["&amp;Table4[#Headers]&amp;"]]"),1)</f>
        <v>#REF!</v>
      </c>
      <c r="U20" s="183" t="e">
        <f ca="1">IF((INDEX(INDIRECT($3:$3),Table4[[#This Row],[No. Invoice :]]+$2:$2))=INDIRECT("pajak[@["&amp;Table4[#Headers]&amp;"]]"),1)</f>
        <v>#REF!</v>
      </c>
      <c r="V20" s="183" t="e">
        <f ca="1">IF((INDEX(INDIRECT($3:$3),Table4[[#This Row],[No. Invoice :]]+$2:$2))=INDIRECT("pajak[@["&amp;Table4[#Headers]&amp;"]]"),1)</f>
        <v>#REF!</v>
      </c>
      <c r="W20" s="184" t="e">
        <f ca="1">IF((INDEX(INDIRECT($3:$3),Table4[[#This Row],[No. Invoice :]]+$2:$2))=INDIRECT("pajak[@["&amp;Table4[#Headers]&amp;"]]"),1)</f>
        <v>#REF!</v>
      </c>
    </row>
    <row r="21" spans="1:23" x14ac:dyDescent="0.25">
      <c r="A21" s="292">
        <v>59</v>
      </c>
      <c r="B21" s="276"/>
      <c r="C21" s="85">
        <f t="shared" ca="1" si="0"/>
        <v>59</v>
      </c>
      <c r="D21" t="str">
        <f ca="1">IF(pajak[[#This Row],[//]]="","",INDEX(Table1[No. Invoice :],pajak[//]-offset))</f>
        <v>AM 23070017</v>
      </c>
      <c r="E21" s="88">
        <f ca="1">IF(pajak[[#This Row],[//]]="","",INDEX(Table1[Tgl Invoice :],pajak[//]-offset))</f>
        <v>45119</v>
      </c>
      <c r="F21" s="85" t="str">
        <f ca="1">IF(pajak[[#This Row],[//]]="","",INDEX(Table1[Kode Sales :],pajak[//]-offset))</f>
        <v>KO 1295</v>
      </c>
      <c r="G21" s="85" t="str">
        <f ca="1">IF(pajak[[#This Row],[//]]="","",INDEX(Table1[Toko],pajak[//]-offset))</f>
        <v>CV LANCAR JAYA SENTOSA MALANG</v>
      </c>
      <c r="H21" s="87">
        <f ca="1">IF(pajak[[#This Row],[//]]="","",SUMIF(Table1[h_id],pajak[[#This Row],[//]],Table1[h_hargasebelumdiskon]))</f>
        <v>46140200</v>
      </c>
      <c r="I21" s="87">
        <f ca="1">IF(pajak[[#This Row],[//]]="","",SUMIF(Table1[h_id],pajak[[#This Row],[//]],Table1[h_diskon]))</f>
        <v>4111275</v>
      </c>
      <c r="J21" s="87">
        <f ca="1">IF(pajak[[#This Row],[//]]="","",SUMIF(Table1[h_id],pajak[[#This Row],[//]],Table1[h_hargasetelahdiskon]))</f>
        <v>42028925</v>
      </c>
      <c r="K21" s="87">
        <f ca="1">IF(pajak[//]="","",pajak[[#This Row],[Sub Total]]/1.11*11%)</f>
        <v>4165028.6036036029</v>
      </c>
      <c r="L21" s="87">
        <f ca="1">pajak[[#This Row],[Sub Total]]</f>
        <v>42028925</v>
      </c>
      <c r="M21" s="85" t="str">
        <f ca="1">IF(pajak[[#This Row],[//]]="","",INDEX(Table1[pembuat nota :],pajak[//]-offset))</f>
        <v>NOVI / CONDRO</v>
      </c>
      <c r="N21" s="85" t="str">
        <f ca="1">IF(pajak[[#This Row],[//]]="","",IF(INDEX(Table1[edited :],pajak[//]-offset)="","",INDEX(Table1[edited :],pajak[//]-offset)))</f>
        <v/>
      </c>
      <c r="O21" s="87"/>
      <c r="Q21" t="str">
        <f>Table4[[#Headers],[AM]]</f>
        <v>AM</v>
      </c>
      <c r="R21">
        <f t="shared" si="1"/>
        <v>23070017</v>
      </c>
      <c r="S21" s="183" t="e">
        <f ca="1">IF(Table4[[#This Row],[AM]]&amp;" "&amp;Table4[[#This Row],[---]]=INDIRECT("pajak[@["&amp;Table4[#Headers]&amp;"]]"),MATCH(Table4[[#This Row],[---]],INDIRECT($3:$3),0))</f>
        <v>#REF!</v>
      </c>
      <c r="T21" s="183" t="e">
        <f ca="1">IF((INDEX(INDIRECT($3:$3),Table4[[#This Row],[No. Invoice :]]+$2:$2))=INDIRECT("pajak[@["&amp;Table4[#Headers]&amp;"]]"),1)</f>
        <v>#REF!</v>
      </c>
      <c r="U21" s="183" t="e">
        <f ca="1">IF((INDEX(INDIRECT($3:$3),Table4[[#This Row],[No. Invoice :]]+$2:$2))=INDIRECT("pajak[@["&amp;Table4[#Headers]&amp;"]]"),1)</f>
        <v>#REF!</v>
      </c>
      <c r="V21" s="183" t="e">
        <f ca="1">IF((INDEX(INDIRECT($3:$3),Table4[[#This Row],[No. Invoice :]]+$2:$2))=INDIRECT("pajak[@["&amp;Table4[#Headers]&amp;"]]"),1)</f>
        <v>#REF!</v>
      </c>
      <c r="W21" s="184" t="e">
        <f ca="1">IF((INDEX(INDIRECT($3:$3),Table4[[#This Row],[No. Invoice :]]+$2:$2))=INDIRECT("pajak[@["&amp;Table4[#Headers]&amp;"]]"),1)</f>
        <v>#REF!</v>
      </c>
    </row>
    <row r="22" spans="1:23" x14ac:dyDescent="0.25">
      <c r="A22" s="292">
        <v>66</v>
      </c>
      <c r="C22" s="85">
        <f t="shared" ca="1" si="0"/>
        <v>66</v>
      </c>
      <c r="D22" t="str">
        <f ca="1">IF(pajak[[#This Row],[//]]="","",INDEX(Table1[No. Invoice :],pajak[//]-offset))</f>
        <v>AM 23070018</v>
      </c>
      <c r="E22" s="88">
        <f ca="1">IF(pajak[[#This Row],[//]]="","",INDEX(Table1[Tgl Invoice :],pajak[//]-offset))</f>
        <v>45119</v>
      </c>
      <c r="F22" s="85" t="str">
        <f ca="1">IF(pajak[[#This Row],[//]]="","",INDEX(Table1[Kode Sales :],pajak[//]-offset))</f>
        <v>KO 4897</v>
      </c>
      <c r="G22" s="85" t="str">
        <f ca="1">IF(pajak[[#This Row],[//]]="","",INDEX(Table1[Toko],pajak[//]-offset))</f>
        <v>CV PELITA JAYA (ANUGERAH SEJAHTERA) PURWOKERTO</v>
      </c>
      <c r="H22" s="87">
        <f ca="1">IF(pajak[[#This Row],[//]]="","",SUMIF(Table1[h_id],pajak[[#This Row],[//]],Table1[h_hargasebelumdiskon]))</f>
        <v>17793600</v>
      </c>
      <c r="I22" s="87">
        <f ca="1">IF(pajak[[#This Row],[//]]="","",SUMIF(Table1[h_id],pajak[[#This Row],[//]],Table1[h_diskon]))</f>
        <v>2402136</v>
      </c>
      <c r="J22" s="87">
        <f ca="1">IF(pajak[[#This Row],[//]]="","",SUMIF(Table1[h_id],pajak[[#This Row],[//]],Table1[h_hargasetelahdiskon]))</f>
        <v>15391464</v>
      </c>
      <c r="K22" s="87">
        <f ca="1">IF(pajak[//]="","",pajak[[#This Row],[Sub Total]]/1.11*11%)</f>
        <v>1525280.2162162161</v>
      </c>
      <c r="L22" s="87">
        <f ca="1">pajak[[#This Row],[Sub Total]]</f>
        <v>15391464</v>
      </c>
      <c r="M22" s="85" t="str">
        <f ca="1">IF(pajak[[#This Row],[//]]="","",INDEX(Table1[pembuat nota :],pajak[//]-offset))</f>
        <v>NOVI / CONDRO</v>
      </c>
      <c r="N22" s="85" t="str">
        <f ca="1">IF(pajak[[#This Row],[//]]="","",IF(INDEX(Table1[edited :],pajak[//]-offset)="","",INDEX(Table1[edited :],pajak[//]-offset)))</f>
        <v/>
      </c>
      <c r="O22" s="87"/>
      <c r="Q22" t="str">
        <f>Table4[[#Headers],[AM]]</f>
        <v>AM</v>
      </c>
      <c r="R22">
        <f t="shared" si="1"/>
        <v>23070018</v>
      </c>
      <c r="S22" s="183" t="e">
        <f ca="1">IF(Table4[[#This Row],[AM]]&amp;" "&amp;Table4[[#This Row],[---]]=INDIRECT("pajak[@["&amp;Table4[#Headers]&amp;"]]"),MATCH(Table4[[#This Row],[---]],INDIRECT($3:$3),0))</f>
        <v>#REF!</v>
      </c>
      <c r="T22" s="183" t="e">
        <f ca="1">IF((INDEX(INDIRECT($3:$3),Table4[[#This Row],[No. Invoice :]]+$2:$2))=INDIRECT("pajak[@["&amp;Table4[#Headers]&amp;"]]"),1)</f>
        <v>#REF!</v>
      </c>
      <c r="U22" s="183" t="e">
        <f ca="1">IF((INDEX(INDIRECT($3:$3),Table4[[#This Row],[No. Invoice :]]+$2:$2))=INDIRECT("pajak[@["&amp;Table4[#Headers]&amp;"]]"),1)</f>
        <v>#REF!</v>
      </c>
      <c r="V22" s="183" t="e">
        <f ca="1">IF((INDEX(INDIRECT($3:$3),Table4[[#This Row],[No. Invoice :]]+$2:$2))=INDIRECT("pajak[@["&amp;Table4[#Headers]&amp;"]]"),1)</f>
        <v>#REF!</v>
      </c>
      <c r="W22" s="184" t="e">
        <f ca="1">IF((INDEX(INDIRECT($3:$3),Table4[[#This Row],[No. Invoice :]]+$2:$2))=INDIRECT("pajak[@["&amp;Table4[#Headers]&amp;"]]"),1)</f>
        <v>#REF!</v>
      </c>
    </row>
    <row r="23" spans="1:23" x14ac:dyDescent="0.25">
      <c r="A23" s="292">
        <v>71</v>
      </c>
      <c r="C23" s="85">
        <f t="shared" ca="1" si="0"/>
        <v>71</v>
      </c>
      <c r="D23" t="str">
        <f ca="1">IF(pajak[[#This Row],[//]]="","",INDEX(Table1[No. Invoice :],pajak[//]-offset))</f>
        <v>AM 23070019</v>
      </c>
      <c r="E23" s="88">
        <f ca="1">IF(pajak[[#This Row],[//]]="","",INDEX(Table1[Tgl Invoice :],pajak[//]-offset))</f>
        <v>45121</v>
      </c>
      <c r="F23" s="85" t="str">
        <f ca="1">IF(pajak[[#This Row],[//]]="","",INDEX(Table1[Kode Sales :],pajak[//]-offset))</f>
        <v>KO 4899</v>
      </c>
      <c r="G23" s="85" t="str">
        <f ca="1">IF(pajak[[#This Row],[//]]="","",INDEX(Table1[Toko],pajak[//]-offset))</f>
        <v>GUNAWAN HARTONO KUSUMA ( NIKI SAE ) TULUNG AGUNG</v>
      </c>
      <c r="H23" s="87">
        <f ca="1">IF(pajak[[#This Row],[//]]="","",SUMIF(Table1[h_id],pajak[[#This Row],[//]],Table1[h_hargasebelumdiskon]))</f>
        <v>15228000</v>
      </c>
      <c r="I23" s="87">
        <f ca="1">IF(pajak[[#This Row],[//]]="","",SUMIF(Table1[h_id],pajak[[#This Row],[//]],Table1[h_diskon]))</f>
        <v>1903500</v>
      </c>
      <c r="J23" s="87">
        <f ca="1">IF(pajak[[#This Row],[//]]="","",SUMIF(Table1[h_id],pajak[[#This Row],[//]],Table1[h_hargasetelahdiskon]))</f>
        <v>13324500</v>
      </c>
      <c r="K23" s="87">
        <f ca="1">IF(pajak[//]="","",pajak[[#This Row],[Sub Total]]/1.11*11%)</f>
        <v>1320445.9459459458</v>
      </c>
      <c r="L23" s="87">
        <f ca="1">pajak[[#This Row],[Sub Total]]</f>
        <v>13324500</v>
      </c>
      <c r="M23" s="85" t="str">
        <f ca="1">IF(pajak[[#This Row],[//]]="","",INDEX(Table1[pembuat nota :],pajak[//]-offset))</f>
        <v>NOVI / CONDRO</v>
      </c>
      <c r="N23" s="85" t="str">
        <f ca="1">IF(pajak[[#This Row],[//]]="","",IF(INDEX(Table1[edited :],pajak[//]-offset)="","",INDEX(Table1[edited :],pajak[//]-offset)))</f>
        <v/>
      </c>
      <c r="O23" s="87"/>
      <c r="Q23" t="str">
        <f>Table4[[#Headers],[AM]]</f>
        <v>AM</v>
      </c>
      <c r="R23">
        <f t="shared" si="1"/>
        <v>23070019</v>
      </c>
      <c r="S23" s="183" t="e">
        <f ca="1">IF(Table4[[#This Row],[AM]]&amp;" "&amp;Table4[[#This Row],[---]]=INDIRECT("pajak[@["&amp;Table4[#Headers]&amp;"]]"),MATCH(Table4[[#This Row],[---]],INDIRECT($3:$3),0))</f>
        <v>#REF!</v>
      </c>
      <c r="T23" s="183" t="e">
        <f ca="1">IF((INDEX(INDIRECT($3:$3),Table4[[#This Row],[No. Invoice :]]+$2:$2))=INDIRECT("pajak[@["&amp;Table4[#Headers]&amp;"]]"),1)</f>
        <v>#REF!</v>
      </c>
      <c r="U23" s="183" t="e">
        <f ca="1">IF((INDEX(INDIRECT($3:$3),Table4[[#This Row],[No. Invoice :]]+$2:$2))=INDIRECT("pajak[@["&amp;Table4[#Headers]&amp;"]]"),1)</f>
        <v>#REF!</v>
      </c>
      <c r="V23" s="183" t="e">
        <f ca="1">IF((INDEX(INDIRECT($3:$3),Table4[[#This Row],[No. Invoice :]]+$2:$2))=INDIRECT("pajak[@["&amp;Table4[#Headers]&amp;"]]"),1)</f>
        <v>#REF!</v>
      </c>
      <c r="W23" s="184" t="e">
        <f ca="1">IF((INDEX(INDIRECT($3:$3),Table4[[#This Row],[No. Invoice :]]+$2:$2))=INDIRECT("pajak[@["&amp;Table4[#Headers]&amp;"]]"),1)</f>
        <v>#REF!</v>
      </c>
    </row>
    <row r="24" spans="1:23" x14ac:dyDescent="0.25">
      <c r="A24" s="292">
        <v>74</v>
      </c>
      <c r="C24" s="85">
        <f t="shared" ca="1" si="0"/>
        <v>74</v>
      </c>
      <c r="D24" s="85" t="str">
        <f ca="1">IF(pajak[[#This Row],[//]]="","",INDEX(Table1[No. Invoice :],pajak[//]-offset))</f>
        <v>AM 23070020</v>
      </c>
      <c r="E24" s="88">
        <f ca="1">IF(pajak[[#This Row],[//]]="","",INDEX(Table1[Tgl Invoice :],pajak[//]-offset))</f>
        <v>45121</v>
      </c>
      <c r="F24" s="85" t="str">
        <f ca="1">IF(pajak[[#This Row],[//]]="","",INDEX(Table1[Kode Sales :],pajak[//]-offset))</f>
        <v>KO 4980</v>
      </c>
      <c r="G24" s="85" t="str">
        <f ca="1">IF(pajak[[#This Row],[//]]="","",INDEX(Table1[Toko],pajak[//]-offset))</f>
        <v>HARNOYO (BENDAN) PEKALONGAN</v>
      </c>
      <c r="H24" s="87">
        <f ca="1">IF(pajak[[#This Row],[//]]="","",SUMIF(Table1[h_id],pajak[[#This Row],[//]],Table1[h_hargasebelumdiskon]))</f>
        <v>5448000</v>
      </c>
      <c r="I24" s="87">
        <f ca="1">IF(pajak[[#This Row],[//]]="","",SUMIF(Table1[h_id],pajak[[#This Row],[//]],Table1[h_diskon]))</f>
        <v>762720.00000000012</v>
      </c>
      <c r="J24" s="87">
        <f ca="1">IF(pajak[[#This Row],[//]]="","",SUMIF(Table1[h_id],pajak[[#This Row],[//]],Table1[h_hargasetelahdiskon]))</f>
        <v>4685280</v>
      </c>
      <c r="K24" s="87">
        <f ca="1">IF(pajak[//]="","",pajak[[#This Row],[Sub Total]]/1.11*11%)</f>
        <v>464307.02702702698</v>
      </c>
      <c r="L24" s="87">
        <f ca="1">pajak[[#This Row],[Sub Total]]</f>
        <v>4685280</v>
      </c>
      <c r="M24" s="85" t="str">
        <f ca="1">IF(pajak[[#This Row],[//]]="","",INDEX(Table1[pembuat nota :],pajak[//]-offset))</f>
        <v>NOVI / CONDRO</v>
      </c>
      <c r="N24" s="85" t="str">
        <f ca="1">IF(pajak[[#This Row],[//]]="","",IF(INDEX(Table1[edited :],pajak[//]-offset)="","",INDEX(Table1[edited :],pajak[//]-offset)))</f>
        <v/>
      </c>
      <c r="O24" s="87"/>
      <c r="Q24" t="str">
        <f>Table4[[#Headers],[AM]]</f>
        <v>AM</v>
      </c>
      <c r="R24">
        <f t="shared" si="1"/>
        <v>23070020</v>
      </c>
      <c r="S24" s="183" t="e">
        <f ca="1">IF(Table4[[#This Row],[AM]]&amp;" "&amp;Table4[[#This Row],[---]]=INDIRECT("pajak[@["&amp;Table4[#Headers]&amp;"]]"),MATCH(Table4[[#This Row],[---]],INDIRECT($3:$3),0))</f>
        <v>#REF!</v>
      </c>
      <c r="T24" s="183" t="e">
        <f ca="1">IF((INDEX(INDIRECT($3:$3),Table4[[#This Row],[No. Invoice :]]+$2:$2))=INDIRECT("pajak[@["&amp;Table4[#Headers]&amp;"]]"),1)</f>
        <v>#REF!</v>
      </c>
      <c r="U24" s="183" t="e">
        <f ca="1">IF((INDEX(INDIRECT($3:$3),Table4[[#This Row],[No. Invoice :]]+$2:$2))=INDIRECT("pajak[@["&amp;Table4[#Headers]&amp;"]]"),1)</f>
        <v>#REF!</v>
      </c>
      <c r="V24" s="183" t="e">
        <f ca="1">IF((INDEX(INDIRECT($3:$3),Table4[[#This Row],[No. Invoice :]]+$2:$2))=INDIRECT("pajak[@["&amp;Table4[#Headers]&amp;"]]"),1)</f>
        <v>#REF!</v>
      </c>
      <c r="W24" s="184" t="e">
        <f ca="1">IF((INDEX(INDIRECT($3:$3),Table4[[#This Row],[No. Invoice :]]+$2:$2))=INDIRECT("pajak[@["&amp;Table4[#Headers]&amp;"]]"),1)</f>
        <v>#REF!</v>
      </c>
    </row>
    <row r="25" spans="1:23" x14ac:dyDescent="0.25">
      <c r="A25" s="292">
        <v>78</v>
      </c>
      <c r="C25" s="85">
        <f t="shared" ca="1" si="0"/>
        <v>78</v>
      </c>
      <c r="D25" s="85" t="str">
        <f ca="1">IF(pajak[[#This Row],[//]]="","",INDEX(Table1[No. Invoice :],pajak[//]-offset))</f>
        <v>AM 23070021</v>
      </c>
      <c r="E25" s="88">
        <f ca="1">IF(pajak[[#This Row],[//]]="","",INDEX(Table1[Tgl Invoice :],pajak[//]-offset))</f>
        <v>45114</v>
      </c>
      <c r="F25" s="85" t="str">
        <f ca="1">IF(pajak[[#This Row],[//]]="","",INDEX(Table1[Kode Sales :],pajak[//]-offset))</f>
        <v>KO 4817</v>
      </c>
      <c r="G25" s="85" t="str">
        <f ca="1">IF(pajak[[#This Row],[//]]="","",INDEX(Table1[Toko],pajak[//]-offset))</f>
        <v>CV LANCAR JAYA SENTOSA MALANG</v>
      </c>
      <c r="H25" s="87">
        <f ca="1">IF(pajak[[#This Row],[//]]="","",SUMIF(Table1[h_id],pajak[[#This Row],[//]],Table1[h_hargasebelumdiskon]))</f>
        <v>1872000</v>
      </c>
      <c r="I25" s="87">
        <f ca="1">IF(pajak[[#This Row],[//]]="","",SUMIF(Table1[h_id],pajak[[#This Row],[//]],Table1[h_diskon]))</f>
        <v>234000</v>
      </c>
      <c r="J25" s="87">
        <f ca="1">IF(pajak[[#This Row],[//]]="","",SUMIF(Table1[h_id],pajak[[#This Row],[//]],Table1[h_hargasetelahdiskon]))</f>
        <v>1638000</v>
      </c>
      <c r="K25" s="87">
        <f ca="1">IF(pajak[//]="","",pajak[[#This Row],[Sub Total]]/1.11*11%)</f>
        <v>162324.32432432432</v>
      </c>
      <c r="L25" s="87">
        <f ca="1">pajak[[#This Row],[Sub Total]]</f>
        <v>1638000</v>
      </c>
      <c r="M25" s="85" t="str">
        <f ca="1">IF(pajak[[#This Row],[//]]="","",INDEX(Table1[pembuat nota :],pajak[//]-offset))</f>
        <v>NOVI / CONDRO</v>
      </c>
      <c r="N25" s="85" t="str">
        <f ca="1">IF(pajak[[#This Row],[//]]="","",IF(INDEX(Table1[edited :],pajak[//]-offset)="","",INDEX(Table1[edited :],pajak[//]-offset)))</f>
        <v/>
      </c>
      <c r="O25" s="87"/>
      <c r="Q25" t="str">
        <f>Table4[[#Headers],[AM]]</f>
        <v>AM</v>
      </c>
      <c r="R25">
        <f t="shared" si="1"/>
        <v>23070021</v>
      </c>
      <c r="S25" s="183" t="e">
        <f ca="1">IF(Table4[[#This Row],[AM]]&amp;" "&amp;Table4[[#This Row],[---]]=INDIRECT("pajak[@["&amp;Table4[#Headers]&amp;"]]"),MATCH(Table4[[#This Row],[---]],INDIRECT($3:$3),0))</f>
        <v>#REF!</v>
      </c>
      <c r="T25" s="183" t="e">
        <f ca="1">IF((INDEX(INDIRECT($3:$3),Table4[[#This Row],[No. Invoice :]]+$2:$2))=INDIRECT("pajak[@["&amp;Table4[#Headers]&amp;"]]"),1)</f>
        <v>#REF!</v>
      </c>
      <c r="U25" s="183" t="e">
        <f ca="1">IF((INDEX(INDIRECT($3:$3),Table4[[#This Row],[No. Invoice :]]+$2:$2))=INDIRECT("pajak[@["&amp;Table4[#Headers]&amp;"]]"),1)</f>
        <v>#REF!</v>
      </c>
      <c r="V25" s="183" t="e">
        <f ca="1">IF((INDEX(INDIRECT($3:$3),Table4[[#This Row],[No. Invoice :]]+$2:$2))=INDIRECT("pajak[@["&amp;Table4[#Headers]&amp;"]]"),1)</f>
        <v>#REF!</v>
      </c>
      <c r="W25" s="184" t="e">
        <f ca="1">IF((INDEX(INDIRECT($3:$3),Table4[[#This Row],[No. Invoice :]]+$2:$2))=INDIRECT("pajak[@["&amp;Table4[#Headers]&amp;"]]"),1)</f>
        <v>#REF!</v>
      </c>
    </row>
    <row r="26" spans="1:23" x14ac:dyDescent="0.25">
      <c r="A26" s="292">
        <v>80</v>
      </c>
      <c r="C26" s="85">
        <f t="shared" ca="1" si="0"/>
        <v>80</v>
      </c>
      <c r="D26" s="85" t="str">
        <f ca="1">IF(pajak[[#This Row],[//]]="","",INDEX(Table1[No. Invoice :],pajak[//]-offset))</f>
        <v>AM 23070022</v>
      </c>
      <c r="E26" s="88">
        <f ca="1">IF(pajak[[#This Row],[//]]="","",INDEX(Table1[Tgl Invoice :],pajak[//]-offset))</f>
        <v>45122</v>
      </c>
      <c r="F26" s="85" t="str">
        <f ca="1">IF(pajak[[#This Row],[//]]="","",INDEX(Table1[Kode Sales :],pajak[//]-offset))</f>
        <v>G 2359</v>
      </c>
      <c r="G26" s="85" t="str">
        <f ca="1">IF(pajak[[#This Row],[//]]="","",INDEX(Table1[Toko],pajak[//]-offset))</f>
        <v>GUNAWAN HARTONO KUSUMA ( NIKI SAE ) TULUNG AGUNG</v>
      </c>
      <c r="H26" s="87">
        <f ca="1">IF(pajak[[#This Row],[//]]="","",SUMIF(Table1[h_id],pajak[[#This Row],[//]],Table1[h_hargasebelumdiskon]))</f>
        <v>22269600</v>
      </c>
      <c r="I26" s="87">
        <f ca="1">IF(pajak[[#This Row],[//]]="","",SUMIF(Table1[h_id],pajak[[#This Row],[//]],Table1[h_diskon]))</f>
        <v>2783700</v>
      </c>
      <c r="J26" s="87">
        <f ca="1">IF(pajak[[#This Row],[//]]="","",SUMIF(Table1[h_id],pajak[[#This Row],[//]],Table1[h_hargasetelahdiskon]))</f>
        <v>19485900</v>
      </c>
      <c r="K26" s="87">
        <f ca="1">IF(pajak[//]="","",pajak[[#This Row],[Sub Total]]/1.11*11%)</f>
        <v>1931035.1351351349</v>
      </c>
      <c r="L26" s="87">
        <f ca="1">pajak[[#This Row],[Sub Total]]</f>
        <v>19485900</v>
      </c>
      <c r="M26" s="85" t="str">
        <f ca="1">IF(pajak[[#This Row],[//]]="","",INDEX(Table1[pembuat nota :],pajak[//]-offset))</f>
        <v>NOVI / CONDRO</v>
      </c>
      <c r="N26" s="85" t="str">
        <f ca="1">IF(pajak[[#This Row],[//]]="","",IF(INDEX(Table1[edited :],pajak[//]-offset)="","",INDEX(Table1[edited :],pajak[//]-offset)))</f>
        <v/>
      </c>
      <c r="O26" s="87"/>
      <c r="Q26" s="85" t="str">
        <f>Table4[[#Headers],[AM]]</f>
        <v>AM</v>
      </c>
      <c r="R26" s="85">
        <f t="shared" si="1"/>
        <v>23070022</v>
      </c>
      <c r="S26" s="184" t="e">
        <f ca="1">IF(Table4[[#This Row],[AM]]&amp;" "&amp;Table4[[#This Row],[---]]=INDIRECT("pajak[@["&amp;Table4[#Headers]&amp;"]]"),MATCH(Table4[[#This Row],[---]],INDIRECT($3:$3),0))</f>
        <v>#REF!</v>
      </c>
      <c r="T26" s="184" t="e">
        <f ca="1">IF((INDEX(INDIRECT($3:$3),Table4[[#This Row],[No. Invoice :]]+$2:$2))=INDIRECT("pajak[@["&amp;Table4[#Headers]&amp;"]]"),1)</f>
        <v>#REF!</v>
      </c>
      <c r="U26" s="184" t="e">
        <f ca="1">IF((INDEX(INDIRECT($3:$3),Table4[[#This Row],[No. Invoice :]]+$2:$2))=INDIRECT("pajak[@["&amp;Table4[#Headers]&amp;"]]"),1)</f>
        <v>#REF!</v>
      </c>
      <c r="V26" s="184" t="e">
        <f ca="1">IF((INDEX(INDIRECT($3:$3),Table4[[#This Row],[No. Invoice :]]+$2:$2))=INDIRECT("pajak[@["&amp;Table4[#Headers]&amp;"]]"),1)</f>
        <v>#REF!</v>
      </c>
      <c r="W26" s="184" t="e">
        <f ca="1">IF((INDEX(INDIRECT($3:$3),Table4[[#This Row],[No. Invoice :]]+$2:$2))=INDIRECT("pajak[@["&amp;Table4[#Headers]&amp;"]]"),1)</f>
        <v>#REF!</v>
      </c>
    </row>
    <row r="27" spans="1:23" x14ac:dyDescent="0.25">
      <c r="A27" s="292">
        <v>85</v>
      </c>
      <c r="C27" s="85">
        <f t="shared" ca="1" si="0"/>
        <v>85</v>
      </c>
      <c r="D27" s="85" t="str">
        <f ca="1">IF(pajak[[#This Row],[//]]="","",INDEX(Table1[No. Invoice :],pajak[//]-offset))</f>
        <v>AM 23070023</v>
      </c>
      <c r="E27" s="88">
        <f ca="1">IF(pajak[[#This Row],[//]]="","",INDEX(Table1[Tgl Invoice :],pajak[//]-offset))</f>
        <v>45122</v>
      </c>
      <c r="F27" s="85" t="str">
        <f ca="1">IF(pajak[[#This Row],[//]]="","",INDEX(Table1[Kode Sales :],pajak[//]-offset))</f>
        <v>KO 2366</v>
      </c>
      <c r="G27" s="85" t="str">
        <f ca="1">IF(pajak[[#This Row],[//]]="","",INDEX(Table1[Toko],pajak[//]-offset))</f>
        <v>CV PELITA JAYA (ANUGERAH SEJAHTERA) PURWOKERTO</v>
      </c>
      <c r="H27" s="87">
        <f ca="1">IF(pajak[[#This Row],[//]]="","",SUMIF(Table1[h_id],pajak[[#This Row],[//]],Table1[h_hargasebelumdiskon]))</f>
        <v>2592000</v>
      </c>
      <c r="I27" s="87">
        <f ca="1">IF(pajak[[#This Row],[//]]="","",SUMIF(Table1[h_id],pajak[[#This Row],[//]],Table1[h_diskon]))</f>
        <v>349920</v>
      </c>
      <c r="J27" s="87">
        <f ca="1">IF(pajak[[#This Row],[//]]="","",SUMIF(Table1[h_id],pajak[[#This Row],[//]],Table1[h_hargasetelahdiskon]))</f>
        <v>2242080</v>
      </c>
      <c r="K27" s="87">
        <f ca="1">IF(pajak[//]="","",pajak[[#This Row],[Sub Total]]/1.11*11%)</f>
        <v>222188.10810810808</v>
      </c>
      <c r="L27" s="87">
        <f ca="1">pajak[[#This Row],[Sub Total]]</f>
        <v>2242080</v>
      </c>
      <c r="M27" s="85" t="str">
        <f ca="1">IF(pajak[[#This Row],[//]]="","",INDEX(Table1[pembuat nota :],pajak[//]-offset))</f>
        <v>NOVI / CONDRO</v>
      </c>
      <c r="N27" s="85" t="str">
        <f ca="1">IF(pajak[[#This Row],[//]]="","",IF(INDEX(Table1[edited :],pajak[//]-offset)="","",INDEX(Table1[edited :],pajak[//]-offset)))</f>
        <v/>
      </c>
      <c r="O27" s="87"/>
      <c r="Q27" s="85" t="str">
        <f>Table4[[#Headers],[AM]]</f>
        <v>AM</v>
      </c>
      <c r="R27" s="85">
        <f t="shared" si="1"/>
        <v>23070023</v>
      </c>
      <c r="S27" s="184" t="e">
        <f ca="1">IF(Table4[[#This Row],[AM]]&amp;" "&amp;Table4[[#This Row],[---]]=INDIRECT("pajak[@["&amp;Table4[#Headers]&amp;"]]"),MATCH(Table4[[#This Row],[---]],INDIRECT($3:$3),0))</f>
        <v>#REF!</v>
      </c>
      <c r="T27" s="184" t="e">
        <f ca="1">IF((INDEX(INDIRECT($3:$3),Table4[[#This Row],[No. Invoice :]]+$2:$2))=INDIRECT("pajak[@["&amp;Table4[#Headers]&amp;"]]"),1)</f>
        <v>#REF!</v>
      </c>
      <c r="U27" s="184" t="e">
        <f ca="1">IF((INDEX(INDIRECT($3:$3),Table4[[#This Row],[No. Invoice :]]+$2:$2))=INDIRECT("pajak[@["&amp;Table4[#Headers]&amp;"]]"),1)</f>
        <v>#REF!</v>
      </c>
      <c r="V27" s="184" t="e">
        <f ca="1">IF((INDEX(INDIRECT($3:$3),Table4[[#This Row],[No. Invoice :]]+$2:$2))=INDIRECT("pajak[@["&amp;Table4[#Headers]&amp;"]]"),1)</f>
        <v>#REF!</v>
      </c>
      <c r="W27" s="184" t="e">
        <f ca="1">IF((INDEX(INDIRECT($3:$3),Table4[[#This Row],[No. Invoice :]]+$2:$2))=INDIRECT("pajak[@["&amp;Table4[#Headers]&amp;"]]"),1)</f>
        <v>#REF!</v>
      </c>
    </row>
    <row r="28" spans="1:23" x14ac:dyDescent="0.25">
      <c r="A28" s="292">
        <v>87</v>
      </c>
      <c r="C28" s="85">
        <f t="shared" ca="1" si="0"/>
        <v>87</v>
      </c>
      <c r="D28" s="85" t="str">
        <f ca="1">IF(pajak[[#This Row],[//]]="","",INDEX(Table1[No. Invoice :],pajak[//]-offset))</f>
        <v>AM 23070024</v>
      </c>
      <c r="E28" s="88">
        <f ca="1">IF(pajak[[#This Row],[//]]="","",INDEX(Table1[Tgl Invoice :],pajak[//]-offset))</f>
        <v>45122</v>
      </c>
      <c r="F28" s="85" t="str">
        <f ca="1">IF(pajak[[#This Row],[//]]="","",INDEX(Table1[Kode Sales :],pajak[//]-offset))</f>
        <v>G 4964</v>
      </c>
      <c r="G28" s="85" t="str">
        <f ca="1">IF(pajak[[#This Row],[//]]="","",INDEX(Table1[Toko],pajak[//]-offset))</f>
        <v>CV UTAMA PUTRA TULUNG AGUNG</v>
      </c>
      <c r="H28" s="87">
        <f ca="1">IF(pajak[[#This Row],[//]]="","",SUMIF(Table1[h_id],pajak[[#This Row],[//]],Table1[h_hargasebelumdiskon]))</f>
        <v>3110400</v>
      </c>
      <c r="I28" s="87">
        <f ca="1">IF(pajak[[#This Row],[//]]="","",SUMIF(Table1[h_id],pajak[[#This Row],[//]],Table1[h_diskon]))</f>
        <v>388800</v>
      </c>
      <c r="J28" s="87">
        <f ca="1">IF(pajak[[#This Row],[//]]="","",SUMIF(Table1[h_id],pajak[[#This Row],[//]],Table1[h_hargasetelahdiskon]))</f>
        <v>2721600</v>
      </c>
      <c r="K28" s="87">
        <f ca="1">IF(pajak[//]="","",pajak[[#This Row],[Sub Total]]/1.11*11%)</f>
        <v>269708.10810810811</v>
      </c>
      <c r="L28" s="87">
        <f ca="1">pajak[[#This Row],[Sub Total]]</f>
        <v>2721600</v>
      </c>
      <c r="M28" s="85" t="str">
        <f ca="1">IF(pajak[[#This Row],[//]]="","",INDEX(Table1[pembuat nota :],pajak[//]-offset))</f>
        <v>NOVI / CONDRO</v>
      </c>
      <c r="N28" s="85" t="str">
        <f ca="1">IF(pajak[[#This Row],[//]]="","",IF(INDEX(Table1[edited :],pajak[//]-offset)="","",INDEX(Table1[edited :],pajak[//]-offset)))</f>
        <v/>
      </c>
      <c r="O28" s="87"/>
      <c r="Q28" s="85" t="str">
        <f>Table4[[#Headers],[AM]]</f>
        <v>AM</v>
      </c>
      <c r="R28" s="85">
        <f t="shared" si="1"/>
        <v>23070024</v>
      </c>
      <c r="S28" s="184" t="e">
        <f ca="1">IF(Table4[[#This Row],[AM]]&amp;" "&amp;Table4[[#This Row],[---]]=INDIRECT("pajak[@["&amp;Table4[#Headers]&amp;"]]"),MATCH(Table4[[#This Row],[---]],INDIRECT($3:$3),0))</f>
        <v>#REF!</v>
      </c>
      <c r="T28" s="184" t="e">
        <f ca="1">IF((INDEX(INDIRECT($3:$3),Table4[[#This Row],[No. Invoice :]]+$2:$2))=INDIRECT("pajak[@["&amp;Table4[#Headers]&amp;"]]"),1)</f>
        <v>#REF!</v>
      </c>
      <c r="U28" s="184" t="e">
        <f ca="1">IF((INDEX(INDIRECT($3:$3),Table4[[#This Row],[No. Invoice :]]+$2:$2))=INDIRECT("pajak[@["&amp;Table4[#Headers]&amp;"]]"),1)</f>
        <v>#REF!</v>
      </c>
      <c r="V28" s="184" t="e">
        <f ca="1">IF((INDEX(INDIRECT($3:$3),Table4[[#This Row],[No. Invoice :]]+$2:$2))=INDIRECT("pajak[@["&amp;Table4[#Headers]&amp;"]]"),1)</f>
        <v>#REF!</v>
      </c>
      <c r="W28" s="184" t="e">
        <f ca="1">IF((INDEX(INDIRECT($3:$3),Table4[[#This Row],[No. Invoice :]]+$2:$2))=INDIRECT("pajak[@["&amp;Table4[#Headers]&amp;"]]"),1)</f>
        <v>#REF!</v>
      </c>
    </row>
    <row r="29" spans="1:23" x14ac:dyDescent="0.25">
      <c r="A29" s="292">
        <v>89</v>
      </c>
      <c r="C29" s="85">
        <f t="shared" ca="1" si="0"/>
        <v>89</v>
      </c>
      <c r="D29" s="85" t="str">
        <f ca="1">IF(pajak[[#This Row],[//]]="","",INDEX(Table1[No. Invoice :],pajak[//]-offset))</f>
        <v>AM 23070025</v>
      </c>
      <c r="E29" s="88">
        <f ca="1">IF(pajak[[#This Row],[//]]="","",INDEX(Table1[Tgl Invoice :],pajak[//]-offset))</f>
        <v>45124</v>
      </c>
      <c r="F29" s="85" t="str">
        <f ca="1">IF(pajak[[#This Row],[//]]="","",INDEX(Table1[Kode Sales :],pajak[//]-offset))</f>
        <v>KO 4993</v>
      </c>
      <c r="G29" s="85" t="str">
        <f ca="1">IF(pajak[[#This Row],[//]]="","",INDEX(Table1[Toko],pajak[//]-offset))</f>
        <v>CV PELITA JAYA (ANUGERAH SEJAHTERA) PURWOKERTO</v>
      </c>
      <c r="H29" s="87">
        <f ca="1">IF(pajak[[#This Row],[//]]="","",SUMIF(Table1[h_id],pajak[[#This Row],[//]],Table1[h_hargasebelumdiskon]))</f>
        <v>9391200</v>
      </c>
      <c r="I29" s="87">
        <f ca="1">IF(pajak[[#This Row],[//]]="","",SUMIF(Table1[h_id],pajak[[#This Row],[//]],Table1[h_diskon]))</f>
        <v>1173900</v>
      </c>
      <c r="J29" s="87">
        <f ca="1">IF(pajak[[#This Row],[//]]="","",SUMIF(Table1[h_id],pajak[[#This Row],[//]],Table1[h_hargasetelahdiskon]))</f>
        <v>8217300</v>
      </c>
      <c r="K29" s="87">
        <f ca="1">IF(pajak[//]="","",pajak[[#This Row],[Sub Total]]/1.11*11%)</f>
        <v>814327.02702702698</v>
      </c>
      <c r="L29" s="87">
        <f ca="1">pajak[[#This Row],[Sub Total]]</f>
        <v>8217300</v>
      </c>
      <c r="M29" s="85" t="str">
        <f ca="1">IF(pajak[[#This Row],[//]]="","",INDEX(Table1[pembuat nota :],pajak[//]-offset))</f>
        <v>NOVI / YO</v>
      </c>
      <c r="N29" s="85" t="str">
        <f ca="1">IF(pajak[[#This Row],[//]]="","",IF(INDEX(Table1[edited :],pajak[//]-offset)="","",INDEX(Table1[edited :],pajak[//]-offset)))</f>
        <v/>
      </c>
      <c r="O29" s="87"/>
      <c r="Q29" s="85" t="str">
        <f>Table4[[#Headers],[AM]]</f>
        <v>AM</v>
      </c>
      <c r="R29" s="85">
        <f t="shared" si="1"/>
        <v>23070025</v>
      </c>
      <c r="S29" s="184" t="e">
        <f ca="1">IF(Table4[[#This Row],[AM]]&amp;" "&amp;Table4[[#This Row],[---]]=INDIRECT("pajak[@["&amp;Table4[#Headers]&amp;"]]"),MATCH(Table4[[#This Row],[---]],INDIRECT($3:$3),0))</f>
        <v>#REF!</v>
      </c>
      <c r="T29" s="184" t="e">
        <f ca="1">IF((INDEX(INDIRECT($3:$3),Table4[[#This Row],[No. Invoice :]]+$2:$2))=INDIRECT("pajak[@["&amp;Table4[#Headers]&amp;"]]"),1)</f>
        <v>#REF!</v>
      </c>
      <c r="U29" s="184" t="e">
        <f ca="1">IF((INDEX(INDIRECT($3:$3),Table4[[#This Row],[No. Invoice :]]+$2:$2))=INDIRECT("pajak[@["&amp;Table4[#Headers]&amp;"]]"),1)</f>
        <v>#REF!</v>
      </c>
      <c r="V29" s="184" t="e">
        <f ca="1">IF((INDEX(INDIRECT($3:$3),Table4[[#This Row],[No. Invoice :]]+$2:$2))=INDIRECT("pajak[@["&amp;Table4[#Headers]&amp;"]]"),1)</f>
        <v>#REF!</v>
      </c>
      <c r="W29" s="184" t="e">
        <f ca="1">IF((INDEX(INDIRECT($3:$3),Table4[[#This Row],[No. Invoice :]]+$2:$2))=INDIRECT("pajak[@["&amp;Table4[#Headers]&amp;"]]"),1)</f>
        <v>#REF!</v>
      </c>
    </row>
    <row r="30" spans="1:23" x14ac:dyDescent="0.25">
      <c r="A30" s="292">
        <v>92</v>
      </c>
      <c r="C30" s="85">
        <f t="shared" ca="1" si="0"/>
        <v>92</v>
      </c>
      <c r="D30" s="85" t="str">
        <f ca="1">IF(pajak[[#This Row],[//]]="","",INDEX(Table1[No. Invoice :],pajak[//]-offset))</f>
        <v>AM 23070026</v>
      </c>
      <c r="E30" s="88">
        <f ca="1">IF(pajak[[#This Row],[//]]="","",INDEX(Table1[Tgl Invoice :],pajak[//]-offset))</f>
        <v>45127</v>
      </c>
      <c r="F30" s="85" t="str">
        <f ca="1">IF(pajak[[#This Row],[//]]="","",INDEX(Table1[Kode Sales :],pajak[//]-offset))</f>
        <v>G 2378</v>
      </c>
      <c r="G30" s="85" t="str">
        <f ca="1">IF(pajak[[#This Row],[//]]="","",INDEX(Table1[Toko],pajak[//]-offset))</f>
        <v>LILY JULIAWATI (REJO AGUNG) JOMBANG</v>
      </c>
      <c r="H30" s="87">
        <f ca="1">IF(pajak[[#This Row],[//]]="","",SUMIF(Table1[h_id],pajak[[#This Row],[//]],Table1[h_hargasebelumdiskon]))</f>
        <v>32130000</v>
      </c>
      <c r="I30" s="87">
        <f ca="1">IF(pajak[[#This Row],[//]]="","",SUMIF(Table1[h_id],pajak[[#This Row],[//]],Table1[h_diskon]))</f>
        <v>4016250</v>
      </c>
      <c r="J30" s="87">
        <f ca="1">IF(pajak[[#This Row],[//]]="","",SUMIF(Table1[h_id],pajak[[#This Row],[//]],Table1[h_hargasetelahdiskon]))</f>
        <v>28113750</v>
      </c>
      <c r="K30" s="87">
        <f ca="1">IF(pajak[//]="","",pajak[[#This Row],[Sub Total]]/1.11*11%)</f>
        <v>2786047.297297297</v>
      </c>
      <c r="L30" s="87">
        <f ca="1">pajak[[#This Row],[Sub Total]]</f>
        <v>28113750</v>
      </c>
      <c r="M30" s="85" t="str">
        <f ca="1">IF(pajak[[#This Row],[//]]="","",INDEX(Table1[pembuat nota :],pajak[//]-offset))</f>
        <v>NOVI / CONDRO</v>
      </c>
      <c r="N30" s="85" t="str">
        <f ca="1">IF(pajak[[#This Row],[//]]="","",IF(INDEX(Table1[edited :],pajak[//]-offset)="","",INDEX(Table1[edited :],pajak[//]-offset)))</f>
        <v/>
      </c>
      <c r="O30" s="87"/>
      <c r="P30"/>
      <c r="Q30" s="85" t="str">
        <f>Table4[[#Headers],[AM]]</f>
        <v>AM</v>
      </c>
      <c r="R30" s="85">
        <f t="shared" si="1"/>
        <v>23070026</v>
      </c>
      <c r="S30" s="184" t="e">
        <f ca="1">IF(Table4[[#This Row],[AM]]&amp;" "&amp;Table4[[#This Row],[---]]=INDIRECT("pajak[@["&amp;Table4[#Headers]&amp;"]]"),MATCH(Table4[[#This Row],[---]],INDIRECT($3:$3),0))</f>
        <v>#REF!</v>
      </c>
      <c r="T30" s="184" t="e">
        <f ca="1">IF((INDEX(INDIRECT($3:$3),Table4[[#This Row],[No. Invoice :]]+$2:$2))=INDIRECT("pajak[@["&amp;Table4[#Headers]&amp;"]]"),1)</f>
        <v>#REF!</v>
      </c>
      <c r="U30" s="184" t="e">
        <f ca="1">IF((INDEX(INDIRECT($3:$3),Table4[[#This Row],[No. Invoice :]]+$2:$2))=INDIRECT("pajak[@["&amp;Table4[#Headers]&amp;"]]"),1)</f>
        <v>#REF!</v>
      </c>
      <c r="V30" s="184" t="e">
        <f ca="1">IF((INDEX(INDIRECT($3:$3),Table4[[#This Row],[No. Invoice :]]+$2:$2))=INDIRECT("pajak[@["&amp;Table4[#Headers]&amp;"]]"),1)</f>
        <v>#REF!</v>
      </c>
      <c r="W30" s="184" t="e">
        <f ca="1">IF((INDEX(INDIRECT($3:$3),Table4[[#This Row],[No. Invoice :]]+$2:$2))=INDIRECT("pajak[@["&amp;Table4[#Headers]&amp;"]]"),1)</f>
        <v>#REF!</v>
      </c>
    </row>
    <row r="31" spans="1:23" x14ac:dyDescent="0.25">
      <c r="A31" s="292">
        <v>95</v>
      </c>
      <c r="C31" s="85">
        <f t="shared" ca="1" si="0"/>
        <v>95</v>
      </c>
      <c r="D31" s="85" t="str">
        <f ca="1">IF(pajak[[#This Row],[//]]="","",INDEX(Table1[No. Invoice :],pajak[//]-offset))</f>
        <v>AM 23070027</v>
      </c>
      <c r="E31" s="88">
        <f ca="1">IF(pajak[[#This Row],[//]]="","",INDEX(Table1[Tgl Invoice :],pajak[//]-offset))</f>
        <v>45127</v>
      </c>
      <c r="F31" s="85" t="str">
        <f ca="1">IF(pajak[[#This Row],[//]]="","",INDEX(Table1[Kode Sales :],pajak[//]-offset))</f>
        <v>KO 4835</v>
      </c>
      <c r="G31" s="85" t="str">
        <f ca="1">IF(pajak[[#This Row],[//]]="","",INDEX(Table1[Toko],pajak[//]-offset))</f>
        <v>CV LANCAR JAYA SENTOSA MALANG</v>
      </c>
      <c r="H31" s="87">
        <f ca="1">IF(pajak[[#This Row],[//]]="","",SUMIF(Table1[h_id],pajak[[#This Row],[//]],Table1[h_hargasebelumdiskon]))</f>
        <v>9804000</v>
      </c>
      <c r="I31" s="87">
        <f ca="1">IF(pajak[[#This Row],[//]]="","",SUMIF(Table1[h_id],pajak[[#This Row],[//]],Table1[h_diskon]))</f>
        <v>1225500</v>
      </c>
      <c r="J31" s="87">
        <f ca="1">IF(pajak[[#This Row],[//]]="","",SUMIF(Table1[h_id],pajak[[#This Row],[//]],Table1[h_hargasetelahdiskon]))</f>
        <v>8578500</v>
      </c>
      <c r="K31" s="87">
        <f ca="1">IF(pajak[//]="","",pajak[[#This Row],[Sub Total]]/1.11*11%)</f>
        <v>850121.62162162154</v>
      </c>
      <c r="L31" s="87">
        <f ca="1">pajak[[#This Row],[Sub Total]]</f>
        <v>8578500</v>
      </c>
      <c r="M31" s="85" t="str">
        <f ca="1">IF(pajak[[#This Row],[//]]="","",INDEX(Table1[pembuat nota :],pajak[//]-offset))</f>
        <v>NOVI / CONDRO</v>
      </c>
      <c r="N31" s="85" t="str">
        <f ca="1">IF(pajak[[#This Row],[//]]="","",IF(INDEX(Table1[edited :],pajak[//]-offset)="","",INDEX(Table1[edited :],pajak[//]-offset)))</f>
        <v/>
      </c>
      <c r="O31" s="87"/>
      <c r="Q31" s="85" t="str">
        <f>Table4[[#Headers],[AM]]</f>
        <v>AM</v>
      </c>
      <c r="R31" s="85">
        <f t="shared" si="1"/>
        <v>23070027</v>
      </c>
      <c r="S31" s="184" t="e">
        <f ca="1">IF(Table4[[#This Row],[AM]]&amp;" "&amp;Table4[[#This Row],[---]]=INDIRECT("pajak[@["&amp;Table4[#Headers]&amp;"]]"),MATCH(Table4[[#This Row],[---]],INDIRECT($3:$3),0))</f>
        <v>#REF!</v>
      </c>
      <c r="T31" s="184" t="e">
        <f ca="1">IF((INDEX(INDIRECT($3:$3),Table4[[#This Row],[No. Invoice :]]+$2:$2))=INDIRECT("pajak[@["&amp;Table4[#Headers]&amp;"]]"),1)</f>
        <v>#REF!</v>
      </c>
      <c r="U31" s="184" t="e">
        <f ca="1">IF((INDEX(INDIRECT($3:$3),Table4[[#This Row],[No. Invoice :]]+$2:$2))=INDIRECT("pajak[@["&amp;Table4[#Headers]&amp;"]]"),1)</f>
        <v>#REF!</v>
      </c>
      <c r="V31" s="184" t="e">
        <f ca="1">IF((INDEX(INDIRECT($3:$3),Table4[[#This Row],[No. Invoice :]]+$2:$2))=INDIRECT("pajak[@["&amp;Table4[#Headers]&amp;"]]"),1)</f>
        <v>#REF!</v>
      </c>
      <c r="W31" s="184" t="e">
        <f ca="1">IF((INDEX(INDIRECT($3:$3),Table4[[#This Row],[No. Invoice :]]+$2:$2))=INDIRECT("pajak[@["&amp;Table4[#Headers]&amp;"]]"),1)</f>
        <v>#REF!</v>
      </c>
    </row>
    <row r="32" spans="1:23" x14ac:dyDescent="0.25">
      <c r="A32" s="292">
        <v>98</v>
      </c>
      <c r="C32" s="85">
        <f t="shared" ca="1" si="0"/>
        <v>98</v>
      </c>
      <c r="D32" s="85" t="str">
        <f ca="1">IF(pajak[[#This Row],[//]]="","",INDEX(Table1[No. Invoice :],pajak[//]-offset))</f>
        <v>AM 23070028</v>
      </c>
      <c r="E32" s="88">
        <f ca="1">IF(pajak[[#This Row],[//]]="","",INDEX(Table1[Tgl Invoice :],pajak[//]-offset))</f>
        <v>45128</v>
      </c>
      <c r="F32" s="85" t="str">
        <f ca="1">IF(pajak[[#This Row],[//]]="","",INDEX(Table1[Kode Sales :],pajak[//]-offset))</f>
        <v>KO 2380</v>
      </c>
      <c r="G32" s="85" t="str">
        <f ca="1">IF(pajak[[#This Row],[//]]="","",INDEX(Table1[Toko],pajak[//]-offset))</f>
        <v>CV PELITA JAYA (ANUGERAH SEJAHTERA) PURWOKERTO</v>
      </c>
      <c r="H32" s="87">
        <f ca="1">IF(pajak[[#This Row],[//]]="","",SUMIF(Table1[h_id],pajak[[#This Row],[//]],Table1[h_hargasebelumdiskon]))</f>
        <v>4560000</v>
      </c>
      <c r="I32" s="87">
        <f ca="1">IF(pajak[[#This Row],[//]]="","",SUMIF(Table1[h_id],pajak[[#This Row],[//]],Table1[h_diskon]))</f>
        <v>615600</v>
      </c>
      <c r="J32" s="87">
        <f ca="1">IF(pajak[[#This Row],[//]]="","",SUMIF(Table1[h_id],pajak[[#This Row],[//]],Table1[h_hargasetelahdiskon]))</f>
        <v>3944400</v>
      </c>
      <c r="K32" s="87">
        <f ca="1">IF(pajak[//]="","",pajak[[#This Row],[Sub Total]]/1.11*11%)</f>
        <v>390886.48648648645</v>
      </c>
      <c r="L32" s="87">
        <f ca="1">pajak[[#This Row],[Sub Total]]</f>
        <v>3944400</v>
      </c>
      <c r="M32" s="85" t="str">
        <f ca="1">IF(pajak[[#This Row],[//]]="","",INDEX(Table1[pembuat nota :],pajak[//]-offset))</f>
        <v>NOVI / CONDRO</v>
      </c>
      <c r="N32" s="85" t="str">
        <f ca="1">IF(pajak[[#This Row],[//]]="","",IF(INDEX(Table1[edited :],pajak[//]-offset)="","",INDEX(Table1[edited :],pajak[//]-offset)))</f>
        <v/>
      </c>
      <c r="O32" s="87"/>
      <c r="Q32" s="85" t="str">
        <f>Table4[[#Headers],[AM]]</f>
        <v>AM</v>
      </c>
      <c r="R32" s="85">
        <f t="shared" si="1"/>
        <v>23070028</v>
      </c>
      <c r="S32" s="184" t="e">
        <f ca="1">IF(Table4[[#This Row],[AM]]&amp;" "&amp;Table4[[#This Row],[---]]=INDIRECT("pajak[@["&amp;Table4[#Headers]&amp;"]]"),MATCH(Table4[[#This Row],[---]],INDIRECT($3:$3),0))</f>
        <v>#REF!</v>
      </c>
      <c r="T32" s="184" t="e">
        <f ca="1">IF((INDEX(INDIRECT($3:$3),Table4[[#This Row],[No. Invoice :]]+$2:$2))=INDIRECT("pajak[@["&amp;Table4[#Headers]&amp;"]]"),1)</f>
        <v>#REF!</v>
      </c>
      <c r="U32" s="184" t="e">
        <f ca="1">IF((INDEX(INDIRECT($3:$3),Table4[[#This Row],[No. Invoice :]]+$2:$2))=INDIRECT("pajak[@["&amp;Table4[#Headers]&amp;"]]"),1)</f>
        <v>#REF!</v>
      </c>
      <c r="V32" s="184" t="e">
        <f ca="1">IF((INDEX(INDIRECT($3:$3),Table4[[#This Row],[No. Invoice :]]+$2:$2))=INDIRECT("pajak[@["&amp;Table4[#Headers]&amp;"]]"),1)</f>
        <v>#REF!</v>
      </c>
      <c r="W32" s="184" t="e">
        <f ca="1">IF((INDEX(INDIRECT($3:$3),Table4[[#This Row],[No. Invoice :]]+$2:$2))=INDIRECT("pajak[@["&amp;Table4[#Headers]&amp;"]]"),1)</f>
        <v>#REF!</v>
      </c>
    </row>
    <row r="33" spans="1:23" x14ac:dyDescent="0.25">
      <c r="A33" s="292">
        <v>100</v>
      </c>
      <c r="C33" s="85">
        <f t="shared" ca="1" si="0"/>
        <v>100</v>
      </c>
      <c r="D33" s="85" t="str">
        <f ca="1">IF(pajak[[#This Row],[//]]="","",INDEX(Table1[No. Invoice :],pajak[//]-offset))</f>
        <v>AM 23070029</v>
      </c>
      <c r="E33" s="88">
        <f ca="1">IF(pajak[[#This Row],[//]]="","",INDEX(Table1[Tgl Invoice :],pajak[//]-offset))</f>
        <v>45129</v>
      </c>
      <c r="F33" s="85" t="str">
        <f ca="1">IF(pajak[[#This Row],[//]]="","",INDEX(Table1[Kode Sales :],pajak[//]-offset))</f>
        <v>KO 2388</v>
      </c>
      <c r="G33" s="85" t="str">
        <f ca="1">IF(pajak[[#This Row],[//]]="","",INDEX(Table1[Toko],pajak[//]-offset))</f>
        <v>HARNOYO (BENDAN) PEKALONGAN</v>
      </c>
      <c r="H33" s="87">
        <f ca="1">IF(pajak[[#This Row],[//]]="","",SUMIF(Table1[h_id],pajak[[#This Row],[//]],Table1[h_hargasebelumdiskon]))</f>
        <v>7657200</v>
      </c>
      <c r="I33" s="87">
        <f ca="1">IF(pajak[[#This Row],[//]]="","",SUMIF(Table1[h_id],pajak[[#This Row],[//]],Table1[h_diskon]))</f>
        <v>1072008</v>
      </c>
      <c r="J33" s="87">
        <f ca="1">IF(pajak[[#This Row],[//]]="","",SUMIF(Table1[h_id],pajak[[#This Row],[//]],Table1[h_hargasetelahdiskon]))</f>
        <v>6585192</v>
      </c>
      <c r="K33" s="87">
        <f ca="1">IF(pajak[//]="","",pajak[[#This Row],[Sub Total]]/1.11*11%)</f>
        <v>652586.59459459456</v>
      </c>
      <c r="L33" s="87">
        <f ca="1">pajak[[#This Row],[Sub Total]]</f>
        <v>6585192</v>
      </c>
      <c r="M33" s="85" t="str">
        <f ca="1">IF(pajak[[#This Row],[//]]="","",INDEX(Table1[pembuat nota :],pajak[//]-offset))</f>
        <v>NOVI / CONDRO</v>
      </c>
      <c r="N33" s="85" t="str">
        <f ca="1">IF(pajak[[#This Row],[//]]="","",IF(INDEX(Table1[edited :],pajak[//]-offset)="","",INDEX(Table1[edited :],pajak[//]-offset)))</f>
        <v/>
      </c>
      <c r="O33" s="87"/>
      <c r="Q33" s="85" t="str">
        <f>Table4[[#Headers],[AM]]</f>
        <v>AM</v>
      </c>
      <c r="R33" s="85">
        <f t="shared" si="1"/>
        <v>23070029</v>
      </c>
      <c r="S33" s="184" t="e">
        <f ca="1">IF(Table4[[#This Row],[AM]]&amp;" "&amp;Table4[[#This Row],[---]]=INDIRECT("pajak[@["&amp;Table4[#Headers]&amp;"]]"),MATCH(Table4[[#This Row],[---]],INDIRECT($3:$3),0))</f>
        <v>#REF!</v>
      </c>
      <c r="T33" s="184" t="e">
        <f ca="1">IF((INDEX(INDIRECT($3:$3),Table4[[#This Row],[No. Invoice :]]+$2:$2))=INDIRECT("pajak[@["&amp;Table4[#Headers]&amp;"]]"),1)</f>
        <v>#REF!</v>
      </c>
      <c r="U33" s="184" t="e">
        <f ca="1">IF((INDEX(INDIRECT($3:$3),Table4[[#This Row],[No. Invoice :]]+$2:$2))=INDIRECT("pajak[@["&amp;Table4[#Headers]&amp;"]]"),1)</f>
        <v>#REF!</v>
      </c>
      <c r="V33" s="184" t="e">
        <f ca="1">IF((INDEX(INDIRECT($3:$3),Table4[[#This Row],[No. Invoice :]]+$2:$2))=INDIRECT("pajak[@["&amp;Table4[#Headers]&amp;"]]"),1)</f>
        <v>#REF!</v>
      </c>
      <c r="W33" s="184" t="e">
        <f ca="1">IF((INDEX(INDIRECT($3:$3),Table4[[#This Row],[No. Invoice :]]+$2:$2))=INDIRECT("pajak[@["&amp;Table4[#Headers]&amp;"]]"),1)</f>
        <v>#REF!</v>
      </c>
    </row>
    <row r="34" spans="1:23" x14ac:dyDescent="0.25">
      <c r="A34" s="292">
        <v>104</v>
      </c>
      <c r="C34" s="85">
        <f t="shared" ca="1" si="0"/>
        <v>104</v>
      </c>
      <c r="D34" s="85" t="str">
        <f ca="1">IF(pajak[[#This Row],[//]]="","",INDEX(Table1[No. Invoice :],pajak[//]-offset))</f>
        <v>AM 23070030</v>
      </c>
      <c r="E34" s="88">
        <f ca="1">IF(pajak[[#This Row],[//]]="","",INDEX(Table1[Tgl Invoice :],pajak[//]-offset))</f>
        <v>45131</v>
      </c>
      <c r="F34" s="85" t="str">
        <f ca="1">IF(pajak[[#This Row],[//]]="","",INDEX(Table1[Kode Sales :],pajak[//]-offset))</f>
        <v>KO 4840</v>
      </c>
      <c r="G34" s="85" t="str">
        <f ca="1">IF(pajak[[#This Row],[//]]="","",INDEX(Table1[Toko],pajak[//]-offset))</f>
        <v>CV LANCAR JAYA SENTOSA MALANG</v>
      </c>
      <c r="H34" s="87">
        <f ca="1">IF(pajak[[#This Row],[//]]="","",SUMIF(Table1[h_id],pajak[[#This Row],[//]],Table1[h_hargasebelumdiskon]))</f>
        <v>8208000</v>
      </c>
      <c r="I34" s="87">
        <f ca="1">IF(pajak[[#This Row],[//]]="","",SUMIF(Table1[h_id],pajak[[#This Row],[//]],Table1[h_diskon]))</f>
        <v>1026000</v>
      </c>
      <c r="J34" s="87">
        <f ca="1">IF(pajak[[#This Row],[//]]="","",SUMIF(Table1[h_id],pajak[[#This Row],[//]],Table1[h_hargasetelahdiskon]))</f>
        <v>7182000</v>
      </c>
      <c r="K34" s="87">
        <f ca="1">IF(pajak[//]="","",pajak[[#This Row],[Sub Total]]/1.11*11%)</f>
        <v>711729.72972972959</v>
      </c>
      <c r="L34" s="87">
        <f ca="1">pajak[[#This Row],[Sub Total]]</f>
        <v>7182000</v>
      </c>
      <c r="M34" s="85" t="str">
        <f ca="1">IF(pajak[[#This Row],[//]]="","",INDEX(Table1[pembuat nota :],pajak[//]-offset))</f>
        <v>NOVI / CONDRO</v>
      </c>
      <c r="N34" s="85" t="str">
        <f ca="1">IF(pajak[[#This Row],[//]]="","",IF(INDEX(Table1[edited :],pajak[//]-offset)="","",INDEX(Table1[edited :],pajak[//]-offset)))</f>
        <v/>
      </c>
      <c r="O34" s="87"/>
      <c r="Q34" s="85" t="str">
        <f>Table4[[#Headers],[AM]]</f>
        <v>AM</v>
      </c>
      <c r="R34" s="85">
        <f t="shared" si="1"/>
        <v>23070030</v>
      </c>
      <c r="S34" s="184" t="e">
        <f ca="1">IF(Table4[[#This Row],[AM]]&amp;" "&amp;Table4[[#This Row],[---]]=INDIRECT("pajak[@["&amp;Table4[#Headers]&amp;"]]"),MATCH(Table4[[#This Row],[---]],INDIRECT($3:$3),0))</f>
        <v>#REF!</v>
      </c>
      <c r="T34" s="184" t="e">
        <f ca="1">IF((INDEX(INDIRECT($3:$3),Table4[[#This Row],[No. Invoice :]]+$2:$2))=INDIRECT("pajak[@["&amp;Table4[#Headers]&amp;"]]"),1)</f>
        <v>#REF!</v>
      </c>
      <c r="U34" s="184" t="e">
        <f ca="1">IF((INDEX(INDIRECT($3:$3),Table4[[#This Row],[No. Invoice :]]+$2:$2))=INDIRECT("pajak[@["&amp;Table4[#Headers]&amp;"]]"),1)</f>
        <v>#REF!</v>
      </c>
      <c r="V34" s="184" t="e">
        <f ca="1">IF((INDEX(INDIRECT($3:$3),Table4[[#This Row],[No. Invoice :]]+$2:$2))=INDIRECT("pajak[@["&amp;Table4[#Headers]&amp;"]]"),1)</f>
        <v>#REF!</v>
      </c>
      <c r="W34" s="184" t="e">
        <f ca="1">IF((INDEX(INDIRECT($3:$3),Table4[[#This Row],[No. Invoice :]]+$2:$2))=INDIRECT("pajak[@["&amp;Table4[#Headers]&amp;"]]"),1)</f>
        <v>#REF!</v>
      </c>
    </row>
    <row r="35" spans="1:23" x14ac:dyDescent="0.25">
      <c r="A35" s="292">
        <v>107</v>
      </c>
      <c r="C35" s="85">
        <f t="shared" ca="1" si="0"/>
        <v>107</v>
      </c>
      <c r="D35" s="85" t="str">
        <f ca="1">IF(pajak[[#This Row],[//]]="","",INDEX(Table1[No. Invoice :],pajak[//]-offset))</f>
        <v>AM 23070031</v>
      </c>
      <c r="E35" s="88">
        <f ca="1">IF(pajak[[#This Row],[//]]="","",INDEX(Table1[Tgl Invoice :],pajak[//]-offset))</f>
        <v>45131</v>
      </c>
      <c r="F35" s="85" t="str">
        <f ca="1">IF(pajak[[#This Row],[//]]="","",INDEX(Table1[Kode Sales :],pajak[//]-offset))</f>
        <v>G 2397</v>
      </c>
      <c r="G35" s="85" t="str">
        <f ca="1">IF(pajak[[#This Row],[//]]="","",INDEX(Table1[Toko],pajak[//]-offset))</f>
        <v>LILY JULIAWATI (REJO AGUNG) JOMBANG</v>
      </c>
      <c r="H35" s="87">
        <f ca="1">IF(pajak[[#This Row],[//]]="","",SUMIF(Table1[h_id],pajak[[#This Row],[//]],Table1[h_hargasebelumdiskon]))</f>
        <v>21101200</v>
      </c>
      <c r="I35" s="87">
        <f ca="1">IF(pajak[[#This Row],[//]]="","",SUMIF(Table1[h_id],pajak[[#This Row],[//]],Table1[h_diskon]))</f>
        <v>2637650</v>
      </c>
      <c r="J35" s="87">
        <f ca="1">IF(pajak[[#This Row],[//]]="","",SUMIF(Table1[h_id],pajak[[#This Row],[//]],Table1[h_hargasetelahdiskon]))</f>
        <v>18463550</v>
      </c>
      <c r="K35" s="87">
        <f ca="1">IF(pajak[//]="","",pajak[[#This Row],[Sub Total]]/1.11*11%)</f>
        <v>1829721.1711711709</v>
      </c>
      <c r="L35" s="87">
        <f ca="1">pajak[[#This Row],[Sub Total]]</f>
        <v>18463550</v>
      </c>
      <c r="M35" s="85" t="str">
        <f ca="1">IF(pajak[[#This Row],[//]]="","",INDEX(Table1[pembuat nota :],pajak[//]-offset))</f>
        <v>NOVI / CONDRO</v>
      </c>
      <c r="N35" s="85" t="str">
        <f ca="1">IF(pajak[[#This Row],[//]]="","",IF(INDEX(Table1[edited :],pajak[//]-offset)="","",INDEX(Table1[edited :],pajak[//]-offset)))</f>
        <v/>
      </c>
      <c r="O35" s="87"/>
      <c r="Q35" s="85" t="str">
        <f>Table4[[#Headers],[AM]]</f>
        <v>AM</v>
      </c>
      <c r="R35" s="85">
        <f t="shared" si="1"/>
        <v>23070031</v>
      </c>
      <c r="S35" s="184" t="e">
        <f ca="1">IF(Table4[[#This Row],[AM]]&amp;" "&amp;Table4[[#This Row],[---]]=INDIRECT("pajak[@["&amp;Table4[#Headers]&amp;"]]"),MATCH(Table4[[#This Row],[---]],INDIRECT($3:$3),0))</f>
        <v>#REF!</v>
      </c>
      <c r="T35" s="184" t="e">
        <f ca="1">IF((INDEX(INDIRECT($3:$3),Table4[[#This Row],[No. Invoice :]]+$2:$2))=INDIRECT("pajak[@["&amp;Table4[#Headers]&amp;"]]"),1)</f>
        <v>#REF!</v>
      </c>
      <c r="U35" s="184" t="e">
        <f ca="1">IF((INDEX(INDIRECT($3:$3),Table4[[#This Row],[No. Invoice :]]+$2:$2))=INDIRECT("pajak[@["&amp;Table4[#Headers]&amp;"]]"),1)</f>
        <v>#REF!</v>
      </c>
      <c r="V35" s="184" t="e">
        <f ca="1">IF((INDEX(INDIRECT($3:$3),Table4[[#This Row],[No. Invoice :]]+$2:$2))=INDIRECT("pajak[@["&amp;Table4[#Headers]&amp;"]]"),1)</f>
        <v>#REF!</v>
      </c>
      <c r="W35" s="184" t="e">
        <f ca="1">IF((INDEX(INDIRECT($3:$3),Table4[[#This Row],[No. Invoice :]]+$2:$2))=INDIRECT("pajak[@["&amp;Table4[#Headers]&amp;"]]"),1)</f>
        <v>#REF!</v>
      </c>
    </row>
    <row r="36" spans="1:23" x14ac:dyDescent="0.25">
      <c r="A36" s="292">
        <v>110</v>
      </c>
      <c r="C36" s="85">
        <f t="shared" ca="1" si="0"/>
        <v>110</v>
      </c>
      <c r="D36" s="85" t="str">
        <f ca="1">IF(pajak[[#This Row],[//]]="","",INDEX(Table1[No. Invoice :],pajak[//]-offset))</f>
        <v>AM 23070032</v>
      </c>
      <c r="E36" s="88">
        <f ca="1">IF(pajak[[#This Row],[//]]="","",INDEX(Table1[Tgl Invoice :],pajak[//]-offset))</f>
        <v>45131</v>
      </c>
      <c r="F36" s="85" t="str">
        <f ca="1">IF(pajak[[#This Row],[//]]="","",INDEX(Table1[Kode Sales :],pajak[//]-offset))</f>
        <v>G 2653</v>
      </c>
      <c r="G36" s="85" t="str">
        <f ca="1">IF(pajak[[#This Row],[//]]="","",INDEX(Table1[Toko],pajak[//]-offset))</f>
        <v>GUNAWAN HARTONO KUSUMA ( NIKI SAE ) TULUNG AGUNG</v>
      </c>
      <c r="H36" s="87">
        <f ca="1">IF(pajak[[#This Row],[//]]="","",SUMIF(Table1[h_id],pajak[[#This Row],[//]],Table1[h_hargasebelumdiskon]))</f>
        <v>8197200</v>
      </c>
      <c r="I36" s="87">
        <f ca="1">IF(pajak[[#This Row],[//]]="","",SUMIF(Table1[h_id],pajak[[#This Row],[//]],Table1[h_diskon]))</f>
        <v>1024650</v>
      </c>
      <c r="J36" s="87">
        <f ca="1">IF(pajak[[#This Row],[//]]="","",SUMIF(Table1[h_id],pajak[[#This Row],[//]],Table1[h_hargasetelahdiskon]))</f>
        <v>7172550</v>
      </c>
      <c r="K36" s="87">
        <f ca="1">IF(pajak[//]="","",pajak[[#This Row],[Sub Total]]/1.11*11%)</f>
        <v>710793.2432432432</v>
      </c>
      <c r="L36" s="87">
        <f ca="1">pajak[[#This Row],[Sub Total]]</f>
        <v>7172550</v>
      </c>
      <c r="M36" s="85" t="str">
        <f ca="1">IF(pajak[[#This Row],[//]]="","",INDEX(Table1[pembuat nota :],pajak[//]-offset))</f>
        <v>NOVI / CONDRO</v>
      </c>
      <c r="N36" s="85" t="str">
        <f ca="1">IF(pajak[[#This Row],[//]]="","",IF(INDEX(Table1[edited :],pajak[//]-offset)="","",INDEX(Table1[edited :],pajak[//]-offset)))</f>
        <v/>
      </c>
      <c r="O36" s="87"/>
      <c r="Q36" s="85" t="str">
        <f>Table4[[#Headers],[AM]]</f>
        <v>AM</v>
      </c>
      <c r="R36" s="85">
        <f t="shared" si="1"/>
        <v>23070032</v>
      </c>
      <c r="S36" s="184" t="e">
        <f ca="1">IF(Table4[[#This Row],[AM]]&amp;" "&amp;Table4[[#This Row],[---]]=INDIRECT("pajak[@["&amp;Table4[#Headers]&amp;"]]"),MATCH(Table4[[#This Row],[---]],INDIRECT($3:$3),0))</f>
        <v>#REF!</v>
      </c>
      <c r="T36" s="184" t="e">
        <f ca="1">IF((INDEX(INDIRECT($3:$3),Table4[[#This Row],[No. Invoice :]]+$2:$2))=INDIRECT("pajak[@["&amp;Table4[#Headers]&amp;"]]"),1)</f>
        <v>#REF!</v>
      </c>
      <c r="U36" s="184" t="e">
        <f ca="1">IF((INDEX(INDIRECT($3:$3),Table4[[#This Row],[No. Invoice :]]+$2:$2))=INDIRECT("pajak[@["&amp;Table4[#Headers]&amp;"]]"),1)</f>
        <v>#REF!</v>
      </c>
      <c r="V36" s="184" t="e">
        <f ca="1">IF((INDEX(INDIRECT($3:$3),Table4[[#This Row],[No. Invoice :]]+$2:$2))=INDIRECT("pajak[@["&amp;Table4[#Headers]&amp;"]]"),1)</f>
        <v>#REF!</v>
      </c>
      <c r="W36" s="184" t="e">
        <f ca="1">IF((INDEX(INDIRECT($3:$3),Table4[[#This Row],[No. Invoice :]]+$2:$2))=INDIRECT("pajak[@["&amp;Table4[#Headers]&amp;"]]"),1)</f>
        <v>#REF!</v>
      </c>
    </row>
    <row r="37" spans="1:23" x14ac:dyDescent="0.25">
      <c r="A37" s="292">
        <v>113</v>
      </c>
      <c r="C37" s="85">
        <f t="shared" ref="C37:C57" ca="1" si="2">IF(ROW()-(COUNTBLANK($C$1:$C$3)+1)&lt;=jNota,A37,"")</f>
        <v>113</v>
      </c>
      <c r="D37" s="85" t="str">
        <f ca="1">IF(pajak[[#This Row],[//]]="","",INDEX(Table1[No. Invoice :],pajak[//]-offset))</f>
        <v>AM 23070033</v>
      </c>
      <c r="E37" s="88">
        <f ca="1">IF(pajak[[#This Row],[//]]="","",INDEX(Table1[Tgl Invoice :],pajak[//]-offset))</f>
        <v>45131</v>
      </c>
      <c r="F37" s="85" t="str">
        <f ca="1">IF(pajak[[#This Row],[//]]="","",INDEX(Table1[Kode Sales :],pajak[//]-offset))</f>
        <v>KO 2655</v>
      </c>
      <c r="G37" s="85" t="str">
        <f ca="1">IF(pajak[[#This Row],[//]]="","",INDEX(Table1[Toko],pajak[//]-offset))</f>
        <v>CV PELITA JAYA (ANUGERAH SEJAHTERA) PURWOKERTO</v>
      </c>
      <c r="H37" s="87">
        <f ca="1">IF(pajak[[#This Row],[//]]="","",SUMIF(Table1[h_id],pajak[[#This Row],[//]],Table1[h_hargasebelumdiskon]))</f>
        <v>30280800</v>
      </c>
      <c r="I37" s="87">
        <f ca="1">IF(pajak[[#This Row],[//]]="","",SUMIF(Table1[h_id],pajak[[#This Row],[//]],Table1[h_diskon]))</f>
        <v>4087908</v>
      </c>
      <c r="J37" s="87">
        <f ca="1">IF(pajak[[#This Row],[//]]="","",SUMIF(Table1[h_id],pajak[[#This Row],[//]],Table1[h_hargasetelahdiskon]))</f>
        <v>26192892</v>
      </c>
      <c r="K37" s="87">
        <f ca="1">IF(pajak[//]="","",pajak[[#This Row],[Sub Total]]/1.11*11%)</f>
        <v>2595691.9999999995</v>
      </c>
      <c r="L37" s="87">
        <f ca="1">pajak[[#This Row],[Sub Total]]</f>
        <v>26192892</v>
      </c>
      <c r="M37" s="85" t="str">
        <f ca="1">IF(pajak[[#This Row],[//]]="","",INDEX(Table1[pembuat nota :],pajak[//]-offset))</f>
        <v>NOVI / CONDRO</v>
      </c>
      <c r="N37" s="85" t="str">
        <f ca="1">IF(pajak[[#This Row],[//]]="","",IF(INDEX(Table1[edited :],pajak[//]-offset)="","",INDEX(Table1[edited :],pajak[//]-offset)))</f>
        <v/>
      </c>
      <c r="O37" s="87"/>
      <c r="Q37" s="85" t="str">
        <f>Table4[[#Headers],[AM]]</f>
        <v>AM</v>
      </c>
      <c r="R37" s="85">
        <f t="shared" ref="R37:R57" si="3">R$3+ROW()-5</f>
        <v>23070033</v>
      </c>
      <c r="S37" s="184" t="e">
        <f ca="1">IF(Table4[[#This Row],[AM]]&amp;" "&amp;Table4[[#This Row],[---]]=INDIRECT("pajak[@["&amp;Table4[#Headers]&amp;"]]"),MATCH(Table4[[#This Row],[---]],INDIRECT($3:$3),0))</f>
        <v>#REF!</v>
      </c>
      <c r="T37" s="184" t="e">
        <f ca="1">IF((INDEX(INDIRECT($3:$3),Table4[[#This Row],[No. Invoice :]]+$2:$2))=INDIRECT("pajak[@["&amp;Table4[#Headers]&amp;"]]"),1)</f>
        <v>#REF!</v>
      </c>
      <c r="U37" s="184" t="e">
        <f ca="1">IF((INDEX(INDIRECT($3:$3),Table4[[#This Row],[No. Invoice :]]+$2:$2))=INDIRECT("pajak[@["&amp;Table4[#Headers]&amp;"]]"),1)</f>
        <v>#REF!</v>
      </c>
      <c r="V37" s="184" t="e">
        <f ca="1">IF((INDEX(INDIRECT($3:$3),Table4[[#This Row],[No. Invoice :]]+$2:$2))=INDIRECT("pajak[@["&amp;Table4[#Headers]&amp;"]]"),1)</f>
        <v>#REF!</v>
      </c>
      <c r="W37" s="184" t="e">
        <f ca="1">IF((INDEX(INDIRECT($3:$3),Table4[[#This Row],[No. Invoice :]]+$2:$2))=INDIRECT("pajak[@["&amp;Table4[#Headers]&amp;"]]"),1)</f>
        <v>#REF!</v>
      </c>
    </row>
    <row r="38" spans="1:23" x14ac:dyDescent="0.25">
      <c r="A38" s="292">
        <v>120</v>
      </c>
      <c r="C38" s="85">
        <f t="shared" ca="1" si="2"/>
        <v>120</v>
      </c>
      <c r="D38" s="85" t="str">
        <f ca="1">IF(pajak[[#This Row],[//]]="","",INDEX(Table1[No. Invoice :],pajak[//]-offset))</f>
        <v>AM 23070034</v>
      </c>
      <c r="E38" s="88">
        <f ca="1">IF(pajak[[#This Row],[//]]="","",INDEX(Table1[Tgl Invoice :],pajak[//]-offset))</f>
        <v>45132</v>
      </c>
      <c r="F38" s="85" t="str">
        <f ca="1">IF(pajak[[#This Row],[//]]="","",INDEX(Table1[Kode Sales :],pajak[//]-offset))</f>
        <v>KO 2660</v>
      </c>
      <c r="G38" s="85" t="str">
        <f ca="1">IF(pajak[[#This Row],[//]]="","",INDEX(Table1[Toko],pajak[//]-offset))</f>
        <v>CV PELITA JAYA (ANUGERAH SEJAHTERA) PURWOKERTO</v>
      </c>
      <c r="H38" s="87">
        <f ca="1">IF(pajak[[#This Row],[//]]="","",SUMIF(Table1[h_id],pajak[[#This Row],[//]],Table1[h_hargasebelumdiskon]))</f>
        <v>11404800</v>
      </c>
      <c r="I38" s="87">
        <f ca="1">IF(pajak[[#This Row],[//]]="","",SUMIF(Table1[h_id],pajak[[#This Row],[//]],Table1[h_diskon]))</f>
        <v>1539648</v>
      </c>
      <c r="J38" s="87">
        <f ca="1">IF(pajak[[#This Row],[//]]="","",SUMIF(Table1[h_id],pajak[[#This Row],[//]],Table1[h_hargasetelahdiskon]))</f>
        <v>9865152</v>
      </c>
      <c r="K38" s="87">
        <f ca="1">IF(pajak[//]="","",pajak[[#This Row],[Sub Total]]/1.11*11%)</f>
        <v>977627.67567567551</v>
      </c>
      <c r="L38" s="87">
        <f ca="1">pajak[[#This Row],[Sub Total]]</f>
        <v>9865152</v>
      </c>
      <c r="M38" s="85" t="str">
        <f ca="1">IF(pajak[[#This Row],[//]]="","",INDEX(Table1[pembuat nota :],pajak[//]-offset))</f>
        <v>NOVI / CONDRO</v>
      </c>
      <c r="N38" s="85" t="str">
        <f ca="1">IF(pajak[[#This Row],[//]]="","",IF(INDEX(Table1[edited :],pajak[//]-offset)="","",INDEX(Table1[edited :],pajak[//]-offset)))</f>
        <v/>
      </c>
      <c r="O38" s="87"/>
      <c r="Q38" s="85" t="str">
        <f>Table4[[#Headers],[AM]]</f>
        <v>AM</v>
      </c>
      <c r="R38" s="85">
        <f t="shared" si="3"/>
        <v>23070034</v>
      </c>
      <c r="S38" s="184" t="e">
        <f ca="1">IF(Table4[[#This Row],[AM]]&amp;" "&amp;Table4[[#This Row],[---]]=INDIRECT("pajak[@["&amp;Table4[#Headers]&amp;"]]"),MATCH(Table4[[#This Row],[---]],INDIRECT($3:$3),0))</f>
        <v>#REF!</v>
      </c>
      <c r="T38" s="184" t="e">
        <f ca="1">IF((INDEX(INDIRECT($3:$3),Table4[[#This Row],[No. Invoice :]]+$2:$2))=INDIRECT("pajak[@["&amp;Table4[#Headers]&amp;"]]"),1)</f>
        <v>#REF!</v>
      </c>
      <c r="U38" s="184" t="e">
        <f ca="1">IF((INDEX(INDIRECT($3:$3),Table4[[#This Row],[No. Invoice :]]+$2:$2))=INDIRECT("pajak[@["&amp;Table4[#Headers]&amp;"]]"),1)</f>
        <v>#REF!</v>
      </c>
      <c r="V38" s="184" t="e">
        <f ca="1">IF((INDEX(INDIRECT($3:$3),Table4[[#This Row],[No. Invoice :]]+$2:$2))=INDIRECT("pajak[@["&amp;Table4[#Headers]&amp;"]]"),1)</f>
        <v>#REF!</v>
      </c>
      <c r="W38" s="184" t="e">
        <f ca="1">IF((INDEX(INDIRECT($3:$3),Table4[[#This Row],[No. Invoice :]]+$2:$2))=INDIRECT("pajak[@["&amp;Table4[#Headers]&amp;"]]"),1)</f>
        <v>#REF!</v>
      </c>
    </row>
    <row r="39" spans="1:23" x14ac:dyDescent="0.25">
      <c r="A39" s="292">
        <v>122</v>
      </c>
      <c r="C39" s="85">
        <f t="shared" ca="1" si="2"/>
        <v>122</v>
      </c>
      <c r="D39" s="85" t="str">
        <f ca="1">IF(pajak[[#This Row],[//]]="","",INDEX(Table1[No. Invoice :],pajak[//]-offset))</f>
        <v>AM 23070035</v>
      </c>
      <c r="E39" s="88">
        <f ca="1">IF(pajak[[#This Row],[//]]="","",INDEX(Table1[Tgl Invoice :],pajak[//]-offset))</f>
        <v>45133</v>
      </c>
      <c r="F39" s="85" t="str">
        <f ca="1">IF(pajak[[#This Row],[//]]="","",INDEX(Table1[Kode Sales :],pajak[//]-offset))</f>
        <v>G 1625</v>
      </c>
      <c r="G39" s="85" t="str">
        <f ca="1">IF(pajak[[#This Row],[//]]="","",INDEX(Table1[Toko],pajak[//]-offset))</f>
        <v>CV UTAMA PUTRA TULUNG AGUNG</v>
      </c>
      <c r="H39" s="87">
        <f ca="1">IF(pajak[[#This Row],[//]]="","",SUMIF(Table1[h_id],pajak[[#This Row],[//]],Table1[h_hargasebelumdiskon]))</f>
        <v>10987200</v>
      </c>
      <c r="I39" s="87">
        <f ca="1">IF(pajak[[#This Row],[//]]="","",SUMIF(Table1[h_id],pajak[[#This Row],[//]],Table1[h_diskon]))</f>
        <v>1373400</v>
      </c>
      <c r="J39" s="87">
        <f ca="1">IF(pajak[[#This Row],[//]]="","",SUMIF(Table1[h_id],pajak[[#This Row],[//]],Table1[h_hargasetelahdiskon]))</f>
        <v>9613800</v>
      </c>
      <c r="K39" s="87">
        <f ca="1">IF(pajak[//]="","",pajak[[#This Row],[Sub Total]]/1.11*11%)</f>
        <v>952718.91891891893</v>
      </c>
      <c r="L39" s="87">
        <f ca="1">pajak[[#This Row],[Sub Total]]</f>
        <v>9613800</v>
      </c>
      <c r="M39" s="85" t="str">
        <f ca="1">IF(pajak[[#This Row],[//]]="","",INDEX(Table1[pembuat nota :],pajak[//]-offset))</f>
        <v>RISMA / CONDRO</v>
      </c>
      <c r="N39" s="85" t="str">
        <f ca="1">IF(pajak[[#This Row],[//]]="","",IF(INDEX(Table1[edited :],pajak[//]-offset)="","",INDEX(Table1[edited :],pajak[//]-offset)))</f>
        <v/>
      </c>
      <c r="O39" s="87"/>
      <c r="Q39" s="85" t="str">
        <f>Table4[[#Headers],[AM]]</f>
        <v>AM</v>
      </c>
      <c r="R39" s="85">
        <f t="shared" si="3"/>
        <v>23070035</v>
      </c>
      <c r="S39" s="184" t="e">
        <f ca="1">IF(Table4[[#This Row],[AM]]&amp;" "&amp;Table4[[#This Row],[---]]=INDIRECT("pajak[@["&amp;Table4[#Headers]&amp;"]]"),MATCH(Table4[[#This Row],[---]],INDIRECT($3:$3),0))</f>
        <v>#REF!</v>
      </c>
      <c r="T39" s="184" t="e">
        <f ca="1">IF((INDEX(INDIRECT($3:$3),Table4[[#This Row],[No. Invoice :]]+$2:$2))=INDIRECT("pajak[@["&amp;Table4[#Headers]&amp;"]]"),1)</f>
        <v>#REF!</v>
      </c>
      <c r="U39" s="184" t="e">
        <f ca="1">IF((INDEX(INDIRECT($3:$3),Table4[[#This Row],[No. Invoice :]]+$2:$2))=INDIRECT("pajak[@["&amp;Table4[#Headers]&amp;"]]"),1)</f>
        <v>#REF!</v>
      </c>
      <c r="V39" s="184" t="e">
        <f ca="1">IF((INDEX(INDIRECT($3:$3),Table4[[#This Row],[No. Invoice :]]+$2:$2))=INDIRECT("pajak[@["&amp;Table4[#Headers]&amp;"]]"),1)</f>
        <v>#REF!</v>
      </c>
      <c r="W39" s="184" t="e">
        <f ca="1">IF((INDEX(INDIRECT($3:$3),Table4[[#This Row],[No. Invoice :]]+$2:$2))=INDIRECT("pajak[@["&amp;Table4[#Headers]&amp;"]]"),1)</f>
        <v>#REF!</v>
      </c>
    </row>
    <row r="40" spans="1:23" x14ac:dyDescent="0.25">
      <c r="A40" s="292">
        <v>127</v>
      </c>
      <c r="C40" s="85">
        <f t="shared" ca="1" si="2"/>
        <v>127</v>
      </c>
      <c r="D40" s="85" t="str">
        <f ca="1">IF(pajak[[#This Row],[//]]="","",INDEX(Table1[No. Invoice :],pajak[//]-offset))</f>
        <v>AM 23070036</v>
      </c>
      <c r="E40" s="88">
        <f ca="1">IF(pajak[[#This Row],[//]]="","",INDEX(Table1[Tgl Invoice :],pajak[//]-offset))</f>
        <v>45134</v>
      </c>
      <c r="F40" s="85" t="str">
        <f ca="1">IF(pajak[[#This Row],[//]]="","",INDEX(Table1[Kode Sales :],pajak[//]-offset))</f>
        <v>KO 2676</v>
      </c>
      <c r="G40" s="85" t="str">
        <f ca="1">IF(pajak[[#This Row],[//]]="","",INDEX(Table1[Toko],pajak[//]-offset))</f>
        <v>CV PELITA JAYA (ANUGERAH SEJAHTERA) PURWOKERTO</v>
      </c>
      <c r="H40" s="87">
        <f ca="1">IF(pajak[[#This Row],[//]]="","",SUMIF(Table1[h_id],pajak[[#This Row],[//]],Table1[h_hargasebelumdiskon]))</f>
        <v>2208000</v>
      </c>
      <c r="I40" s="87">
        <f ca="1">IF(pajak[[#This Row],[//]]="","",SUMIF(Table1[h_id],pajak[[#This Row],[//]],Table1[h_diskon]))</f>
        <v>298080</v>
      </c>
      <c r="J40" s="87">
        <f ca="1">IF(pajak[[#This Row],[//]]="","",SUMIF(Table1[h_id],pajak[[#This Row],[//]],Table1[h_hargasetelahdiskon]))</f>
        <v>1909920</v>
      </c>
      <c r="K40" s="87">
        <f ca="1">IF(pajak[//]="","",pajak[[#This Row],[Sub Total]]/1.11*11%)</f>
        <v>189271.35135135133</v>
      </c>
      <c r="L40" s="87">
        <f ca="1">pajak[[#This Row],[Sub Total]]</f>
        <v>1909920</v>
      </c>
      <c r="M40" s="85" t="str">
        <f ca="1">IF(pajak[[#This Row],[//]]="","",INDEX(Table1[pembuat nota :],pajak[//]-offset))</f>
        <v>NOVI / CONDRO</v>
      </c>
      <c r="N40" s="85" t="str">
        <f ca="1">IF(pajak[[#This Row],[//]]="","",IF(INDEX(Table1[edited :],pajak[//]-offset)="","",INDEX(Table1[edited :],pajak[//]-offset)))</f>
        <v/>
      </c>
      <c r="O40" s="87"/>
      <c r="Q40" s="85" t="str">
        <f>Table4[[#Headers],[AM]]</f>
        <v>AM</v>
      </c>
      <c r="R40" s="85">
        <f t="shared" si="3"/>
        <v>23070036</v>
      </c>
      <c r="S40" s="184" t="e">
        <f ca="1">IF(Table4[[#This Row],[AM]]&amp;" "&amp;Table4[[#This Row],[---]]=INDIRECT("pajak[@["&amp;Table4[#Headers]&amp;"]]"),MATCH(Table4[[#This Row],[---]],INDIRECT($3:$3),0))</f>
        <v>#REF!</v>
      </c>
      <c r="T40" s="184" t="e">
        <f ca="1">IF((INDEX(INDIRECT($3:$3),Table4[[#This Row],[No. Invoice :]]+$2:$2))=INDIRECT("pajak[@["&amp;Table4[#Headers]&amp;"]]"),1)</f>
        <v>#REF!</v>
      </c>
      <c r="U40" s="184" t="e">
        <f ca="1">IF((INDEX(INDIRECT($3:$3),Table4[[#This Row],[No. Invoice :]]+$2:$2))=INDIRECT("pajak[@["&amp;Table4[#Headers]&amp;"]]"),1)</f>
        <v>#REF!</v>
      </c>
      <c r="V40" s="184" t="e">
        <f ca="1">IF((INDEX(INDIRECT($3:$3),Table4[[#This Row],[No. Invoice :]]+$2:$2))=INDIRECT("pajak[@["&amp;Table4[#Headers]&amp;"]]"),1)</f>
        <v>#REF!</v>
      </c>
      <c r="W40" s="184" t="e">
        <f ca="1">IF((INDEX(INDIRECT($3:$3),Table4[[#This Row],[No. Invoice :]]+$2:$2))=INDIRECT("pajak[@["&amp;Table4[#Headers]&amp;"]]"),1)</f>
        <v>#REF!</v>
      </c>
    </row>
    <row r="41" spans="1:23" x14ac:dyDescent="0.25">
      <c r="A41" s="292">
        <v>129</v>
      </c>
      <c r="C41" s="85">
        <f t="shared" ca="1" si="2"/>
        <v>129</v>
      </c>
      <c r="D41" s="85" t="str">
        <f ca="1">IF(pajak[[#This Row],[//]]="","",INDEX(Table1[No. Invoice :],pajak[//]-offset))</f>
        <v>AM 23070037</v>
      </c>
      <c r="E41" s="88">
        <f ca="1">IF(pajak[[#This Row],[//]]="","",INDEX(Table1[Tgl Invoice :],pajak[//]-offset))</f>
        <v>45135</v>
      </c>
      <c r="F41" s="85" t="str">
        <f ca="1">IF(pajak[[#This Row],[//]]="","",INDEX(Table1[Kode Sales :],pajak[//]-offset))</f>
        <v>G 2677</v>
      </c>
      <c r="G41" s="85" t="str">
        <f ca="1">IF(pajak[[#This Row],[//]]="","",INDEX(Table1[Toko],pajak[//]-offset))</f>
        <v>LILY JULIAWATI (REJO AGUNG) JOMBANG</v>
      </c>
      <c r="H41" s="87">
        <f ca="1">IF(pajak[[#This Row],[//]]="","",SUMIF(Table1[h_id],pajak[[#This Row],[//]],Table1[h_hargasebelumdiskon]))</f>
        <v>2116800</v>
      </c>
      <c r="I41" s="87">
        <f ca="1">IF(pajak[[#This Row],[//]]="","",SUMIF(Table1[h_id],pajak[[#This Row],[//]],Table1[h_diskon]))</f>
        <v>264600</v>
      </c>
      <c r="J41" s="87">
        <f ca="1">IF(pajak[[#This Row],[//]]="","",SUMIF(Table1[h_id],pajak[[#This Row],[//]],Table1[h_hargasetelahdiskon]))</f>
        <v>1852200</v>
      </c>
      <c r="K41" s="87">
        <f ca="1">IF(pajak[//]="","",pajak[[#This Row],[Sub Total]]/1.11*11%)</f>
        <v>183551.35135135133</v>
      </c>
      <c r="L41" s="87">
        <f ca="1">pajak[[#This Row],[Sub Total]]</f>
        <v>1852200</v>
      </c>
      <c r="M41" s="85" t="str">
        <f ca="1">IF(pajak[[#This Row],[//]]="","",INDEX(Table1[pembuat nota :],pajak[//]-offset))</f>
        <v>NOVI / CONDRO</v>
      </c>
      <c r="N41" s="85" t="str">
        <f ca="1">IF(pajak[[#This Row],[//]]="","",IF(INDEX(Table1[edited :],pajak[//]-offset)="","",INDEX(Table1[edited :],pajak[//]-offset)))</f>
        <v/>
      </c>
      <c r="O41" s="87"/>
      <c r="Q41" s="85" t="str">
        <f>Table4[[#Headers],[AM]]</f>
        <v>AM</v>
      </c>
      <c r="R41" s="85">
        <f t="shared" si="3"/>
        <v>23070037</v>
      </c>
      <c r="S41" s="184" t="e">
        <f ca="1">IF(Table4[[#This Row],[AM]]&amp;" "&amp;Table4[[#This Row],[---]]=INDIRECT("pajak[@["&amp;Table4[#Headers]&amp;"]]"),MATCH(Table4[[#This Row],[---]],INDIRECT($3:$3),0))</f>
        <v>#REF!</v>
      </c>
      <c r="T41" s="184" t="e">
        <f ca="1">IF((INDEX(INDIRECT($3:$3),Table4[[#This Row],[No. Invoice :]]+$2:$2))=INDIRECT("pajak[@["&amp;Table4[#Headers]&amp;"]]"),1)</f>
        <v>#REF!</v>
      </c>
      <c r="U41" s="184" t="e">
        <f ca="1">IF((INDEX(INDIRECT($3:$3),Table4[[#This Row],[No. Invoice :]]+$2:$2))=INDIRECT("pajak[@["&amp;Table4[#Headers]&amp;"]]"),1)</f>
        <v>#REF!</v>
      </c>
      <c r="V41" s="184" t="e">
        <f ca="1">IF((INDEX(INDIRECT($3:$3),Table4[[#This Row],[No. Invoice :]]+$2:$2))=INDIRECT("pajak[@["&amp;Table4[#Headers]&amp;"]]"),1)</f>
        <v>#REF!</v>
      </c>
      <c r="W41" s="184" t="e">
        <f ca="1">IF((INDEX(INDIRECT($3:$3),Table4[[#This Row],[No. Invoice :]]+$2:$2))=INDIRECT("pajak[@["&amp;Table4[#Headers]&amp;"]]"),1)</f>
        <v>#REF!</v>
      </c>
    </row>
    <row r="42" spans="1:23" x14ac:dyDescent="0.25">
      <c r="A42" s="292">
        <v>131</v>
      </c>
      <c r="C42" s="85">
        <f t="shared" ca="1" si="2"/>
        <v>131</v>
      </c>
      <c r="D42" s="85" t="str">
        <f ca="1">IF(pajak[[#This Row],[//]]="","",INDEX(Table1[No. Invoice :],pajak[//]-offset))</f>
        <v>AM 23070038</v>
      </c>
      <c r="E42" s="88">
        <f ca="1">IF(pajak[[#This Row],[//]]="","",INDEX(Table1[Tgl Invoice :],pajak[//]-offset))</f>
        <v>45135</v>
      </c>
      <c r="F42" s="85" t="str">
        <f ca="1">IF(pajak[[#This Row],[//]]="","",INDEX(Table1[Kode Sales :],pajak[//]-offset))</f>
        <v>KO 2682</v>
      </c>
      <c r="G42" s="85" t="str">
        <f ca="1">IF(pajak[[#This Row],[//]]="","",INDEX(Table1[Toko],pajak[//]-offset))</f>
        <v>HARNOYO (BENDAN) PEKALONGAN</v>
      </c>
      <c r="H42" s="87">
        <f ca="1">IF(pajak[[#This Row],[//]]="","",SUMIF(Table1[h_id],pajak[[#This Row],[//]],Table1[h_hargasebelumdiskon]))</f>
        <v>993000</v>
      </c>
      <c r="I42" s="87">
        <f ca="1">IF(pajak[[#This Row],[//]]="","",SUMIF(Table1[h_id],pajak[[#This Row],[//]],Table1[h_diskon]))</f>
        <v>124125</v>
      </c>
      <c r="J42" s="87">
        <f ca="1">IF(pajak[[#This Row],[//]]="","",SUMIF(Table1[h_id],pajak[[#This Row],[//]],Table1[h_hargasetelahdiskon]))</f>
        <v>868875</v>
      </c>
      <c r="K42" s="87">
        <f ca="1">IF(pajak[//]="","",pajak[[#This Row],[Sub Total]]/1.11*11%)</f>
        <v>86104.729729729719</v>
      </c>
      <c r="L42" s="87">
        <f ca="1">pajak[[#This Row],[Sub Total]]</f>
        <v>868875</v>
      </c>
      <c r="M42" s="85" t="str">
        <f ca="1">IF(pajak[[#This Row],[//]]="","",INDEX(Table1[pembuat nota :],pajak[//]-offset))</f>
        <v>NOVI / CONDRO</v>
      </c>
      <c r="N42" s="85" t="str">
        <f ca="1">IF(pajak[[#This Row],[//]]="","",IF(INDEX(Table1[edited :],pajak[//]-offset)="","",INDEX(Table1[edited :],pajak[//]-offset)))</f>
        <v/>
      </c>
      <c r="O42" s="87"/>
      <c r="Q42" s="85" t="str">
        <f>Table4[[#Headers],[AM]]</f>
        <v>AM</v>
      </c>
      <c r="R42" s="85">
        <f t="shared" si="3"/>
        <v>23070038</v>
      </c>
      <c r="S42" s="184" t="e">
        <f ca="1">IF(Table4[[#This Row],[AM]]&amp;" "&amp;Table4[[#This Row],[---]]=INDIRECT("pajak[@["&amp;Table4[#Headers]&amp;"]]"),MATCH(Table4[[#This Row],[---]],INDIRECT($3:$3),0))</f>
        <v>#REF!</v>
      </c>
      <c r="T42" s="184" t="e">
        <f ca="1">IF((INDEX(INDIRECT($3:$3),Table4[[#This Row],[No. Invoice :]]+$2:$2))=INDIRECT("pajak[@["&amp;Table4[#Headers]&amp;"]]"),1)</f>
        <v>#REF!</v>
      </c>
      <c r="U42" s="184" t="e">
        <f ca="1">IF((INDEX(INDIRECT($3:$3),Table4[[#This Row],[No. Invoice :]]+$2:$2))=INDIRECT("pajak[@["&amp;Table4[#Headers]&amp;"]]"),1)</f>
        <v>#REF!</v>
      </c>
      <c r="V42" s="184" t="e">
        <f ca="1">IF((INDEX(INDIRECT($3:$3),Table4[[#This Row],[No. Invoice :]]+$2:$2))=INDIRECT("pajak[@["&amp;Table4[#Headers]&amp;"]]"),1)</f>
        <v>#REF!</v>
      </c>
      <c r="W42" s="184" t="e">
        <f ca="1">IF((INDEX(INDIRECT($3:$3),Table4[[#This Row],[No. Invoice :]]+$2:$2))=INDIRECT("pajak[@["&amp;Table4[#Headers]&amp;"]]"),1)</f>
        <v>#REF!</v>
      </c>
    </row>
    <row r="43" spans="1:23" x14ac:dyDescent="0.25">
      <c r="A43" s="292">
        <v>134</v>
      </c>
      <c r="C43" s="85">
        <f t="shared" ca="1" si="2"/>
        <v>134</v>
      </c>
      <c r="D43" s="85" t="str">
        <f ca="1">IF(pajak[[#This Row],[//]]="","",INDEX(Table1[No. Invoice :],pajak[//]-offset))</f>
        <v>AM 23070039</v>
      </c>
      <c r="E43" s="88">
        <f ca="1">IF(pajak[[#This Row],[//]]="","",INDEX(Table1[Tgl Invoice :],pajak[//]-offset))</f>
        <v>45135</v>
      </c>
      <c r="F43" s="85" t="str">
        <f ca="1">IF(pajak[[#This Row],[//]]="","",INDEX(Table1[Kode Sales :],pajak[//]-offset))</f>
        <v>KO 1685</v>
      </c>
      <c r="G43" s="85" t="str">
        <f ca="1">IF(pajak[[#This Row],[//]]="","",INDEX(Table1[Toko],pajak[//]-offset))</f>
        <v>CV GANESHA WONOSOBO</v>
      </c>
      <c r="H43" s="87">
        <f ca="1">IF(pajak[[#This Row],[//]]="","",SUMIF(Table1[h_id],pajak[[#This Row],[//]],Table1[h_hargasebelumdiskon]))</f>
        <v>271500</v>
      </c>
      <c r="I43" s="87">
        <f ca="1">IF(pajak[[#This Row],[//]]="","",SUMIF(Table1[h_id],pajak[[#This Row],[//]],Table1[h_diskon]))</f>
        <v>27150</v>
      </c>
      <c r="J43" s="87">
        <f ca="1">IF(pajak[[#This Row],[//]]="","",SUMIF(Table1[h_id],pajak[[#This Row],[//]],Table1[h_hargasetelahdiskon]))</f>
        <v>244350</v>
      </c>
      <c r="K43" s="87">
        <f ca="1">IF(pajak[//]="","",pajak[[#This Row],[Sub Total]]/1.11*11%)</f>
        <v>24214.864864864863</v>
      </c>
      <c r="L43" s="87">
        <f ca="1">pajak[[#This Row],[Sub Total]]</f>
        <v>244350</v>
      </c>
      <c r="M43" s="85" t="str">
        <f ca="1">IF(pajak[[#This Row],[//]]="","",INDEX(Table1[pembuat nota :],pajak[//]-offset))</f>
        <v>NOVI / CONDRO</v>
      </c>
      <c r="N43" s="85" t="str">
        <f ca="1">IF(pajak[[#This Row],[//]]="","",IF(INDEX(Table1[edited :],pajak[//]-offset)="","",INDEX(Table1[edited :],pajak[//]-offset)))</f>
        <v/>
      </c>
      <c r="O43" s="87"/>
      <c r="Q43" s="85" t="str">
        <f>Table4[[#Headers],[AM]]</f>
        <v>AM</v>
      </c>
      <c r="R43" s="85">
        <f t="shared" si="3"/>
        <v>23070039</v>
      </c>
      <c r="S43" s="184" t="e">
        <f ca="1">IF(Table4[[#This Row],[AM]]&amp;" "&amp;Table4[[#This Row],[---]]=INDIRECT("pajak[@["&amp;Table4[#Headers]&amp;"]]"),MATCH(Table4[[#This Row],[---]],INDIRECT($3:$3),0))</f>
        <v>#REF!</v>
      </c>
      <c r="T43" s="184" t="e">
        <f ca="1">IF((INDEX(INDIRECT($3:$3),Table4[[#This Row],[No. Invoice :]]+$2:$2))=INDIRECT("pajak[@["&amp;Table4[#Headers]&amp;"]]"),1)</f>
        <v>#REF!</v>
      </c>
      <c r="U43" s="184" t="e">
        <f ca="1">IF((INDEX(INDIRECT($3:$3),Table4[[#This Row],[No. Invoice :]]+$2:$2))=INDIRECT("pajak[@["&amp;Table4[#Headers]&amp;"]]"),1)</f>
        <v>#REF!</v>
      </c>
      <c r="V43" s="184" t="e">
        <f ca="1">IF((INDEX(INDIRECT($3:$3),Table4[[#This Row],[No. Invoice :]]+$2:$2))=INDIRECT("pajak[@["&amp;Table4[#Headers]&amp;"]]"),1)</f>
        <v>#REF!</v>
      </c>
      <c r="W43" s="184" t="e">
        <f ca="1">IF((INDEX(INDIRECT($3:$3),Table4[[#This Row],[No. Invoice :]]+$2:$2))=INDIRECT("pajak[@["&amp;Table4[#Headers]&amp;"]]"),1)</f>
        <v>#REF!</v>
      </c>
    </row>
    <row r="44" spans="1:23" x14ac:dyDescent="0.25">
      <c r="A44" s="292">
        <v>136</v>
      </c>
      <c r="C44" s="85">
        <f t="shared" ca="1" si="2"/>
        <v>136</v>
      </c>
      <c r="D44" s="85" t="str">
        <f ca="1">IF(pajak[[#This Row],[//]]="","",INDEX(Table1[No. Invoice :],pajak[//]-offset))</f>
        <v>AM 23070040</v>
      </c>
      <c r="E44" s="88">
        <f ca="1">IF(pajak[[#This Row],[//]]="","",INDEX(Table1[Tgl Invoice :],pajak[//]-offset))</f>
        <v>45135</v>
      </c>
      <c r="F44" s="85" t="str">
        <f ca="1">IF(pajak[[#This Row],[//]]="","",INDEX(Table1[Kode Sales :],pajak[//]-offset))</f>
        <v>KO 1632</v>
      </c>
      <c r="G44" s="85" t="str">
        <f ca="1">IF(pajak[[#This Row],[//]]="","",INDEX(Table1[Toko],pajak[//]-offset))</f>
        <v>CV SINAR CAHAYA NIRMALA BREBES</v>
      </c>
      <c r="H44" s="87">
        <f ca="1">IF(pajak[[#This Row],[//]]="","",SUMIF(Table1[h_id],pajak[[#This Row],[//]],Table1[h_hargasebelumdiskon]))</f>
        <v>2055300</v>
      </c>
      <c r="I44" s="87">
        <f ca="1">IF(pajak[[#This Row],[//]]="","",SUMIF(Table1[h_id],pajak[[#This Row],[//]],Table1[h_diskon]))</f>
        <v>205530</v>
      </c>
      <c r="J44" s="87">
        <f ca="1">IF(pajak[[#This Row],[//]]="","",SUMIF(Table1[h_id],pajak[[#This Row],[//]],Table1[h_hargasetelahdiskon]))</f>
        <v>1849770</v>
      </c>
      <c r="K44" s="87">
        <f ca="1">IF(pajak[//]="","",pajak[[#This Row],[Sub Total]]/1.11*11%)</f>
        <v>183310.54054054053</v>
      </c>
      <c r="L44" s="87">
        <f ca="1">pajak[[#This Row],[Sub Total]]</f>
        <v>1849770</v>
      </c>
      <c r="M44" s="85" t="str">
        <f ca="1">IF(pajak[[#This Row],[//]]="","",INDEX(Table1[pembuat nota :],pajak[//]-offset))</f>
        <v>RISMA / CONDRO</v>
      </c>
      <c r="N44" s="85" t="str">
        <f ca="1">IF(pajak[[#This Row],[//]]="","",IF(INDEX(Table1[edited :],pajak[//]-offset)="","",INDEX(Table1[edited :],pajak[//]-offset)))</f>
        <v/>
      </c>
      <c r="O44" s="87"/>
      <c r="Q44" s="85" t="str">
        <f>Table4[[#Headers],[AM]]</f>
        <v>AM</v>
      </c>
      <c r="R44" s="85">
        <f t="shared" si="3"/>
        <v>23070040</v>
      </c>
      <c r="S44" s="184" t="e">
        <f ca="1">IF(Table4[[#This Row],[AM]]&amp;" "&amp;Table4[[#This Row],[---]]=INDIRECT("pajak[@["&amp;Table4[#Headers]&amp;"]]"),MATCH(Table4[[#This Row],[---]],INDIRECT($3:$3),0))</f>
        <v>#REF!</v>
      </c>
      <c r="T44" s="184" t="e">
        <f ca="1">IF((INDEX(INDIRECT($3:$3),Table4[[#This Row],[No. Invoice :]]+$2:$2))=INDIRECT("pajak[@["&amp;Table4[#Headers]&amp;"]]"),1)</f>
        <v>#REF!</v>
      </c>
      <c r="U44" s="184" t="e">
        <f ca="1">IF((INDEX(INDIRECT($3:$3),Table4[[#This Row],[No. Invoice :]]+$2:$2))=INDIRECT("pajak[@["&amp;Table4[#Headers]&amp;"]]"),1)</f>
        <v>#REF!</v>
      </c>
      <c r="V44" s="184" t="e">
        <f ca="1">IF((INDEX(INDIRECT($3:$3),Table4[[#This Row],[No. Invoice :]]+$2:$2))=INDIRECT("pajak[@["&amp;Table4[#Headers]&amp;"]]"),1)</f>
        <v>#REF!</v>
      </c>
      <c r="W44" s="184" t="e">
        <f ca="1">IF((INDEX(INDIRECT($3:$3),Table4[[#This Row],[No. Invoice :]]+$2:$2))=INDIRECT("pajak[@["&amp;Table4[#Headers]&amp;"]]"),1)</f>
        <v>#REF!</v>
      </c>
    </row>
    <row r="45" spans="1:23" x14ac:dyDescent="0.25">
      <c r="A45" s="292">
        <v>153</v>
      </c>
      <c r="C45" s="85">
        <f t="shared" ca="1" si="2"/>
        <v>153</v>
      </c>
      <c r="D45" s="85" t="str">
        <f ca="1">IF(pajak[[#This Row],[//]]="","",INDEX(Table1[No. Invoice :],pajak[//]-offset))</f>
        <v>AM 23070041</v>
      </c>
      <c r="E45" s="88">
        <f ca="1">IF(pajak[[#This Row],[//]]="","",INDEX(Table1[Tgl Invoice :],pajak[//]-offset))</f>
        <v>45135</v>
      </c>
      <c r="F45" s="85" t="str">
        <f ca="1">IF(pajak[[#This Row],[//]]="","",INDEX(Table1[Kode Sales :],pajak[//]-offset))</f>
        <v>KO 1633</v>
      </c>
      <c r="G45" s="85" t="str">
        <f ca="1">IF(pajak[[#This Row],[//]]="","",INDEX(Table1[Toko],pajak[//]-offset))</f>
        <v>CV SINAR CAHAYA NIRMALA BREBES</v>
      </c>
      <c r="H45" s="87">
        <f ca="1">IF(pajak[[#This Row],[//]]="","",SUMIF(Table1[h_id],pajak[[#This Row],[//]],Table1[h_hargasebelumdiskon]))</f>
        <v>3123400</v>
      </c>
      <c r="I45" s="87">
        <f ca="1">IF(pajak[[#This Row],[//]]="","",SUMIF(Table1[h_id],pajak[[#This Row],[//]],Table1[h_diskon]))</f>
        <v>44840</v>
      </c>
      <c r="J45" s="87">
        <f ca="1">IF(pajak[[#This Row],[//]]="","",SUMIF(Table1[h_id],pajak[[#This Row],[//]],Table1[h_hargasetelahdiskon]))</f>
        <v>3078560</v>
      </c>
      <c r="K45" s="87">
        <f ca="1">IF(pajak[//]="","",pajak[[#This Row],[Sub Total]]/1.11*11%)</f>
        <v>305082.52252252254</v>
      </c>
      <c r="L45" s="87">
        <f ca="1">pajak[[#This Row],[Sub Total]]</f>
        <v>3078560</v>
      </c>
      <c r="M45" s="85" t="str">
        <f ca="1">IF(pajak[[#This Row],[//]]="","",INDEX(Table1[pembuat nota :],pajak[//]-offset))</f>
        <v>RISMA / CONDRO</v>
      </c>
      <c r="N45" s="85" t="str">
        <f ca="1">IF(pajak[[#This Row],[//]]="","",IF(INDEX(Table1[edited :],pajak[//]-offset)="","",INDEX(Table1[edited :],pajak[//]-offset)))</f>
        <v/>
      </c>
      <c r="O45" s="87"/>
      <c r="Q45" s="85" t="str">
        <f>Table4[[#Headers],[AM]]</f>
        <v>AM</v>
      </c>
      <c r="R45" s="85">
        <f t="shared" si="3"/>
        <v>23070041</v>
      </c>
      <c r="S45" s="184" t="e">
        <f ca="1">IF(Table4[[#This Row],[AM]]&amp;" "&amp;Table4[[#This Row],[---]]=INDIRECT("pajak[@["&amp;Table4[#Headers]&amp;"]]"),MATCH(Table4[[#This Row],[---]],INDIRECT($3:$3),0))</f>
        <v>#REF!</v>
      </c>
      <c r="T45" s="184" t="e">
        <f ca="1">IF((INDEX(INDIRECT($3:$3),Table4[[#This Row],[No. Invoice :]]+$2:$2))=INDIRECT("pajak[@["&amp;Table4[#Headers]&amp;"]]"),1)</f>
        <v>#REF!</v>
      </c>
      <c r="U45" s="184" t="e">
        <f ca="1">IF((INDEX(INDIRECT($3:$3),Table4[[#This Row],[No. Invoice :]]+$2:$2))=INDIRECT("pajak[@["&amp;Table4[#Headers]&amp;"]]"),1)</f>
        <v>#REF!</v>
      </c>
      <c r="V45" s="184" t="e">
        <f ca="1">IF((INDEX(INDIRECT($3:$3),Table4[[#This Row],[No. Invoice :]]+$2:$2))=INDIRECT("pajak[@["&amp;Table4[#Headers]&amp;"]]"),1)</f>
        <v>#REF!</v>
      </c>
      <c r="W45" s="184" t="e">
        <f ca="1">IF((INDEX(INDIRECT($3:$3),Table4[[#This Row],[No. Invoice :]]+$2:$2))=INDIRECT("pajak[@["&amp;Table4[#Headers]&amp;"]]"),1)</f>
        <v>#REF!</v>
      </c>
    </row>
    <row r="46" spans="1:23" x14ac:dyDescent="0.25">
      <c r="A46" s="292">
        <v>166</v>
      </c>
      <c r="C46" s="85">
        <f t="shared" ca="1" si="2"/>
        <v>166</v>
      </c>
      <c r="D46" s="85" t="str">
        <f ca="1">IF(pajak[[#This Row],[//]]="","",INDEX(Table1[No. Invoice :],pajak[//]-offset))</f>
        <v>AM 23070042</v>
      </c>
      <c r="E46" s="88">
        <f ca="1">IF(pajak[[#This Row],[//]]="","",INDEX(Table1[Tgl Invoice :],pajak[//]-offset))</f>
        <v>45136</v>
      </c>
      <c r="F46" s="85" t="str">
        <f ca="1">IF(pajak[[#This Row],[//]]="","",INDEX(Table1[Kode Sales :],pajak[//]-offset))</f>
        <v>G 2686</v>
      </c>
      <c r="G46" s="85" t="str">
        <f ca="1">IF(pajak[[#This Row],[//]]="","",INDEX(Table1[Toko],pajak[//]-offset))</f>
        <v>LILY JULIAWATI (REJO AGUNG) JOMBANG</v>
      </c>
      <c r="H46" s="87">
        <f ca="1">IF(pajak[[#This Row],[//]]="","",SUMIF(Table1[h_id],pajak[[#This Row],[//]],Table1[h_hargasebelumdiskon]))</f>
        <v>10497600</v>
      </c>
      <c r="I46" s="87">
        <f ca="1">IF(pajak[[#This Row],[//]]="","",SUMIF(Table1[h_id],pajak[[#This Row],[//]],Table1[h_diskon]))</f>
        <v>1312200</v>
      </c>
      <c r="J46" s="87">
        <f ca="1">IF(pajak[[#This Row],[//]]="","",SUMIF(Table1[h_id],pajak[[#This Row],[//]],Table1[h_hargasetelahdiskon]))</f>
        <v>9185400</v>
      </c>
      <c r="K46" s="87">
        <f ca="1">IF(pajak[//]="","",pajak[[#This Row],[Sub Total]]/1.11*11%)</f>
        <v>910264.86486486485</v>
      </c>
      <c r="L46" s="87">
        <f ca="1">pajak[[#This Row],[Sub Total]]</f>
        <v>9185400</v>
      </c>
      <c r="M46" s="85" t="str">
        <f ca="1">IF(pajak[[#This Row],[//]]="","",INDEX(Table1[pembuat nota :],pajak[//]-offset))</f>
        <v>NOVI / CONDRO</v>
      </c>
      <c r="N46" s="85" t="str">
        <f ca="1">IF(pajak[[#This Row],[//]]="","",IF(INDEX(Table1[edited :],pajak[//]-offset)="","",INDEX(Table1[edited :],pajak[//]-offset)))</f>
        <v/>
      </c>
      <c r="O46" s="87"/>
      <c r="Q46" s="85" t="str">
        <f>Table4[[#Headers],[AM]]</f>
        <v>AM</v>
      </c>
      <c r="R46" s="85">
        <f t="shared" si="3"/>
        <v>23070042</v>
      </c>
      <c r="S46" s="184" t="e">
        <f ca="1">IF(Table4[[#This Row],[AM]]&amp;" "&amp;Table4[[#This Row],[---]]=INDIRECT("pajak[@["&amp;Table4[#Headers]&amp;"]]"),MATCH(Table4[[#This Row],[---]],INDIRECT($3:$3),0))</f>
        <v>#REF!</v>
      </c>
      <c r="T46" s="184" t="e">
        <f ca="1">IF((INDEX(INDIRECT($3:$3),Table4[[#This Row],[No. Invoice :]]+$2:$2))=INDIRECT("pajak[@["&amp;Table4[#Headers]&amp;"]]"),1)</f>
        <v>#REF!</v>
      </c>
      <c r="U46" s="184" t="e">
        <f ca="1">IF((INDEX(INDIRECT($3:$3),Table4[[#This Row],[No. Invoice :]]+$2:$2))=INDIRECT("pajak[@["&amp;Table4[#Headers]&amp;"]]"),1)</f>
        <v>#REF!</v>
      </c>
      <c r="V46" s="184" t="e">
        <f ca="1">IF((INDEX(INDIRECT($3:$3),Table4[[#This Row],[No. Invoice :]]+$2:$2))=INDIRECT("pajak[@["&amp;Table4[#Headers]&amp;"]]"),1)</f>
        <v>#REF!</v>
      </c>
      <c r="W46" s="184" t="e">
        <f ca="1">IF((INDEX(INDIRECT($3:$3),Table4[[#This Row],[No. Invoice :]]+$2:$2))=INDIRECT("pajak[@["&amp;Table4[#Headers]&amp;"]]"),1)</f>
        <v>#REF!</v>
      </c>
    </row>
    <row r="47" spans="1:23" x14ac:dyDescent="0.25">
      <c r="A47" s="292">
        <v>170</v>
      </c>
      <c r="C47" s="85">
        <f t="shared" ca="1" si="2"/>
        <v>170</v>
      </c>
      <c r="D47" s="85" t="str">
        <f ca="1">IF(pajak[[#This Row],[//]]="","",INDEX(Table1[No. Invoice :],pajak[//]-offset))</f>
        <v>AM 23070043</v>
      </c>
      <c r="E47" s="88">
        <f ca="1">IF(pajak[[#This Row],[//]]="","",INDEX(Table1[Tgl Invoice :],pajak[//]-offset))</f>
        <v>45138</v>
      </c>
      <c r="F47" s="85" t="str">
        <f ca="1">IF(pajak[[#This Row],[//]]="","",INDEX(Table1[Kode Sales :],pajak[//]-offset))</f>
        <v>KO 2379</v>
      </c>
      <c r="G47" s="85" t="str">
        <f ca="1">IF(pajak[[#This Row],[//]]="","",INDEX(Table1[Toko],pajak[//]-offset))</f>
        <v>CV  WISUDA PURWOKERTO</v>
      </c>
      <c r="H47" s="87">
        <f ca="1">IF(pajak[[#This Row],[//]]="","",SUMIF(Table1[h_id],pajak[[#This Row],[//]],Table1[h_hargasebelumdiskon]))</f>
        <v>808000</v>
      </c>
      <c r="I47" s="87">
        <f ca="1">IF(pajak[[#This Row],[//]]="","",SUMIF(Table1[h_id],pajak[[#This Row],[//]],Table1[h_diskon]))</f>
        <v>80800</v>
      </c>
      <c r="J47" s="87">
        <f ca="1">IF(pajak[[#This Row],[//]]="","",SUMIF(Table1[h_id],pajak[[#This Row],[//]],Table1[h_hargasetelahdiskon]))</f>
        <v>727200</v>
      </c>
      <c r="K47" s="87">
        <f ca="1">IF(pajak[//]="","",pajak[[#This Row],[Sub Total]]/1.11*11%)</f>
        <v>72064.864864864852</v>
      </c>
      <c r="L47" s="87">
        <f ca="1">pajak[[#This Row],[Sub Total]]</f>
        <v>727200</v>
      </c>
      <c r="M47" s="85" t="str">
        <f ca="1">IF(pajak[[#This Row],[//]]="","",INDEX(Table1[pembuat nota :],pajak[//]-offset))</f>
        <v>NOVI / CONDRO</v>
      </c>
      <c r="N47" s="85" t="str">
        <f ca="1">IF(pajak[[#This Row],[//]]="","",IF(INDEX(Table1[edited :],pajak[//]-offset)="","",INDEX(Table1[edited :],pajak[//]-offset)))</f>
        <v/>
      </c>
      <c r="O47" s="87"/>
      <c r="Q47" s="85" t="str">
        <f>Table4[[#Headers],[AM]]</f>
        <v>AM</v>
      </c>
      <c r="R47" s="85">
        <f t="shared" si="3"/>
        <v>23070043</v>
      </c>
      <c r="S47" s="184" t="e">
        <f ca="1">IF(Table4[[#This Row],[AM]]&amp;" "&amp;Table4[[#This Row],[---]]=INDIRECT("pajak[@["&amp;Table4[#Headers]&amp;"]]"),MATCH(Table4[[#This Row],[---]],INDIRECT($3:$3),0))</f>
        <v>#REF!</v>
      </c>
      <c r="T47" s="184" t="e">
        <f ca="1">IF((INDEX(INDIRECT($3:$3),Table4[[#This Row],[No. Invoice :]]+$2:$2))=INDIRECT("pajak[@["&amp;Table4[#Headers]&amp;"]]"),1)</f>
        <v>#REF!</v>
      </c>
      <c r="U47" s="184" t="e">
        <f ca="1">IF((INDEX(INDIRECT($3:$3),Table4[[#This Row],[No. Invoice :]]+$2:$2))=INDIRECT("pajak[@["&amp;Table4[#Headers]&amp;"]]"),1)</f>
        <v>#REF!</v>
      </c>
      <c r="V47" s="184" t="e">
        <f ca="1">IF((INDEX(INDIRECT($3:$3),Table4[[#This Row],[No. Invoice :]]+$2:$2))=INDIRECT("pajak[@["&amp;Table4[#Headers]&amp;"]]"),1)</f>
        <v>#REF!</v>
      </c>
      <c r="W47" s="184" t="e">
        <f ca="1">IF((INDEX(INDIRECT($3:$3),Table4[[#This Row],[No. Invoice :]]+$2:$2))=INDIRECT("pajak[@["&amp;Table4[#Headers]&amp;"]]"),1)</f>
        <v>#REF!</v>
      </c>
    </row>
    <row r="48" spans="1:23" x14ac:dyDescent="0.25">
      <c r="A48" s="292">
        <v>174</v>
      </c>
      <c r="C48" s="85">
        <f t="shared" ca="1" si="2"/>
        <v>174</v>
      </c>
      <c r="D48" s="85" t="str">
        <f ca="1">IF(pajak[[#This Row],[//]]="","",INDEX(Table1[No. Invoice :],pajak[//]-offset))</f>
        <v>AM 23070044</v>
      </c>
      <c r="E48" s="88">
        <f ca="1">IF(pajak[[#This Row],[//]]="","",INDEX(Table1[Tgl Invoice :],pajak[//]-offset))</f>
        <v>45138</v>
      </c>
      <c r="F48" s="85" t="str">
        <f ca="1">IF(pajak[[#This Row],[//]]="","",INDEX(Table1[Kode Sales :],pajak[//]-offset))</f>
        <v>KO 1816</v>
      </c>
      <c r="G48" s="85" t="str">
        <f ca="1">IF(pajak[[#This Row],[//]]="","",INDEX(Table1[Toko],pajak[//]-offset))</f>
        <v>CV PELITA JAYA (ANUGERAH SEJAHTERA) PURWOKERTO</v>
      </c>
      <c r="H48" s="87">
        <f ca="1">IF(pajak[[#This Row],[//]]="","",SUMIF(Table1[h_id],pajak[[#This Row],[//]],Table1[h_hargasebelumdiskon]))</f>
        <v>3628800</v>
      </c>
      <c r="I48" s="87">
        <f ca="1">IF(pajak[[#This Row],[//]]="","",SUMIF(Table1[h_id],pajak[[#This Row],[//]],Table1[h_diskon]))</f>
        <v>489888.00000000006</v>
      </c>
      <c r="J48" s="87">
        <f ca="1">IF(pajak[[#This Row],[//]]="","",SUMIF(Table1[h_id],pajak[[#This Row],[//]],Table1[h_hargasetelahdiskon]))</f>
        <v>3138912</v>
      </c>
      <c r="K48" s="87">
        <f ca="1">IF(pajak[//]="","",pajak[[#This Row],[Sub Total]]/1.11*11%)</f>
        <v>311063.35135135136</v>
      </c>
      <c r="L48" s="87">
        <f ca="1">pajak[[#This Row],[Sub Total]]</f>
        <v>3138912</v>
      </c>
      <c r="M48" s="85" t="str">
        <f ca="1">IF(pajak[[#This Row],[//]]="","",INDEX(Table1[pembuat nota :],pajak[//]-offset))</f>
        <v>NOVI / CONDRO</v>
      </c>
      <c r="N48" s="85" t="str">
        <f ca="1">IF(pajak[[#This Row],[//]]="","",IF(INDEX(Table1[edited :],pajak[//]-offset)="","",INDEX(Table1[edited :],pajak[//]-offset)))</f>
        <v/>
      </c>
      <c r="O48" s="87"/>
      <c r="Q48" s="85" t="str">
        <f>Table4[[#Headers],[AM]]</f>
        <v>AM</v>
      </c>
      <c r="R48" s="85">
        <f t="shared" si="3"/>
        <v>23070044</v>
      </c>
      <c r="S48" s="184" t="e">
        <f ca="1">IF(Table4[[#This Row],[AM]]&amp;" "&amp;Table4[[#This Row],[---]]=INDIRECT("pajak[@["&amp;Table4[#Headers]&amp;"]]"),MATCH(Table4[[#This Row],[---]],INDIRECT($3:$3),0))</f>
        <v>#REF!</v>
      </c>
      <c r="T48" s="184" t="e">
        <f ca="1">IF((INDEX(INDIRECT($3:$3),Table4[[#This Row],[No. Invoice :]]+$2:$2))=INDIRECT("pajak[@["&amp;Table4[#Headers]&amp;"]]"),1)</f>
        <v>#REF!</v>
      </c>
      <c r="U48" s="184" t="e">
        <f ca="1">IF((INDEX(INDIRECT($3:$3),Table4[[#This Row],[No. Invoice :]]+$2:$2))=INDIRECT("pajak[@["&amp;Table4[#Headers]&amp;"]]"),1)</f>
        <v>#REF!</v>
      </c>
      <c r="V48" s="184" t="e">
        <f ca="1">IF((INDEX(INDIRECT($3:$3),Table4[[#This Row],[No. Invoice :]]+$2:$2))=INDIRECT("pajak[@["&amp;Table4[#Headers]&amp;"]]"),1)</f>
        <v>#REF!</v>
      </c>
      <c r="W48" s="184" t="e">
        <f ca="1">IF((INDEX(INDIRECT($3:$3),Table4[[#This Row],[No. Invoice :]]+$2:$2))=INDIRECT("pajak[@["&amp;Table4[#Headers]&amp;"]]"),1)</f>
        <v>#REF!</v>
      </c>
    </row>
    <row r="49" spans="1:23" x14ac:dyDescent="0.25">
      <c r="A49" s="292"/>
      <c r="C49" s="85" t="str">
        <f t="shared" ca="1" si="2"/>
        <v/>
      </c>
      <c r="D49" s="85" t="str">
        <f ca="1">IF(pajak[[#This Row],[//]]="","",INDEX(Table1[No. Invoice :],pajak[//]-offset))</f>
        <v/>
      </c>
      <c r="E49" s="88" t="str">
        <f ca="1">IF(pajak[[#This Row],[//]]="","",INDEX(Table1[Tgl Invoice :],pajak[//]-offset))</f>
        <v/>
      </c>
      <c r="F49" s="85" t="str">
        <f ca="1">IF(pajak[[#This Row],[//]]="","",INDEX(Table1[Kode Sales :],pajak[//]-offset))</f>
        <v/>
      </c>
      <c r="G49" s="85" t="str">
        <f ca="1">IF(pajak[[#This Row],[//]]="","",INDEX(Table1[Toko],pajak[//]-offset))</f>
        <v/>
      </c>
      <c r="H49" s="87" t="str">
        <f ca="1">IF(pajak[[#This Row],[//]]="","",SUMIF(Table1[h_id],pajak[[#This Row],[//]],Table1[h_hargasebelumdiskon]))</f>
        <v/>
      </c>
      <c r="I49" s="87" t="str">
        <f ca="1">IF(pajak[[#This Row],[//]]="","",SUMIF(Table1[h_id],pajak[[#This Row],[//]],Table1[h_diskon]))</f>
        <v/>
      </c>
      <c r="J49" s="87" t="str">
        <f ca="1">IF(pajak[[#This Row],[//]]="","",SUMIF(Table1[h_id],pajak[[#This Row],[//]],Table1[h_hargasetelahdiskon]))</f>
        <v/>
      </c>
      <c r="K49" s="87" t="str">
        <f ca="1">IF(pajak[//]="","",pajak[[#This Row],[Sub Total]]/1.11*11%)</f>
        <v/>
      </c>
      <c r="L49" s="87" t="str">
        <f ca="1">pajak[[#This Row],[Sub Total]]</f>
        <v/>
      </c>
      <c r="M49" s="85" t="str">
        <f ca="1">IF(pajak[[#This Row],[//]]="","",INDEX(Table1[pembuat nota :],pajak[//]-offset))</f>
        <v/>
      </c>
      <c r="N49" s="85" t="str">
        <f ca="1">IF(pajak[[#This Row],[//]]="","",IF(INDEX(Table1[edited :],pajak[//]-offset)="","",INDEX(Table1[edited :],pajak[//]-offset)))</f>
        <v/>
      </c>
      <c r="O49" s="87"/>
      <c r="Q49" s="85" t="str">
        <f>Table4[[#Headers],[AM]]</f>
        <v>AM</v>
      </c>
      <c r="R49" s="85">
        <f t="shared" si="3"/>
        <v>23070045</v>
      </c>
      <c r="S49" s="184" t="b">
        <f ca="1">IF(Table4[[#This Row],[AM]]&amp;" "&amp;Table4[[#This Row],[---]]=INDIRECT("pajak[@["&amp;Table4[#Headers]&amp;"]]"),MATCH(Table4[[#This Row],[---]],INDIRECT($3:$3),0))</f>
        <v>0</v>
      </c>
      <c r="T49" s="184" t="e">
        <f ca="1">IF((INDEX(INDIRECT($3:$3),Table4[[#This Row],[No. Invoice :]]+$2:$2))=INDIRECT("pajak[@["&amp;Table4[#Headers]&amp;"]]"),1)</f>
        <v>#REF!</v>
      </c>
      <c r="U49" s="184" t="e">
        <f ca="1">IF((INDEX(INDIRECT($3:$3),Table4[[#This Row],[No. Invoice :]]+$2:$2))=INDIRECT("pajak[@["&amp;Table4[#Headers]&amp;"]]"),1)</f>
        <v>#REF!</v>
      </c>
      <c r="V49" s="184" t="e">
        <f ca="1">IF((INDEX(INDIRECT($3:$3),Table4[[#This Row],[No. Invoice :]]+$2:$2))=INDIRECT("pajak[@["&amp;Table4[#Headers]&amp;"]]"),1)</f>
        <v>#REF!</v>
      </c>
      <c r="W49" s="184" t="e">
        <f ca="1">IF((INDEX(INDIRECT($3:$3),Table4[[#This Row],[No. Invoice :]]+$2:$2))=INDIRECT("pajak[@["&amp;Table4[#Headers]&amp;"]]"),1)</f>
        <v>#REF!</v>
      </c>
    </row>
    <row r="50" spans="1:23" x14ac:dyDescent="0.25">
      <c r="A50" s="292" t="s">
        <v>55</v>
      </c>
      <c r="C50" s="85" t="str">
        <f t="shared" ca="1" si="2"/>
        <v/>
      </c>
      <c r="D50" s="85" t="str">
        <f ca="1">IF(pajak[[#This Row],[//]]="","",INDEX(Table1[No. Invoice :],pajak[//]-offset))</f>
        <v/>
      </c>
      <c r="E50" s="88" t="str">
        <f ca="1">IF(pajak[[#This Row],[//]]="","",INDEX(Table1[Tgl Invoice :],pajak[//]-offset))</f>
        <v/>
      </c>
      <c r="F50" s="85" t="str">
        <f ca="1">IF(pajak[[#This Row],[//]]="","",INDEX(Table1[Kode Sales :],pajak[//]-offset))</f>
        <v/>
      </c>
      <c r="G50" s="85" t="str">
        <f ca="1">IF(pajak[[#This Row],[//]]="","",INDEX(Table1[Toko],pajak[//]-offset))</f>
        <v/>
      </c>
      <c r="H50" s="87" t="str">
        <f ca="1">IF(pajak[[#This Row],[//]]="","",SUMIF(Table1[h_id],pajak[[#This Row],[//]],Table1[h_hargasebelumdiskon]))</f>
        <v/>
      </c>
      <c r="I50" s="87" t="str">
        <f ca="1">IF(pajak[[#This Row],[//]]="","",SUMIF(Table1[h_id],pajak[[#This Row],[//]],Table1[h_diskon]))</f>
        <v/>
      </c>
      <c r="J50" s="87" t="str">
        <f ca="1">IF(pajak[[#This Row],[//]]="","",SUMIF(Table1[h_id],pajak[[#This Row],[//]],Table1[h_hargasetelahdiskon]))</f>
        <v/>
      </c>
      <c r="K50" s="87" t="str">
        <f ca="1">IF(pajak[//]="","",pajak[[#This Row],[Sub Total]]/1.11*11%)</f>
        <v/>
      </c>
      <c r="L50" s="87" t="str">
        <f ca="1">pajak[[#This Row],[Sub Total]]</f>
        <v/>
      </c>
      <c r="M50" s="85" t="str">
        <f ca="1">IF(pajak[[#This Row],[//]]="","",INDEX(Table1[pembuat nota :],pajak[//]-offset))</f>
        <v/>
      </c>
      <c r="N50" s="85" t="str">
        <f ca="1">IF(pajak[[#This Row],[//]]="","",IF(INDEX(Table1[edited :],pajak[//]-offset)="","",INDEX(Table1[edited :],pajak[//]-offset)))</f>
        <v/>
      </c>
      <c r="O50" s="87"/>
      <c r="Q50" s="85" t="str">
        <f>Table4[[#Headers],[AM]]</f>
        <v>AM</v>
      </c>
      <c r="R50" s="85">
        <f t="shared" si="3"/>
        <v>23070046</v>
      </c>
      <c r="S50" s="184" t="b">
        <f ca="1">IF(Table4[[#This Row],[AM]]&amp;" "&amp;Table4[[#This Row],[---]]=INDIRECT("pajak[@["&amp;Table4[#Headers]&amp;"]]"),MATCH(Table4[[#This Row],[---]],INDIRECT($3:$3),0))</f>
        <v>0</v>
      </c>
      <c r="T50" s="184" t="e">
        <f ca="1">IF((INDEX(INDIRECT($3:$3),Table4[[#This Row],[No. Invoice :]]+$2:$2))=INDIRECT("pajak[@["&amp;Table4[#Headers]&amp;"]]"),1)</f>
        <v>#REF!</v>
      </c>
      <c r="U50" s="184" t="e">
        <f ca="1">IF((INDEX(INDIRECT($3:$3),Table4[[#This Row],[No. Invoice :]]+$2:$2))=INDIRECT("pajak[@["&amp;Table4[#Headers]&amp;"]]"),1)</f>
        <v>#REF!</v>
      </c>
      <c r="V50" s="184" t="e">
        <f ca="1">IF((INDEX(INDIRECT($3:$3),Table4[[#This Row],[No. Invoice :]]+$2:$2))=INDIRECT("pajak[@["&amp;Table4[#Headers]&amp;"]]"),1)</f>
        <v>#REF!</v>
      </c>
      <c r="W50" s="184" t="e">
        <f ca="1">IF((INDEX(INDIRECT($3:$3),Table4[[#This Row],[No. Invoice :]]+$2:$2))=INDIRECT("pajak[@["&amp;Table4[#Headers]&amp;"]]"),1)</f>
        <v>#REF!</v>
      </c>
    </row>
    <row r="51" spans="1:23" x14ac:dyDescent="0.25">
      <c r="C51" s="85" t="str">
        <f t="shared" ca="1" si="2"/>
        <v/>
      </c>
      <c r="D51" s="85" t="str">
        <f ca="1">IF(pajak[[#This Row],[//]]="","",INDEX(Table1[No. Invoice :],pajak[//]-offset))</f>
        <v/>
      </c>
      <c r="E51" s="88" t="str">
        <f ca="1">IF(pajak[[#This Row],[//]]="","",INDEX(Table1[Tgl Invoice :],pajak[//]-offset))</f>
        <v/>
      </c>
      <c r="F51" s="85" t="str">
        <f ca="1">IF(pajak[[#This Row],[//]]="","",INDEX(Table1[Kode Sales :],pajak[//]-offset))</f>
        <v/>
      </c>
      <c r="G51" s="85" t="str">
        <f ca="1">IF(pajak[[#This Row],[//]]="","",INDEX(Table1[Toko],pajak[//]-offset))</f>
        <v/>
      </c>
      <c r="H51" s="87" t="str">
        <f ca="1">IF(pajak[[#This Row],[//]]="","",SUMIF(Table1[h_id],pajak[[#This Row],[//]],Table1[h_hargasebelumdiskon]))</f>
        <v/>
      </c>
      <c r="I51" s="87" t="str">
        <f ca="1">IF(pajak[[#This Row],[//]]="","",SUMIF(Table1[h_id],pajak[[#This Row],[//]],Table1[h_diskon]))</f>
        <v/>
      </c>
      <c r="J51" s="87" t="str">
        <f ca="1">IF(pajak[[#This Row],[//]]="","",SUMIF(Table1[h_id],pajak[[#This Row],[//]],Table1[h_hargasetelahdiskon]))</f>
        <v/>
      </c>
      <c r="K51" s="87" t="str">
        <f ca="1">IF(pajak[//]="","",pajak[[#This Row],[Sub Total]]/1.11*11%)</f>
        <v/>
      </c>
      <c r="L51" s="87" t="str">
        <f ca="1">pajak[[#This Row],[Sub Total]]</f>
        <v/>
      </c>
      <c r="M51" s="85" t="str">
        <f ca="1">IF(pajak[[#This Row],[//]]="","",INDEX(Table1[pembuat nota :],pajak[//]-offset))</f>
        <v/>
      </c>
      <c r="N51" s="85" t="str">
        <f ca="1">IF(pajak[[#This Row],[//]]="","",IF(INDEX(Table1[edited :],pajak[//]-offset)="","",INDEX(Table1[edited :],pajak[//]-offset)))</f>
        <v/>
      </c>
      <c r="O51" s="87"/>
      <c r="Q51" s="85" t="str">
        <f>Table4[[#Headers],[AM]]</f>
        <v>AM</v>
      </c>
      <c r="R51" s="85">
        <f t="shared" si="3"/>
        <v>23070047</v>
      </c>
      <c r="S51" s="184" t="b">
        <f ca="1">IF(Table4[[#This Row],[AM]]&amp;" "&amp;Table4[[#This Row],[---]]=INDIRECT("pajak[@["&amp;Table4[#Headers]&amp;"]]"),MATCH(Table4[[#This Row],[---]],INDIRECT($3:$3),0))</f>
        <v>0</v>
      </c>
      <c r="T51" s="184" t="e">
        <f ca="1">IF((INDEX(INDIRECT($3:$3),Table4[[#This Row],[No. Invoice :]]+$2:$2))=INDIRECT("pajak[@["&amp;Table4[#Headers]&amp;"]]"),1)</f>
        <v>#REF!</v>
      </c>
      <c r="U51" s="184" t="e">
        <f ca="1">IF((INDEX(INDIRECT($3:$3),Table4[[#This Row],[No. Invoice :]]+$2:$2))=INDIRECT("pajak[@["&amp;Table4[#Headers]&amp;"]]"),1)</f>
        <v>#REF!</v>
      </c>
      <c r="V51" s="184" t="e">
        <f ca="1">IF((INDEX(INDIRECT($3:$3),Table4[[#This Row],[No. Invoice :]]+$2:$2))=INDIRECT("pajak[@["&amp;Table4[#Headers]&amp;"]]"),1)</f>
        <v>#REF!</v>
      </c>
      <c r="W51" s="184" t="e">
        <f ca="1">IF((INDEX(INDIRECT($3:$3),Table4[[#This Row],[No. Invoice :]]+$2:$2))=INDIRECT("pajak[@["&amp;Table4[#Headers]&amp;"]]"),1)</f>
        <v>#REF!</v>
      </c>
    </row>
    <row r="52" spans="1:23" x14ac:dyDescent="0.25">
      <c r="C52" s="85" t="str">
        <f t="shared" ca="1" si="2"/>
        <v/>
      </c>
      <c r="D52" s="85" t="str">
        <f ca="1">IF(pajak[[#This Row],[//]]="","",INDEX(Table1[No. Invoice :],pajak[//]-offset))</f>
        <v/>
      </c>
      <c r="E52" s="88" t="str">
        <f ca="1">IF(pajak[[#This Row],[//]]="","",INDEX(Table1[Tgl Invoice :],pajak[//]-offset))</f>
        <v/>
      </c>
      <c r="F52" s="85" t="str">
        <f ca="1">IF(pajak[[#This Row],[//]]="","",INDEX(Table1[Kode Sales :],pajak[//]-offset))</f>
        <v/>
      </c>
      <c r="G52" s="85" t="str">
        <f ca="1">IF(pajak[[#This Row],[//]]="","",INDEX(Table1[Toko],pajak[//]-offset))</f>
        <v/>
      </c>
      <c r="H52" s="87" t="str">
        <f ca="1">IF(pajak[[#This Row],[//]]="","",SUMIF(Table1[h_id],pajak[[#This Row],[//]],Table1[h_hargasebelumdiskon]))</f>
        <v/>
      </c>
      <c r="I52" s="87" t="str">
        <f ca="1">IF(pajak[[#This Row],[//]]="","",SUMIF(Table1[h_id],pajak[[#This Row],[//]],Table1[h_diskon]))</f>
        <v/>
      </c>
      <c r="J52" s="87" t="str">
        <f ca="1">IF(pajak[[#This Row],[//]]="","",SUMIF(Table1[h_id],pajak[[#This Row],[//]],Table1[h_hargasetelahdiskon]))</f>
        <v/>
      </c>
      <c r="K52" s="87" t="str">
        <f ca="1">IF(pajak[//]="","",pajak[[#This Row],[Sub Total]]/1.11*11%)</f>
        <v/>
      </c>
      <c r="L52" s="87" t="str">
        <f ca="1">pajak[[#This Row],[Sub Total]]</f>
        <v/>
      </c>
      <c r="M52" s="85" t="str">
        <f ca="1">IF(pajak[[#This Row],[//]]="","",INDEX(Table1[pembuat nota :],pajak[//]-offset))</f>
        <v/>
      </c>
      <c r="N52" s="85" t="str">
        <f ca="1">IF(pajak[[#This Row],[//]]="","",IF(INDEX(Table1[edited :],pajak[//]-offset)="","",INDEX(Table1[edited :],pajak[//]-offset)))</f>
        <v/>
      </c>
      <c r="O52" s="87"/>
      <c r="Q52" s="85" t="str">
        <f>Table4[[#Headers],[AM]]</f>
        <v>AM</v>
      </c>
      <c r="R52" s="85">
        <f t="shared" si="3"/>
        <v>23070048</v>
      </c>
      <c r="S52" s="184" t="b">
        <f ca="1">IF(Table4[[#This Row],[AM]]&amp;" "&amp;Table4[[#This Row],[---]]=INDIRECT("pajak[@["&amp;Table4[#Headers]&amp;"]]"),MATCH(Table4[[#This Row],[---]],INDIRECT($3:$3),0))</f>
        <v>0</v>
      </c>
      <c r="T52" s="184" t="e">
        <f ca="1">IF((INDEX(INDIRECT($3:$3),Table4[[#This Row],[No. Invoice :]]+$2:$2))=INDIRECT("pajak[@["&amp;Table4[#Headers]&amp;"]]"),1)</f>
        <v>#REF!</v>
      </c>
      <c r="U52" s="184" t="e">
        <f ca="1">IF((INDEX(INDIRECT($3:$3),Table4[[#This Row],[No. Invoice :]]+$2:$2))=INDIRECT("pajak[@["&amp;Table4[#Headers]&amp;"]]"),1)</f>
        <v>#REF!</v>
      </c>
      <c r="V52" s="184" t="e">
        <f ca="1">IF((INDEX(INDIRECT($3:$3),Table4[[#This Row],[No. Invoice :]]+$2:$2))=INDIRECT("pajak[@["&amp;Table4[#Headers]&amp;"]]"),1)</f>
        <v>#REF!</v>
      </c>
      <c r="W52" s="184" t="e">
        <f ca="1">IF((INDEX(INDIRECT($3:$3),Table4[[#This Row],[No. Invoice :]]+$2:$2))=INDIRECT("pajak[@["&amp;Table4[#Headers]&amp;"]]"),1)</f>
        <v>#REF!</v>
      </c>
    </row>
    <row r="53" spans="1:23" x14ac:dyDescent="0.25">
      <c r="C53" s="85" t="str">
        <f t="shared" ca="1" si="2"/>
        <v/>
      </c>
      <c r="D53" s="85" t="str">
        <f ca="1">IF(pajak[[#This Row],[//]]="","",INDEX(Table1[No. Invoice :],pajak[//]-offset))</f>
        <v/>
      </c>
      <c r="E53" s="88" t="str">
        <f ca="1">IF(pajak[[#This Row],[//]]="","",INDEX(Table1[Tgl Invoice :],pajak[//]-offset))</f>
        <v/>
      </c>
      <c r="F53" s="85" t="str">
        <f ca="1">IF(pajak[[#This Row],[//]]="","",INDEX(Table1[Kode Sales :],pajak[//]-offset))</f>
        <v/>
      </c>
      <c r="G53" s="85" t="str">
        <f ca="1">IF(pajak[[#This Row],[//]]="","",INDEX(Table1[Toko],pajak[//]-offset))</f>
        <v/>
      </c>
      <c r="H53" s="87" t="str">
        <f ca="1">IF(pajak[[#This Row],[//]]="","",SUMIF(Table1[h_id],pajak[[#This Row],[//]],Table1[h_hargasebelumdiskon]))</f>
        <v/>
      </c>
      <c r="I53" s="87" t="str">
        <f ca="1">IF(pajak[[#This Row],[//]]="","",SUMIF(Table1[h_id],pajak[[#This Row],[//]],Table1[h_diskon]))</f>
        <v/>
      </c>
      <c r="J53" s="87" t="str">
        <f ca="1">IF(pajak[[#This Row],[//]]="","",SUMIF(Table1[h_id],pajak[[#This Row],[//]],Table1[h_hargasetelahdiskon]))</f>
        <v/>
      </c>
      <c r="K53" s="87" t="str">
        <f ca="1">IF(pajak[//]="","",pajak[[#This Row],[Sub Total]]/1.11*11%)</f>
        <v/>
      </c>
      <c r="L53" s="87" t="str">
        <f ca="1">pajak[[#This Row],[Sub Total]]</f>
        <v/>
      </c>
      <c r="M53" s="85" t="str">
        <f ca="1">IF(pajak[[#This Row],[//]]="","",INDEX(Table1[pembuat nota :],pajak[//]-offset))</f>
        <v/>
      </c>
      <c r="N53" s="85" t="str">
        <f ca="1">IF(pajak[[#This Row],[//]]="","",IF(INDEX(Table1[edited :],pajak[//]-offset)="","",INDEX(Table1[edited :],pajak[//]-offset)))</f>
        <v/>
      </c>
      <c r="O53" s="87"/>
      <c r="Q53" s="85" t="str">
        <f>Table4[[#Headers],[AM]]</f>
        <v>AM</v>
      </c>
      <c r="R53" s="85">
        <f t="shared" si="3"/>
        <v>23070049</v>
      </c>
      <c r="S53" s="184" t="b">
        <f ca="1">IF(Table4[[#This Row],[AM]]&amp;" "&amp;Table4[[#This Row],[---]]=INDIRECT("pajak[@["&amp;Table4[#Headers]&amp;"]]"),MATCH(Table4[[#This Row],[---]],INDIRECT($3:$3),0))</f>
        <v>0</v>
      </c>
      <c r="T53" s="184" t="e">
        <f ca="1">IF((INDEX(INDIRECT($3:$3),Table4[[#This Row],[No. Invoice :]]+$2:$2))=INDIRECT("pajak[@["&amp;Table4[#Headers]&amp;"]]"),1)</f>
        <v>#REF!</v>
      </c>
      <c r="U53" s="184" t="e">
        <f ca="1">IF((INDEX(INDIRECT($3:$3),Table4[[#This Row],[No. Invoice :]]+$2:$2))=INDIRECT("pajak[@["&amp;Table4[#Headers]&amp;"]]"),1)</f>
        <v>#REF!</v>
      </c>
      <c r="V53" s="184" t="e">
        <f ca="1">IF((INDEX(INDIRECT($3:$3),Table4[[#This Row],[No. Invoice :]]+$2:$2))=INDIRECT("pajak[@["&amp;Table4[#Headers]&amp;"]]"),1)</f>
        <v>#REF!</v>
      </c>
      <c r="W53" s="184" t="e">
        <f ca="1">IF((INDEX(INDIRECT($3:$3),Table4[[#This Row],[No. Invoice :]]+$2:$2))=INDIRECT("pajak[@["&amp;Table4[#Headers]&amp;"]]"),1)</f>
        <v>#REF!</v>
      </c>
    </row>
    <row r="54" spans="1:23" x14ac:dyDescent="0.25">
      <c r="C54" s="85" t="str">
        <f t="shared" ca="1" si="2"/>
        <v/>
      </c>
      <c r="D54" s="85" t="str">
        <f ca="1">IF(pajak[[#This Row],[//]]="","",INDEX(Table1[No. Invoice :],pajak[//]-offset))</f>
        <v/>
      </c>
      <c r="E54" s="88" t="str">
        <f ca="1">IF(pajak[[#This Row],[//]]="","",INDEX(Table1[Tgl Invoice :],pajak[//]-offset))</f>
        <v/>
      </c>
      <c r="F54" s="85" t="str">
        <f ca="1">IF(pajak[[#This Row],[//]]="","",INDEX(Table1[Kode Sales :],pajak[//]-offset))</f>
        <v/>
      </c>
      <c r="G54" s="85" t="str">
        <f ca="1">IF(pajak[[#This Row],[//]]="","",INDEX(Table1[Toko],pajak[//]-offset))</f>
        <v/>
      </c>
      <c r="H54" s="87" t="str">
        <f ca="1">IF(pajak[[#This Row],[//]]="","",SUMIF(Table1[h_id],pajak[[#This Row],[//]],Table1[h_hargasebelumdiskon]))</f>
        <v/>
      </c>
      <c r="I54" s="87" t="str">
        <f ca="1">IF(pajak[[#This Row],[//]]="","",SUMIF(Table1[h_id],pajak[[#This Row],[//]],Table1[h_diskon]))</f>
        <v/>
      </c>
      <c r="J54" s="87" t="str">
        <f ca="1">IF(pajak[[#This Row],[//]]="","",SUMIF(Table1[h_id],pajak[[#This Row],[//]],Table1[h_hargasetelahdiskon]))</f>
        <v/>
      </c>
      <c r="K54" s="87" t="str">
        <f ca="1">IF(pajak[//]="","",pajak[[#This Row],[Sub Total]]/1.11*11%)</f>
        <v/>
      </c>
      <c r="L54" s="87" t="str">
        <f ca="1">pajak[[#This Row],[Sub Total]]</f>
        <v/>
      </c>
      <c r="M54" s="85" t="str">
        <f ca="1">IF(pajak[[#This Row],[//]]="","",INDEX(Table1[pembuat nota :],pajak[//]-offset))</f>
        <v/>
      </c>
      <c r="N54" s="85" t="str">
        <f ca="1">IF(pajak[[#This Row],[//]]="","",IF(INDEX(Table1[edited :],pajak[//]-offset)="","",INDEX(Table1[edited :],pajak[//]-offset)))</f>
        <v/>
      </c>
      <c r="O54" s="87"/>
      <c r="Q54" s="85" t="str">
        <f>Table4[[#Headers],[AM]]</f>
        <v>AM</v>
      </c>
      <c r="R54" s="85">
        <f t="shared" si="3"/>
        <v>23070050</v>
      </c>
      <c r="S54" s="184" t="b">
        <f ca="1">IF(Table4[[#This Row],[AM]]&amp;" "&amp;Table4[[#This Row],[---]]=INDIRECT("pajak[@["&amp;Table4[#Headers]&amp;"]]"),MATCH(Table4[[#This Row],[---]],INDIRECT($3:$3),0))</f>
        <v>0</v>
      </c>
      <c r="T54" s="184" t="e">
        <f ca="1">IF((INDEX(INDIRECT($3:$3),Table4[[#This Row],[No. Invoice :]]+$2:$2))=INDIRECT("pajak[@["&amp;Table4[#Headers]&amp;"]]"),1)</f>
        <v>#REF!</v>
      </c>
      <c r="U54" s="184" t="e">
        <f ca="1">IF((INDEX(INDIRECT($3:$3),Table4[[#This Row],[No. Invoice :]]+$2:$2))=INDIRECT("pajak[@["&amp;Table4[#Headers]&amp;"]]"),1)</f>
        <v>#REF!</v>
      </c>
      <c r="V54" s="184" t="e">
        <f ca="1">IF((INDEX(INDIRECT($3:$3),Table4[[#This Row],[No. Invoice :]]+$2:$2))=INDIRECT("pajak[@["&amp;Table4[#Headers]&amp;"]]"),1)</f>
        <v>#REF!</v>
      </c>
      <c r="W54" s="184" t="e">
        <f ca="1">IF((INDEX(INDIRECT($3:$3),Table4[[#This Row],[No. Invoice :]]+$2:$2))=INDIRECT("pajak[@["&amp;Table4[#Headers]&amp;"]]"),1)</f>
        <v>#REF!</v>
      </c>
    </row>
    <row r="55" spans="1:23" x14ac:dyDescent="0.25">
      <c r="C55" s="85" t="str">
        <f t="shared" ca="1" si="2"/>
        <v/>
      </c>
      <c r="D55" s="85" t="str">
        <f ca="1">IF(pajak[[#This Row],[//]]="","",INDEX(Table1[No. Invoice :],pajak[//]-offset))</f>
        <v/>
      </c>
      <c r="E55" s="88" t="str">
        <f ca="1">IF(pajak[[#This Row],[//]]="","",INDEX(Table1[Tgl Invoice :],pajak[//]-offset))</f>
        <v/>
      </c>
      <c r="F55" s="85" t="str">
        <f ca="1">IF(pajak[[#This Row],[//]]="","",INDEX(Table1[Kode Sales :],pajak[//]-offset))</f>
        <v/>
      </c>
      <c r="G55" s="85" t="str">
        <f ca="1">IF(pajak[[#This Row],[//]]="","",INDEX(Table1[Toko],pajak[//]-offset))</f>
        <v/>
      </c>
      <c r="H55" s="87" t="str">
        <f ca="1">IF(pajak[[#This Row],[//]]="","",SUMIF(Table1[h_id],pajak[[#This Row],[//]],Table1[h_hargasebelumdiskon]))</f>
        <v/>
      </c>
      <c r="I55" s="87" t="str">
        <f ca="1">IF(pajak[[#This Row],[//]]="","",SUMIF(Table1[h_id],pajak[[#This Row],[//]],Table1[h_diskon]))</f>
        <v/>
      </c>
      <c r="J55" s="87" t="str">
        <f ca="1">IF(pajak[[#This Row],[//]]="","",SUMIF(Table1[h_id],pajak[[#This Row],[//]],Table1[h_hargasetelahdiskon]))</f>
        <v/>
      </c>
      <c r="K55" s="87" t="str">
        <f ca="1">IF(pajak[//]="","",pajak[[#This Row],[Sub Total]]/1.11*11%)</f>
        <v/>
      </c>
      <c r="L55" s="87" t="str">
        <f ca="1">pajak[[#This Row],[Sub Total]]</f>
        <v/>
      </c>
      <c r="M55" s="85" t="str">
        <f ca="1">IF(pajak[[#This Row],[//]]="","",INDEX(Table1[pembuat nota :],pajak[//]-offset))</f>
        <v/>
      </c>
      <c r="N55" s="85" t="str">
        <f ca="1">IF(pajak[[#This Row],[//]]="","",IF(INDEX(Table1[edited :],pajak[//]-offset)="","",INDEX(Table1[edited :],pajak[//]-offset)))</f>
        <v/>
      </c>
      <c r="O55" s="87"/>
      <c r="Q55" s="85" t="str">
        <f>Table4[[#Headers],[AM]]</f>
        <v>AM</v>
      </c>
      <c r="R55" s="85">
        <f t="shared" si="3"/>
        <v>23070051</v>
      </c>
      <c r="S55" s="184" t="b">
        <f ca="1">IF(Table4[[#This Row],[AM]]&amp;" "&amp;Table4[[#This Row],[---]]=INDIRECT("pajak[@["&amp;Table4[#Headers]&amp;"]]"),MATCH(Table4[[#This Row],[---]],INDIRECT($3:$3),0))</f>
        <v>0</v>
      </c>
      <c r="T55" s="184" t="e">
        <f ca="1">IF((INDEX(INDIRECT($3:$3),Table4[[#This Row],[No. Invoice :]]+$2:$2))=INDIRECT("pajak[@["&amp;Table4[#Headers]&amp;"]]"),1)</f>
        <v>#REF!</v>
      </c>
      <c r="U55" s="184" t="e">
        <f ca="1">IF((INDEX(INDIRECT($3:$3),Table4[[#This Row],[No. Invoice :]]+$2:$2))=INDIRECT("pajak[@["&amp;Table4[#Headers]&amp;"]]"),1)</f>
        <v>#REF!</v>
      </c>
      <c r="V55" s="184" t="e">
        <f ca="1">IF((INDEX(INDIRECT($3:$3),Table4[[#This Row],[No. Invoice :]]+$2:$2))=INDIRECT("pajak[@["&amp;Table4[#Headers]&amp;"]]"),1)</f>
        <v>#REF!</v>
      </c>
      <c r="W55" s="184" t="e">
        <f ca="1">IF((INDEX(INDIRECT($3:$3),Table4[[#This Row],[No. Invoice :]]+$2:$2))=INDIRECT("pajak[@["&amp;Table4[#Headers]&amp;"]]"),1)</f>
        <v>#REF!</v>
      </c>
    </row>
    <row r="56" spans="1:23" x14ac:dyDescent="0.25">
      <c r="C56" s="85" t="str">
        <f t="shared" ca="1" si="2"/>
        <v/>
      </c>
      <c r="D56" s="85" t="str">
        <f ca="1">IF(pajak[[#This Row],[//]]="","",INDEX(Table1[No. Invoice :],pajak[//]-offset))</f>
        <v/>
      </c>
      <c r="E56" s="88" t="str">
        <f ca="1">IF(pajak[[#This Row],[//]]="","",INDEX(Table1[Tgl Invoice :],pajak[//]-offset))</f>
        <v/>
      </c>
      <c r="F56" s="85" t="str">
        <f ca="1">IF(pajak[[#This Row],[//]]="","",INDEX(Table1[Kode Sales :],pajak[//]-offset))</f>
        <v/>
      </c>
      <c r="G56" s="85" t="str">
        <f ca="1">IF(pajak[[#This Row],[//]]="","",INDEX(Table1[Toko],pajak[//]-offset))</f>
        <v/>
      </c>
      <c r="H56" s="87" t="str">
        <f ca="1">IF(pajak[[#This Row],[//]]="","",SUMIF(Table1[h_id],pajak[[#This Row],[//]],Table1[h_hargasebelumdiskon]))</f>
        <v/>
      </c>
      <c r="I56" s="87" t="str">
        <f ca="1">IF(pajak[[#This Row],[//]]="","",SUMIF(Table1[h_id],pajak[[#This Row],[//]],Table1[h_diskon]))</f>
        <v/>
      </c>
      <c r="J56" s="87" t="str">
        <f ca="1">IF(pajak[[#This Row],[//]]="","",SUMIF(Table1[h_id],pajak[[#This Row],[//]],Table1[h_hargasetelahdiskon]))</f>
        <v/>
      </c>
      <c r="K56" s="87" t="str">
        <f ca="1">IF(pajak[//]="","",pajak[[#This Row],[Sub Total]]/1.11*11%)</f>
        <v/>
      </c>
      <c r="L56" s="87" t="str">
        <f ca="1">pajak[[#This Row],[Sub Total]]</f>
        <v/>
      </c>
      <c r="M56" s="85" t="str">
        <f ca="1">IF(pajak[[#This Row],[//]]="","",INDEX(Table1[pembuat nota :],pajak[//]-offset))</f>
        <v/>
      </c>
      <c r="N56" s="85" t="str">
        <f ca="1">IF(pajak[[#This Row],[//]]="","",IF(INDEX(Table1[edited :],pajak[//]-offset)="","",INDEX(Table1[edited :],pajak[//]-offset)))</f>
        <v/>
      </c>
      <c r="O56" s="87"/>
      <c r="Q56" s="85" t="str">
        <f>Table4[[#Headers],[AM]]</f>
        <v>AM</v>
      </c>
      <c r="R56" s="85">
        <f t="shared" si="3"/>
        <v>23070052</v>
      </c>
      <c r="S56" s="184" t="b">
        <f ca="1">IF(Table4[[#This Row],[AM]]&amp;" "&amp;Table4[[#This Row],[---]]=INDIRECT("pajak[@["&amp;Table4[#Headers]&amp;"]]"),MATCH(Table4[[#This Row],[---]],INDIRECT($3:$3),0))</f>
        <v>0</v>
      </c>
      <c r="T56" s="184" t="e">
        <f ca="1">IF((INDEX(INDIRECT($3:$3),Table4[[#This Row],[No. Invoice :]]+$2:$2))=INDIRECT("pajak[@["&amp;Table4[#Headers]&amp;"]]"),1)</f>
        <v>#REF!</v>
      </c>
      <c r="U56" s="184" t="e">
        <f ca="1">IF((INDEX(INDIRECT($3:$3),Table4[[#This Row],[No. Invoice :]]+$2:$2))=INDIRECT("pajak[@["&amp;Table4[#Headers]&amp;"]]"),1)</f>
        <v>#REF!</v>
      </c>
      <c r="V56" s="184" t="e">
        <f ca="1">IF((INDEX(INDIRECT($3:$3),Table4[[#This Row],[No. Invoice :]]+$2:$2))=INDIRECT("pajak[@["&amp;Table4[#Headers]&amp;"]]"),1)</f>
        <v>#REF!</v>
      </c>
      <c r="W56" s="184" t="e">
        <f ca="1">IF((INDEX(INDIRECT($3:$3),Table4[[#This Row],[No. Invoice :]]+$2:$2))=INDIRECT("pajak[@["&amp;Table4[#Headers]&amp;"]]"),1)</f>
        <v>#REF!</v>
      </c>
    </row>
    <row r="57" spans="1:23" x14ac:dyDescent="0.25">
      <c r="C57" s="85" t="str">
        <f t="shared" ca="1" si="2"/>
        <v/>
      </c>
      <c r="D57" s="85" t="str">
        <f ca="1">IF(pajak[[#This Row],[//]]="","",INDEX(Table1[No. Invoice :],pajak[//]-offset))</f>
        <v/>
      </c>
      <c r="E57" s="88" t="str">
        <f ca="1">IF(pajak[[#This Row],[//]]="","",INDEX(Table1[Tgl Invoice :],pajak[//]-offset))</f>
        <v/>
      </c>
      <c r="F57" s="85" t="str">
        <f ca="1">IF(pajak[[#This Row],[//]]="","",INDEX(Table1[Kode Sales :],pajak[//]-offset))</f>
        <v/>
      </c>
      <c r="G57" s="85" t="str">
        <f ca="1">IF(pajak[[#This Row],[//]]="","",INDEX(Table1[Toko],pajak[//]-offset))</f>
        <v/>
      </c>
      <c r="H57" s="87" t="str">
        <f ca="1">IF(pajak[[#This Row],[//]]="","",SUMIF(Table1[h_id],pajak[[#This Row],[//]],Table1[h_hargasebelumdiskon]))</f>
        <v/>
      </c>
      <c r="I57" s="87" t="str">
        <f ca="1">IF(pajak[[#This Row],[//]]="","",SUMIF(Table1[h_id],pajak[[#This Row],[//]],Table1[h_diskon]))</f>
        <v/>
      </c>
      <c r="J57" s="87" t="str">
        <f ca="1">IF(pajak[[#This Row],[//]]="","",SUMIF(Table1[h_id],pajak[[#This Row],[//]],Table1[h_hargasetelahdiskon]))</f>
        <v/>
      </c>
      <c r="K57" s="87" t="str">
        <f ca="1">IF(pajak[//]="","",pajak[[#This Row],[Sub Total]]/1.11*11%)</f>
        <v/>
      </c>
      <c r="L57" s="87" t="str">
        <f ca="1">pajak[[#This Row],[Sub Total]]</f>
        <v/>
      </c>
      <c r="M57" s="85" t="str">
        <f ca="1">IF(pajak[[#This Row],[//]]="","",INDEX(Table1[pembuat nota :],pajak[//]-offset))</f>
        <v/>
      </c>
      <c r="N57" s="85" t="str">
        <f ca="1">IF(pajak[[#This Row],[//]]="","",IF(INDEX(Table1[edited :],pajak[//]-offset)="","",INDEX(Table1[edited :],pajak[//]-offset)))</f>
        <v/>
      </c>
      <c r="O57" s="87"/>
      <c r="Q57" s="85" t="str">
        <f>Table4[[#Headers],[AM]]</f>
        <v>AM</v>
      </c>
      <c r="R57" s="85">
        <f t="shared" si="3"/>
        <v>23070053</v>
      </c>
      <c r="S57" s="184" t="b">
        <f ca="1">IF(Table4[[#This Row],[AM]]&amp;" "&amp;Table4[[#This Row],[---]]=INDIRECT("pajak[@["&amp;Table4[#Headers]&amp;"]]"),MATCH(Table4[[#This Row],[---]],INDIRECT($3:$3),0))</f>
        <v>0</v>
      </c>
      <c r="T57" s="184" t="e">
        <f ca="1">IF((INDEX(INDIRECT($3:$3),Table4[[#This Row],[No. Invoice :]]+$2:$2))=INDIRECT("pajak[@["&amp;Table4[#Headers]&amp;"]]"),1)</f>
        <v>#REF!</v>
      </c>
      <c r="U57" s="184" t="e">
        <f ca="1">IF((INDEX(INDIRECT($3:$3),Table4[[#This Row],[No. Invoice :]]+$2:$2))=INDIRECT("pajak[@["&amp;Table4[#Headers]&amp;"]]"),1)</f>
        <v>#REF!</v>
      </c>
      <c r="V57" s="184" t="e">
        <f ca="1">IF((INDEX(INDIRECT($3:$3),Table4[[#This Row],[No. Invoice :]]+$2:$2))=INDIRECT("pajak[@["&amp;Table4[#Headers]&amp;"]]"),1)</f>
        <v>#REF!</v>
      </c>
      <c r="W57" s="184" t="e">
        <f ca="1">IF((INDEX(INDIRECT($3:$3),Table4[[#This Row],[No. Invoice :]]+$2:$2))=INDIRECT("pajak[@["&amp;Table4[#Headers]&amp;"]]"),1)</f>
        <v>#REF!</v>
      </c>
    </row>
    <row r="58" spans="1:23" x14ac:dyDescent="0.25">
      <c r="C58" t="s">
        <v>51</v>
      </c>
      <c r="E58"/>
      <c r="H58" s="87">
        <f ca="1">SUBTOTAL(109,pajak[Total])</f>
        <v>474469400</v>
      </c>
      <c r="I58" s="87">
        <f ca="1">SUBTOTAL(109,pajak[Diskon])</f>
        <v>58460492.5</v>
      </c>
      <c r="J58" s="87">
        <f ca="1">SUBTOTAL(109,pajak[Sub Total])</f>
        <v>416008907.5</v>
      </c>
      <c r="K58" s="87">
        <f ca="1">SUBTOTAL(109,pajak[PPN 11%])</f>
        <v>41226107.950450435</v>
      </c>
      <c r="L58" s="87">
        <f ca="1">SUBTOTAL(109,pajak[Total Invoice])</f>
        <v>416008907.5</v>
      </c>
      <c r="M58"/>
      <c r="N58"/>
      <c r="O58"/>
    </row>
  </sheetData>
  <conditionalFormatting sqref="F59:F1048576 F3:F57">
    <cfRule type="duplicateValues" dxfId="63" priority="9"/>
  </conditionalFormatting>
  <conditionalFormatting sqref="S1:W2 S4:W1048576">
    <cfRule type="containsText" dxfId="62" priority="1" operator="containsText" text="FALSE">
      <formula>NOT(ISERROR(SEARCH("FALSE",S1)))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view="pageLayout" topLeftCell="A2" zoomScaleNormal="85" workbookViewId="0">
      <selection activeCell="G25" sqref="G25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 ca="1">IF(K1="",MAX(Table1[//]),INDEX(Table1[//],MATCH(K1,Table1[//],0)))</f>
        <v>174</v>
      </c>
      <c r="B1" t="s">
        <v>43</v>
      </c>
      <c r="C1">
        <f>COUNTA(NOTA!B1:B2)</f>
        <v>2</v>
      </c>
      <c r="D1" t="s">
        <v>44</v>
      </c>
      <c r="E1" t="str">
        <f ca="1">INDEX(Table1[h_toko],newestIdRow-offset)</f>
        <v>ANUGERAH</v>
      </c>
      <c r="F1" t="s">
        <v>46</v>
      </c>
      <c r="G1">
        <f ca="1">INDEX(Table1[h_jumlahbarang],newestIdRow-offset)</f>
        <v>1</v>
      </c>
      <c r="I1" s="306" t="s">
        <v>74</v>
      </c>
      <c r="J1" s="306"/>
    </row>
    <row r="2" spans="1:12" s="3" customFormat="1" ht="7.5" customHeight="1" collapsed="1" x14ac:dyDescent="0.25">
      <c r="A2" s="2"/>
      <c r="D2" s="4"/>
      <c r="I2" s="5"/>
      <c r="J2" s="5" t="s">
        <v>100</v>
      </c>
      <c r="K2" t="s">
        <v>104</v>
      </c>
    </row>
    <row r="3" spans="1:12" s="9" customFormat="1" ht="16.5" customHeight="1" x14ac:dyDescent="0.3">
      <c r="A3" s="6"/>
      <c r="B3" s="1" t="s">
        <v>1</v>
      </c>
      <c r="C3" s="7"/>
      <c r="D3" s="89" t="s">
        <v>15</v>
      </c>
      <c r="E3" s="8">
        <f ca="1">INDEX(Table1[h_No. Invoice :],newestIdRow-offset)</f>
        <v>23070044</v>
      </c>
      <c r="G3" s="10" t="s">
        <v>16</v>
      </c>
      <c r="H3" s="313" t="str">
        <f ca="1">INDEX(Table2[b],MATCH(kToko,Table2[a],0))</f>
        <v>CV PELITA JAYA</v>
      </c>
      <c r="I3" s="313"/>
      <c r="J3" s="313"/>
      <c r="K3" s="314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17" t="s">
        <v>18</v>
      </c>
      <c r="G4" s="16"/>
      <c r="H4" s="315"/>
      <c r="I4" s="315"/>
      <c r="J4" s="315"/>
      <c r="K4" s="316"/>
      <c r="L4" s="11"/>
    </row>
    <row r="5" spans="1:12" s="9" customFormat="1" ht="16.5" customHeight="1" x14ac:dyDescent="0.3">
      <c r="A5" s="6"/>
      <c r="B5" s="1" t="s">
        <v>2</v>
      </c>
      <c r="C5" s="7"/>
      <c r="D5" s="318">
        <f ca="1">INDEX(Table1[Tgl Invoice :],newestIdRow-offset)</f>
        <v>45138</v>
      </c>
      <c r="E5" s="319"/>
      <c r="F5" s="317"/>
      <c r="G5" s="17"/>
      <c r="H5" s="320" t="str">
        <f ca="1">IF(INDEX(Table2[c],MATCH(kToko,Table2[a],0))="","",INDEX(Table2[c],MATCH(kToko,Table2[a],0)))</f>
        <v>(ANUGERAH SEJAHTERA)</v>
      </c>
      <c r="I5" s="320"/>
      <c r="J5" s="320"/>
      <c r="K5" s="321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17"/>
      <c r="G6" s="17"/>
      <c r="H6" s="322" t="str">
        <f ca="1">INDEX(Table2[d],MATCH(kToko,Table2[a],0))</f>
        <v>PURWOKERTO</v>
      </c>
      <c r="I6" s="322"/>
      <c r="J6" s="322"/>
      <c r="K6" s="323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1816</v>
      </c>
      <c r="E7" s="8"/>
      <c r="F7" s="20"/>
      <c r="G7" s="21"/>
      <c r="H7" s="324"/>
      <c r="I7" s="324"/>
      <c r="J7" s="324"/>
      <c r="K7" s="325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288</v>
      </c>
      <c r="C11" s="45" t="str">
        <f ca="1">IF(A11&gt;jumlahBarang,"",INDEX(Table1[Unit],newestIdRow-offset+A11-1))</f>
        <v>LSN</v>
      </c>
      <c r="D11" s="46">
        <f ca="1">IF(A11&gt;jumlahBarang,"",IF(INDEX(Table1[C],newestIdRow-offset+A11-1)="","",INDEX(Table1[C],newestIdRow-offset+A11-1)))</f>
        <v>2</v>
      </c>
      <c r="E11" s="47" t="str">
        <f ca="1">IF(A11&gt;jumlahBarang,"",INDEX(Table1[Item Description],newestIdRow-offset+A11-1))</f>
        <v>BALLPEN JOYKO BP-338 VOCUS HITAM</v>
      </c>
      <c r="F11" s="48"/>
      <c r="G11" s="49"/>
      <c r="H11" s="50">
        <f ca="1">IF(A11&gt;jumlahBarang,"",INDEX(Table1[Unit Price],newestIdRow-offset+A11-1))</f>
        <v>12600</v>
      </c>
      <c r="I11" s="51">
        <f ca="1">IF(A11&gt;jumlahBarang,"",IF(INDEX(Table1[Disc 1],newestIdRow-offset+A11-1)="","",INDEX(Table1[Disc 1],newestIdRow-offset+A11-1)))</f>
        <v>0.13500000000000001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3138912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IF(A12&gt;jumlahBarang,"",INDEX(Table1[Unit],newestIdRow-offset+A12-1))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IF(A13&gt;jumlahBarang,"",INDEX(Table1[Unit],newestIdRow-offset+A13-1))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IF(A14&gt;jumlahBarang,"",INDEX(Table1[Unit],newestIdRow-offset+A14-1))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IF(A15&gt;jumlahBarang,"",INDEX(Table1[Unit],newestIdRow-offset+A15-1))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IF(A16&gt;jumlahBarang,"",INDEX(Table1[Unit],newestIdRow-offset+A16-1))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IF(A17&gt;jumlahBarang,"",INDEX(Table1[Unit],newestIdRow-offset+A17-1))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IF(A18&gt;jumlahBarang,"",INDEX(Table1[Unit],newestIdRow-offset+A18-1))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IF(A19&gt;jumlahBarang,"",INDEX(Table1[Unit],newestIdRow-offset+A19-1))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IF(A20&gt;jumlahBarang,"",INDEX(Table1[Unit],newestIdRow-offset+A20-1))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IF(A21&gt;jumlahBarang,"",INDEX(Table1[Unit],newestIdRow-offset+A21-1))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IF(A22&gt;jumlahBarang,"",INDEX(Table1[Unit],newestIdRow-offset+A22-1))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IF(A23&gt;jumlahBarang,"",INDEX(Table1[Unit],newestIdRow-offset+A23-1))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IF(A24&gt;jumlahBarang,"",INDEX(Table1[Unit],newestIdRow-offset+A24-1))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IF(A25&gt;jumlahBarang,"",INDEX(Table1[Unit],newestIdRow-offset+A25-1))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IF(A26&gt;jumlahBarang,"",INDEX(Table1[Unit],newestIdRow-offset+A26-1))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12"/>
      <c r="K28" s="312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09">
        <f ca="1">INDEX(pajak[Sub Total],MATCH(newestIdRow,pajak[//],0))</f>
        <v>3138912</v>
      </c>
      <c r="K29" s="310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11"/>
      <c r="K30" s="311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12"/>
      <c r="K32" s="312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09">
        <f ca="1">INDEX(pajak[PPN 11%],MATCH(newestIdRow,pajak[//],0))</f>
        <v>311063.35135135136</v>
      </c>
      <c r="K33" s="310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12"/>
      <c r="K34" s="312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3138912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8"/>
      <c r="I37" s="179" t="s">
        <v>12</v>
      </c>
      <c r="J37" s="307" t="str">
        <f ca="1">INDEX(pajak[pembuat nota],MATCH(newestIdRow,pajak[//],0))</f>
        <v>NOVI / CONDRO</v>
      </c>
      <c r="K37" s="308"/>
    </row>
    <row r="38" spans="1:12" s="9" customFormat="1" ht="13.5" customHeight="1" x14ac:dyDescent="0.25">
      <c r="A38" s="77"/>
      <c r="B38" s="82"/>
      <c r="D38" s="48"/>
      <c r="H38" s="178"/>
      <c r="I38" s="180" t="s">
        <v>13</v>
      </c>
      <c r="J38" s="307" t="str">
        <f ca="1">INDEX(pajak[edited],MATCH(newestIdRow,pajak[//],0))</f>
        <v/>
      </c>
      <c r="K38" s="308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5"/>
      <c r="B40" s="186"/>
      <c r="C40" s="186"/>
      <c r="D40" s="187"/>
      <c r="E40" s="186"/>
      <c r="F40" s="186"/>
      <c r="G40" s="186"/>
      <c r="H40" s="186"/>
      <c r="I40" s="188"/>
      <c r="J40" s="188"/>
      <c r="K40" s="186"/>
      <c r="L40" s="189"/>
    </row>
    <row r="41" spans="1:12" s="9" customFormat="1" ht="16.5" customHeight="1" x14ac:dyDescent="0.3">
      <c r="A41" s="190"/>
      <c r="B41" s="191" t="s">
        <v>1</v>
      </c>
      <c r="C41" s="192"/>
      <c r="D41" s="193" t="str">
        <f>D3</f>
        <v>AM</v>
      </c>
      <c r="E41" s="194">
        <f ca="1">E3</f>
        <v>23070044</v>
      </c>
      <c r="F41" s="195"/>
      <c r="G41" s="196" t="s">
        <v>16</v>
      </c>
      <c r="H41" s="326" t="str">
        <f ca="1">H3</f>
        <v>CV PELITA JAYA</v>
      </c>
      <c r="I41" s="326"/>
      <c r="J41" s="326"/>
      <c r="K41" s="327"/>
      <c r="L41" s="197"/>
    </row>
    <row r="42" spans="1:12" s="9" customFormat="1" ht="7.5" customHeight="1" x14ac:dyDescent="0.3">
      <c r="A42" s="190"/>
      <c r="B42" s="198"/>
      <c r="C42" s="199"/>
      <c r="D42" s="200"/>
      <c r="E42" s="201"/>
      <c r="F42" s="330" t="s">
        <v>18</v>
      </c>
      <c r="G42" s="202"/>
      <c r="H42" s="328"/>
      <c r="I42" s="328"/>
      <c r="J42" s="328"/>
      <c r="K42" s="329"/>
      <c r="L42" s="197"/>
    </row>
    <row r="43" spans="1:12" s="9" customFormat="1" ht="16.5" customHeight="1" x14ac:dyDescent="0.3">
      <c r="A43" s="190"/>
      <c r="B43" s="191" t="s">
        <v>2</v>
      </c>
      <c r="C43" s="192"/>
      <c r="D43" s="331">
        <f ca="1">D5</f>
        <v>45138</v>
      </c>
      <c r="E43" s="332"/>
      <c r="F43" s="330"/>
      <c r="G43" s="203"/>
      <c r="H43" s="333" t="str">
        <f ca="1">H5</f>
        <v>(ANUGERAH SEJAHTERA)</v>
      </c>
      <c r="I43" s="333"/>
      <c r="J43" s="333"/>
      <c r="K43" s="334"/>
      <c r="L43" s="204"/>
    </row>
    <row r="44" spans="1:12" s="9" customFormat="1" ht="7.5" customHeight="1" x14ac:dyDescent="0.3">
      <c r="A44" s="190"/>
      <c r="B44" s="198"/>
      <c r="C44" s="199"/>
      <c r="D44" s="200"/>
      <c r="E44" s="201"/>
      <c r="F44" s="330"/>
      <c r="G44" s="203"/>
      <c r="H44" s="335" t="str">
        <f ca="1">H6</f>
        <v>PURWOKERTO</v>
      </c>
      <c r="I44" s="335"/>
      <c r="J44" s="335"/>
      <c r="K44" s="336"/>
      <c r="L44" s="205"/>
    </row>
    <row r="45" spans="1:12" s="9" customFormat="1" ht="16.5" customHeight="1" x14ac:dyDescent="0.4">
      <c r="A45" s="190"/>
      <c r="B45" s="191" t="s">
        <v>3</v>
      </c>
      <c r="C45" s="192"/>
      <c r="D45" s="206" t="str">
        <f ca="1">D7</f>
        <v>KO 1816</v>
      </c>
      <c r="E45" s="194"/>
      <c r="F45" s="207"/>
      <c r="G45" s="208"/>
      <c r="H45" s="337"/>
      <c r="I45" s="337"/>
      <c r="J45" s="337"/>
      <c r="K45" s="338"/>
      <c r="L45" s="205"/>
    </row>
    <row r="46" spans="1:12" s="9" customFormat="1" ht="7.5" customHeight="1" x14ac:dyDescent="0.45">
      <c r="A46" s="190"/>
      <c r="B46" s="209"/>
      <c r="C46" s="210"/>
      <c r="D46" s="211"/>
      <c r="E46" s="212"/>
      <c r="F46" s="213"/>
      <c r="G46" s="212"/>
      <c r="H46" s="212"/>
      <c r="I46" s="214"/>
      <c r="J46" s="214"/>
      <c r="K46" s="212"/>
      <c r="L46" s="215"/>
    </row>
    <row r="47" spans="1:12" s="9" customFormat="1" ht="14.25" thickBot="1" x14ac:dyDescent="0.3">
      <c r="A47" s="190"/>
      <c r="B47" s="216" t="s">
        <v>5</v>
      </c>
      <c r="C47" s="216" t="s">
        <v>6</v>
      </c>
      <c r="D47" s="217" t="s">
        <v>7</v>
      </c>
      <c r="E47" s="218"/>
      <c r="F47" s="219" t="s">
        <v>8</v>
      </c>
      <c r="G47" s="220"/>
      <c r="H47" s="216" t="s">
        <v>9</v>
      </c>
      <c r="I47" s="221" t="s">
        <v>10</v>
      </c>
      <c r="J47" s="221" t="s">
        <v>11</v>
      </c>
      <c r="K47" s="222" t="s">
        <v>20</v>
      </c>
      <c r="L47" s="223"/>
    </row>
    <row r="48" spans="1:12" s="9" customFormat="1" ht="9.9499999999999993" customHeight="1" thickTop="1" x14ac:dyDescent="0.25">
      <c r="A48" s="190"/>
      <c r="B48" s="224"/>
      <c r="C48" s="225"/>
      <c r="D48" s="226"/>
      <c r="E48" s="227"/>
      <c r="F48" s="228"/>
      <c r="G48" s="229"/>
      <c r="H48" s="224"/>
      <c r="I48" s="230"/>
      <c r="J48" s="230"/>
      <c r="K48" s="231"/>
      <c r="L48" s="223"/>
    </row>
    <row r="49" spans="1:12" s="9" customFormat="1" ht="14.1" customHeight="1" x14ac:dyDescent="0.25">
      <c r="A49" s="232">
        <v>1</v>
      </c>
      <c r="B49" s="233">
        <f t="shared" ref="B49:E64" ca="1" si="0">B11</f>
        <v>288</v>
      </c>
      <c r="C49" s="234" t="str">
        <f t="shared" ca="1" si="0"/>
        <v>LSN</v>
      </c>
      <c r="D49" s="235">
        <f t="shared" ca="1" si="0"/>
        <v>2</v>
      </c>
      <c r="E49" s="236" t="str">
        <f t="shared" ca="1" si="0"/>
        <v>BALLPEN JOYKO BP-338 VOCUS HITAM</v>
      </c>
      <c r="F49" s="237"/>
      <c r="G49" s="238"/>
      <c r="H49" s="239">
        <f t="shared" ref="H49:K64" ca="1" si="1">H11</f>
        <v>12600</v>
      </c>
      <c r="I49" s="240">
        <f t="shared" ca="1" si="1"/>
        <v>0.13500000000000001</v>
      </c>
      <c r="J49" s="240" t="str">
        <f t="shared" ca="1" si="1"/>
        <v/>
      </c>
      <c r="K49" s="241">
        <f t="shared" ca="1" si="1"/>
        <v>3138912</v>
      </c>
      <c r="L49" s="223"/>
    </row>
    <row r="50" spans="1:12" s="9" customFormat="1" ht="14.1" customHeight="1" x14ac:dyDescent="0.25">
      <c r="A50" s="232">
        <v>2</v>
      </c>
      <c r="B50" s="233" t="str">
        <f t="shared" ca="1" si="0"/>
        <v/>
      </c>
      <c r="C50" s="234" t="str">
        <f t="shared" ca="1" si="0"/>
        <v/>
      </c>
      <c r="D50" s="235" t="str">
        <f t="shared" ca="1" si="0"/>
        <v/>
      </c>
      <c r="E50" s="236" t="str">
        <f t="shared" ca="1" si="0"/>
        <v/>
      </c>
      <c r="F50" s="237"/>
      <c r="G50" s="238"/>
      <c r="H50" s="239" t="str">
        <f t="shared" ca="1" si="1"/>
        <v/>
      </c>
      <c r="I50" s="240" t="str">
        <f t="shared" ca="1" si="1"/>
        <v/>
      </c>
      <c r="J50" s="240" t="str">
        <f t="shared" ca="1" si="1"/>
        <v/>
      </c>
      <c r="K50" s="241" t="str">
        <f t="shared" ca="1" si="1"/>
        <v/>
      </c>
      <c r="L50" s="223"/>
    </row>
    <row r="51" spans="1:12" s="9" customFormat="1" ht="14.1" customHeight="1" x14ac:dyDescent="0.25">
      <c r="A51" s="232">
        <v>3</v>
      </c>
      <c r="B51" s="233" t="str">
        <f t="shared" ca="1" si="0"/>
        <v/>
      </c>
      <c r="C51" s="234" t="str">
        <f t="shared" ca="1" si="0"/>
        <v/>
      </c>
      <c r="D51" s="235" t="str">
        <f t="shared" ca="1" si="0"/>
        <v/>
      </c>
      <c r="E51" s="236" t="str">
        <f t="shared" ca="1" si="0"/>
        <v/>
      </c>
      <c r="F51" s="237"/>
      <c r="G51" s="238"/>
      <c r="H51" s="239" t="str">
        <f t="shared" ca="1" si="1"/>
        <v/>
      </c>
      <c r="I51" s="240" t="str">
        <f t="shared" ca="1" si="1"/>
        <v/>
      </c>
      <c r="J51" s="240" t="str">
        <f t="shared" ca="1" si="1"/>
        <v/>
      </c>
      <c r="K51" s="241" t="str">
        <f t="shared" ca="1" si="1"/>
        <v/>
      </c>
      <c r="L51" s="223"/>
    </row>
    <row r="52" spans="1:12" s="9" customFormat="1" ht="14.1" customHeight="1" x14ac:dyDescent="0.25">
      <c r="A52" s="232">
        <v>4</v>
      </c>
      <c r="B52" s="233" t="str">
        <f t="shared" ca="1" si="0"/>
        <v/>
      </c>
      <c r="C52" s="234" t="str">
        <f t="shared" ca="1" si="0"/>
        <v/>
      </c>
      <c r="D52" s="235" t="str">
        <f t="shared" ca="1" si="0"/>
        <v/>
      </c>
      <c r="E52" s="236" t="str">
        <f t="shared" ca="1" si="0"/>
        <v/>
      </c>
      <c r="F52" s="237"/>
      <c r="G52" s="238"/>
      <c r="H52" s="239" t="str">
        <f t="shared" ca="1" si="1"/>
        <v/>
      </c>
      <c r="I52" s="240" t="str">
        <f t="shared" ca="1" si="1"/>
        <v/>
      </c>
      <c r="J52" s="240" t="str">
        <f t="shared" ca="1" si="1"/>
        <v/>
      </c>
      <c r="K52" s="241" t="str">
        <f t="shared" ca="1" si="1"/>
        <v/>
      </c>
      <c r="L52" s="223"/>
    </row>
    <row r="53" spans="1:12" s="9" customFormat="1" ht="14.1" customHeight="1" x14ac:dyDescent="0.25">
      <c r="A53" s="232">
        <v>5</v>
      </c>
      <c r="B53" s="233" t="str">
        <f t="shared" ca="1" si="0"/>
        <v/>
      </c>
      <c r="C53" s="234" t="str">
        <f t="shared" ca="1" si="0"/>
        <v/>
      </c>
      <c r="D53" s="235" t="str">
        <f t="shared" ca="1" si="0"/>
        <v/>
      </c>
      <c r="E53" s="236" t="str">
        <f t="shared" ca="1" si="0"/>
        <v/>
      </c>
      <c r="F53" s="237"/>
      <c r="G53" s="238"/>
      <c r="H53" s="239" t="str">
        <f t="shared" ca="1" si="1"/>
        <v/>
      </c>
      <c r="I53" s="240" t="str">
        <f t="shared" ca="1" si="1"/>
        <v/>
      </c>
      <c r="J53" s="240" t="str">
        <f t="shared" ca="1" si="1"/>
        <v/>
      </c>
      <c r="K53" s="241" t="str">
        <f t="shared" ca="1" si="1"/>
        <v/>
      </c>
      <c r="L53" s="223"/>
    </row>
    <row r="54" spans="1:12" s="9" customFormat="1" ht="14.1" customHeight="1" x14ac:dyDescent="0.25">
      <c r="A54" s="232">
        <v>6</v>
      </c>
      <c r="B54" s="233" t="str">
        <f t="shared" ca="1" si="0"/>
        <v/>
      </c>
      <c r="C54" s="234" t="str">
        <f t="shared" ca="1" si="0"/>
        <v/>
      </c>
      <c r="D54" s="235" t="str">
        <f t="shared" ca="1" si="0"/>
        <v/>
      </c>
      <c r="E54" s="236" t="str">
        <f t="shared" ca="1" si="0"/>
        <v/>
      </c>
      <c r="F54" s="237"/>
      <c r="G54" s="238"/>
      <c r="H54" s="239" t="str">
        <f t="shared" ca="1" si="1"/>
        <v/>
      </c>
      <c r="I54" s="240" t="str">
        <f t="shared" ca="1" si="1"/>
        <v/>
      </c>
      <c r="J54" s="240" t="str">
        <f t="shared" ca="1" si="1"/>
        <v/>
      </c>
      <c r="K54" s="241" t="str">
        <f t="shared" ca="1" si="1"/>
        <v/>
      </c>
      <c r="L54" s="223"/>
    </row>
    <row r="55" spans="1:12" s="9" customFormat="1" ht="14.1" customHeight="1" x14ac:dyDescent="0.25">
      <c r="A55" s="232">
        <v>7</v>
      </c>
      <c r="B55" s="233" t="str">
        <f t="shared" ca="1" si="0"/>
        <v/>
      </c>
      <c r="C55" s="234" t="str">
        <f t="shared" ca="1" si="0"/>
        <v/>
      </c>
      <c r="D55" s="235" t="str">
        <f t="shared" ca="1" si="0"/>
        <v/>
      </c>
      <c r="E55" s="236" t="str">
        <f t="shared" ca="1" si="0"/>
        <v/>
      </c>
      <c r="F55" s="237"/>
      <c r="G55" s="238"/>
      <c r="H55" s="239" t="str">
        <f t="shared" ca="1" si="1"/>
        <v/>
      </c>
      <c r="I55" s="240" t="str">
        <f t="shared" ca="1" si="1"/>
        <v/>
      </c>
      <c r="J55" s="240" t="str">
        <f t="shared" ca="1" si="1"/>
        <v/>
      </c>
      <c r="K55" s="241" t="str">
        <f t="shared" ca="1" si="1"/>
        <v/>
      </c>
      <c r="L55" s="223"/>
    </row>
    <row r="56" spans="1:12" s="9" customFormat="1" ht="14.1" customHeight="1" x14ac:dyDescent="0.25">
      <c r="A56" s="232">
        <v>8</v>
      </c>
      <c r="B56" s="233" t="str">
        <f t="shared" ca="1" si="0"/>
        <v/>
      </c>
      <c r="C56" s="234" t="str">
        <f t="shared" ca="1" si="0"/>
        <v/>
      </c>
      <c r="D56" s="235" t="str">
        <f t="shared" ca="1" si="0"/>
        <v/>
      </c>
      <c r="E56" s="236" t="str">
        <f t="shared" ca="1" si="0"/>
        <v/>
      </c>
      <c r="F56" s="237"/>
      <c r="G56" s="238"/>
      <c r="H56" s="239" t="str">
        <f t="shared" ca="1" si="1"/>
        <v/>
      </c>
      <c r="I56" s="240" t="str">
        <f t="shared" ca="1" si="1"/>
        <v/>
      </c>
      <c r="J56" s="240" t="str">
        <f t="shared" ca="1" si="1"/>
        <v/>
      </c>
      <c r="K56" s="241" t="str">
        <f t="shared" ca="1" si="1"/>
        <v/>
      </c>
      <c r="L56" s="223"/>
    </row>
    <row r="57" spans="1:12" s="9" customFormat="1" ht="14.1" customHeight="1" x14ac:dyDescent="0.25">
      <c r="A57" s="232">
        <v>9</v>
      </c>
      <c r="B57" s="233" t="str">
        <f t="shared" ca="1" si="0"/>
        <v/>
      </c>
      <c r="C57" s="234" t="str">
        <f t="shared" ca="1" si="0"/>
        <v/>
      </c>
      <c r="D57" s="235" t="str">
        <f t="shared" ca="1" si="0"/>
        <v/>
      </c>
      <c r="E57" s="236" t="str">
        <f t="shared" ca="1" si="0"/>
        <v/>
      </c>
      <c r="F57" s="237"/>
      <c r="G57" s="238"/>
      <c r="H57" s="239" t="str">
        <f t="shared" ca="1" si="1"/>
        <v/>
      </c>
      <c r="I57" s="240" t="str">
        <f t="shared" ca="1" si="1"/>
        <v/>
      </c>
      <c r="J57" s="240" t="str">
        <f t="shared" ca="1" si="1"/>
        <v/>
      </c>
      <c r="K57" s="241" t="str">
        <f t="shared" ca="1" si="1"/>
        <v/>
      </c>
      <c r="L57" s="223"/>
    </row>
    <row r="58" spans="1:12" s="9" customFormat="1" ht="14.1" customHeight="1" x14ac:dyDescent="0.25">
      <c r="A58" s="232">
        <v>10</v>
      </c>
      <c r="B58" s="233" t="str">
        <f t="shared" ca="1" si="0"/>
        <v/>
      </c>
      <c r="C58" s="234" t="str">
        <f t="shared" ca="1" si="0"/>
        <v/>
      </c>
      <c r="D58" s="235" t="str">
        <f t="shared" ca="1" si="0"/>
        <v/>
      </c>
      <c r="E58" s="236" t="str">
        <f t="shared" ca="1" si="0"/>
        <v/>
      </c>
      <c r="F58" s="237"/>
      <c r="G58" s="238"/>
      <c r="H58" s="239" t="str">
        <f t="shared" ca="1" si="1"/>
        <v/>
      </c>
      <c r="I58" s="240" t="str">
        <f t="shared" ca="1" si="1"/>
        <v/>
      </c>
      <c r="J58" s="240" t="str">
        <f t="shared" ca="1" si="1"/>
        <v/>
      </c>
      <c r="K58" s="241" t="str">
        <f t="shared" ca="1" si="1"/>
        <v/>
      </c>
      <c r="L58" s="223"/>
    </row>
    <row r="59" spans="1:12" s="9" customFormat="1" ht="14.1" customHeight="1" x14ac:dyDescent="0.25">
      <c r="A59" s="232">
        <v>11</v>
      </c>
      <c r="B59" s="233" t="str">
        <f t="shared" ca="1" si="0"/>
        <v/>
      </c>
      <c r="C59" s="234" t="str">
        <f t="shared" ca="1" si="0"/>
        <v/>
      </c>
      <c r="D59" s="235" t="str">
        <f t="shared" ca="1" si="0"/>
        <v/>
      </c>
      <c r="E59" s="236" t="str">
        <f t="shared" ca="1" si="0"/>
        <v/>
      </c>
      <c r="F59" s="237"/>
      <c r="G59" s="238"/>
      <c r="H59" s="239" t="str">
        <f t="shared" ca="1" si="1"/>
        <v/>
      </c>
      <c r="I59" s="240" t="str">
        <f t="shared" ca="1" si="1"/>
        <v/>
      </c>
      <c r="J59" s="240" t="str">
        <f t="shared" ca="1" si="1"/>
        <v/>
      </c>
      <c r="K59" s="241" t="str">
        <f t="shared" ca="1" si="1"/>
        <v/>
      </c>
      <c r="L59" s="223"/>
    </row>
    <row r="60" spans="1:12" s="9" customFormat="1" ht="14.1" customHeight="1" x14ac:dyDescent="0.25">
      <c r="A60" s="232">
        <v>12</v>
      </c>
      <c r="B60" s="233" t="str">
        <f t="shared" ca="1" si="0"/>
        <v/>
      </c>
      <c r="C60" s="234" t="str">
        <f t="shared" ca="1" si="0"/>
        <v/>
      </c>
      <c r="D60" s="235" t="str">
        <f t="shared" ca="1" si="0"/>
        <v/>
      </c>
      <c r="E60" s="236" t="str">
        <f t="shared" ca="1" si="0"/>
        <v/>
      </c>
      <c r="F60" s="237"/>
      <c r="G60" s="238"/>
      <c r="H60" s="239" t="str">
        <f t="shared" ca="1" si="1"/>
        <v/>
      </c>
      <c r="I60" s="240" t="str">
        <f t="shared" ca="1" si="1"/>
        <v/>
      </c>
      <c r="J60" s="240" t="str">
        <f t="shared" ca="1" si="1"/>
        <v/>
      </c>
      <c r="K60" s="241" t="str">
        <f t="shared" ca="1" si="1"/>
        <v/>
      </c>
      <c r="L60" s="223"/>
    </row>
    <row r="61" spans="1:12" s="9" customFormat="1" ht="14.1" customHeight="1" x14ac:dyDescent="0.25">
      <c r="A61" s="232">
        <v>13</v>
      </c>
      <c r="B61" s="233" t="str">
        <f t="shared" ca="1" si="0"/>
        <v/>
      </c>
      <c r="C61" s="234" t="str">
        <f t="shared" ca="1" si="0"/>
        <v/>
      </c>
      <c r="D61" s="235" t="str">
        <f t="shared" ca="1" si="0"/>
        <v/>
      </c>
      <c r="E61" s="236" t="str">
        <f t="shared" ca="1" si="0"/>
        <v/>
      </c>
      <c r="F61" s="237"/>
      <c r="G61" s="238"/>
      <c r="H61" s="239" t="str">
        <f t="shared" ca="1" si="1"/>
        <v/>
      </c>
      <c r="I61" s="240" t="str">
        <f t="shared" ca="1" si="1"/>
        <v/>
      </c>
      <c r="J61" s="240" t="str">
        <f t="shared" ca="1" si="1"/>
        <v/>
      </c>
      <c r="K61" s="241" t="str">
        <f t="shared" ca="1" si="1"/>
        <v/>
      </c>
      <c r="L61" s="223"/>
    </row>
    <row r="62" spans="1:12" s="9" customFormat="1" ht="14.1" customHeight="1" x14ac:dyDescent="0.25">
      <c r="A62" s="232">
        <v>14</v>
      </c>
      <c r="B62" s="233" t="str">
        <f t="shared" ca="1" si="0"/>
        <v/>
      </c>
      <c r="C62" s="234" t="str">
        <f t="shared" ca="1" si="0"/>
        <v/>
      </c>
      <c r="D62" s="235" t="str">
        <f t="shared" ca="1" si="0"/>
        <v/>
      </c>
      <c r="E62" s="236" t="str">
        <f t="shared" ca="1" si="0"/>
        <v/>
      </c>
      <c r="F62" s="237"/>
      <c r="G62" s="238"/>
      <c r="H62" s="239" t="str">
        <f t="shared" ca="1" si="1"/>
        <v/>
      </c>
      <c r="I62" s="240" t="str">
        <f t="shared" ca="1" si="1"/>
        <v/>
      </c>
      <c r="J62" s="240" t="str">
        <f t="shared" ca="1" si="1"/>
        <v/>
      </c>
      <c r="K62" s="241" t="str">
        <f t="shared" ca="1" si="1"/>
        <v/>
      </c>
      <c r="L62" s="223"/>
    </row>
    <row r="63" spans="1:12" s="9" customFormat="1" ht="14.1" customHeight="1" x14ac:dyDescent="0.25">
      <c r="A63" s="232">
        <v>15</v>
      </c>
      <c r="B63" s="233" t="str">
        <f t="shared" ca="1" si="0"/>
        <v/>
      </c>
      <c r="C63" s="234" t="str">
        <f t="shared" ca="1" si="0"/>
        <v/>
      </c>
      <c r="D63" s="235" t="str">
        <f t="shared" ca="1" si="0"/>
        <v/>
      </c>
      <c r="E63" s="236" t="str">
        <f t="shared" ca="1" si="0"/>
        <v/>
      </c>
      <c r="F63" s="237"/>
      <c r="G63" s="238"/>
      <c r="H63" s="239" t="str">
        <f t="shared" ca="1" si="1"/>
        <v/>
      </c>
      <c r="I63" s="240" t="str">
        <f t="shared" ca="1" si="1"/>
        <v/>
      </c>
      <c r="J63" s="240" t="str">
        <f t="shared" ca="1" si="1"/>
        <v/>
      </c>
      <c r="K63" s="241" t="str">
        <f t="shared" ca="1" si="1"/>
        <v/>
      </c>
      <c r="L63" s="223"/>
    </row>
    <row r="64" spans="1:12" s="9" customFormat="1" ht="14.1" customHeight="1" x14ac:dyDescent="0.25">
      <c r="A64" s="232">
        <v>16</v>
      </c>
      <c r="B64" s="233" t="str">
        <f t="shared" ca="1" si="0"/>
        <v/>
      </c>
      <c r="C64" s="234" t="str">
        <f t="shared" ca="1" si="0"/>
        <v/>
      </c>
      <c r="D64" s="235" t="str">
        <f t="shared" ca="1" si="0"/>
        <v/>
      </c>
      <c r="E64" s="236" t="str">
        <f t="shared" ca="1" si="0"/>
        <v/>
      </c>
      <c r="F64" s="237"/>
      <c r="G64" s="238"/>
      <c r="H64" s="239" t="str">
        <f t="shared" ca="1" si="1"/>
        <v/>
      </c>
      <c r="I64" s="240" t="str">
        <f t="shared" ca="1" si="1"/>
        <v/>
      </c>
      <c r="J64" s="240" t="str">
        <f t="shared" ca="1" si="1"/>
        <v/>
      </c>
      <c r="K64" s="241" t="str">
        <f t="shared" ca="1" si="1"/>
        <v/>
      </c>
      <c r="L64" s="223"/>
    </row>
    <row r="65" spans="1:12" s="9" customFormat="1" ht="9.9499999999999993" customHeight="1" x14ac:dyDescent="0.25">
      <c r="A65" s="190"/>
      <c r="B65" s="242"/>
      <c r="C65" s="242"/>
      <c r="D65" s="243"/>
      <c r="E65" s="244"/>
      <c r="F65" s="245"/>
      <c r="G65" s="246"/>
      <c r="H65" s="247"/>
      <c r="I65" s="248"/>
      <c r="J65" s="248"/>
      <c r="K65" s="249"/>
      <c r="L65" s="223"/>
    </row>
    <row r="66" spans="1:12" s="9" customFormat="1" ht="5.0999999999999996" customHeight="1" x14ac:dyDescent="0.25">
      <c r="A66" s="190"/>
      <c r="B66" s="250"/>
      <c r="C66" s="250"/>
      <c r="D66" s="251"/>
      <c r="E66" s="252"/>
      <c r="F66" s="252"/>
      <c r="G66" s="252"/>
      <c r="H66" s="252"/>
      <c r="I66" s="253"/>
      <c r="J66" s="339"/>
      <c r="K66" s="339"/>
      <c r="L66" s="215"/>
    </row>
    <row r="67" spans="1:12" s="9" customFormat="1" ht="16.5" customHeight="1" x14ac:dyDescent="0.3">
      <c r="A67" s="190"/>
      <c r="B67" s="254"/>
      <c r="C67" s="254"/>
      <c r="D67" s="211"/>
      <c r="E67" s="212"/>
      <c r="F67" s="212"/>
      <c r="G67" s="212"/>
      <c r="H67" s="212"/>
      <c r="I67" s="255" t="s">
        <v>21</v>
      </c>
      <c r="J67" s="340">
        <f ca="1">J29</f>
        <v>3138912</v>
      </c>
      <c r="K67" s="341"/>
      <c r="L67" s="223"/>
    </row>
    <row r="68" spans="1:12" s="9" customFormat="1" ht="5.0999999999999996" customHeight="1" x14ac:dyDescent="0.3">
      <c r="A68" s="190"/>
      <c r="B68" s="254"/>
      <c r="C68" s="254"/>
      <c r="D68" s="211"/>
      <c r="E68" s="212"/>
      <c r="F68" s="212"/>
      <c r="G68" s="212"/>
      <c r="H68" s="212"/>
      <c r="I68" s="256"/>
      <c r="J68" s="342"/>
      <c r="K68" s="342"/>
      <c r="L68" s="215"/>
    </row>
    <row r="69" spans="1:12" s="9" customFormat="1" ht="16.5" customHeight="1" x14ac:dyDescent="0.3">
      <c r="A69" s="190"/>
      <c r="B69" s="254"/>
      <c r="C69" s="254"/>
      <c r="D69" s="211"/>
      <c r="E69" s="212"/>
      <c r="F69" s="212"/>
      <c r="G69" s="212"/>
      <c r="H69" s="212"/>
      <c r="I69" s="255" t="s">
        <v>22</v>
      </c>
      <c r="J69" s="257">
        <f>J31</f>
        <v>0</v>
      </c>
      <c r="K69" s="258">
        <f ca="1">K31</f>
        <v>0</v>
      </c>
      <c r="L69" s="259"/>
    </row>
    <row r="70" spans="1:12" s="9" customFormat="1" ht="5.0999999999999996" customHeight="1" x14ac:dyDescent="0.3">
      <c r="A70" s="190"/>
      <c r="B70" s="254"/>
      <c r="C70" s="254"/>
      <c r="D70" s="211"/>
      <c r="E70" s="212"/>
      <c r="F70" s="212"/>
      <c r="G70" s="212"/>
      <c r="H70" s="212"/>
      <c r="I70" s="256"/>
      <c r="J70" s="339"/>
      <c r="K70" s="339"/>
      <c r="L70" s="215"/>
    </row>
    <row r="71" spans="1:12" s="9" customFormat="1" ht="16.5" customHeight="1" x14ac:dyDescent="0.3">
      <c r="A71" s="190"/>
      <c r="B71" s="260" t="s">
        <v>23</v>
      </c>
      <c r="C71" s="260"/>
      <c r="D71" s="211"/>
      <c r="E71" s="211" t="s">
        <v>24</v>
      </c>
      <c r="F71" s="212"/>
      <c r="G71" s="212"/>
      <c r="H71" s="212"/>
      <c r="I71" s="255" t="s">
        <v>25</v>
      </c>
      <c r="J71" s="340">
        <f ca="1">J33</f>
        <v>311063.35135135136</v>
      </c>
      <c r="K71" s="341"/>
      <c r="L71" s="261"/>
    </row>
    <row r="72" spans="1:12" s="9" customFormat="1" ht="5.0999999999999996" customHeight="1" x14ac:dyDescent="0.3">
      <c r="A72" s="190"/>
      <c r="B72" s="254"/>
      <c r="C72" s="254"/>
      <c r="D72" s="211"/>
      <c r="E72" s="212"/>
      <c r="F72" s="212"/>
      <c r="G72" s="212"/>
      <c r="H72" s="212"/>
      <c r="I72" s="256"/>
      <c r="J72" s="339"/>
      <c r="K72" s="339"/>
      <c r="L72" s="215"/>
    </row>
    <row r="73" spans="1:12" s="9" customFormat="1" ht="16.5" customHeight="1" x14ac:dyDescent="0.3">
      <c r="A73" s="190"/>
      <c r="B73" s="262"/>
      <c r="C73" s="263"/>
      <c r="D73" s="211"/>
      <c r="E73" s="211"/>
      <c r="F73" s="212"/>
      <c r="G73" s="212"/>
      <c r="H73" s="212"/>
      <c r="I73" s="255" t="s">
        <v>26</v>
      </c>
      <c r="J73" s="264"/>
      <c r="K73" s="265">
        <f ca="1">K35</f>
        <v>3138912</v>
      </c>
      <c r="L73" s="261"/>
    </row>
    <row r="74" spans="1:12" s="9" customFormat="1" ht="7.5" customHeight="1" x14ac:dyDescent="0.25">
      <c r="A74" s="266"/>
      <c r="B74" s="252"/>
      <c r="C74" s="252"/>
      <c r="D74" s="251"/>
      <c r="E74" s="267"/>
      <c r="F74" s="250"/>
      <c r="G74" s="212"/>
      <c r="H74" s="212"/>
      <c r="I74" s="268"/>
      <c r="J74" s="267"/>
      <c r="K74" s="250"/>
      <c r="L74" s="269"/>
    </row>
    <row r="75" spans="1:12" s="9" customFormat="1" ht="13.5" customHeight="1" x14ac:dyDescent="0.25">
      <c r="A75" s="190"/>
      <c r="B75" s="270" t="s">
        <v>27</v>
      </c>
      <c r="C75" s="252"/>
      <c r="D75" s="251"/>
      <c r="E75" s="212"/>
      <c r="F75" s="212"/>
      <c r="G75" s="212"/>
      <c r="H75" s="195"/>
      <c r="I75" s="271" t="s">
        <v>12</v>
      </c>
      <c r="J75" s="343" t="str">
        <f ca="1">J37</f>
        <v>NOVI / CONDRO</v>
      </c>
      <c r="K75" s="344"/>
      <c r="L75" s="215"/>
    </row>
    <row r="76" spans="1:12" s="9" customFormat="1" ht="13.5" customHeight="1" x14ac:dyDescent="0.25">
      <c r="A76" s="266"/>
      <c r="B76" s="272"/>
      <c r="C76" s="212"/>
      <c r="D76" s="237"/>
      <c r="E76" s="212"/>
      <c r="F76" s="212"/>
      <c r="G76" s="212"/>
      <c r="H76" s="195"/>
      <c r="I76" s="273" t="s">
        <v>13</v>
      </c>
      <c r="J76" s="343" t="str">
        <f ca="1">J38</f>
        <v/>
      </c>
      <c r="K76" s="344"/>
      <c r="L76" s="269"/>
    </row>
    <row r="77" spans="1:12" s="9" customFormat="1" ht="7.5" customHeight="1" x14ac:dyDescent="0.25">
      <c r="A77" s="266"/>
      <c r="B77" s="272"/>
      <c r="C77" s="212"/>
      <c r="D77" s="237"/>
      <c r="E77" s="212"/>
      <c r="F77" s="212"/>
      <c r="G77" s="212"/>
      <c r="H77" s="212"/>
      <c r="I77" s="268"/>
      <c r="J77" s="274"/>
      <c r="K77" s="274"/>
      <c r="L77" s="269"/>
    </row>
    <row r="78" spans="1:12" s="3" customFormat="1" ht="7.5" customHeight="1" x14ac:dyDescent="0.25">
      <c r="A78" s="90"/>
      <c r="B78" s="91"/>
      <c r="C78" s="91"/>
      <c r="D78" s="92"/>
      <c r="E78" s="91"/>
      <c r="F78" s="91"/>
      <c r="G78" s="91"/>
      <c r="H78" s="91"/>
      <c r="I78" s="93"/>
      <c r="J78" s="93"/>
      <c r="K78" s="91"/>
      <c r="L78" s="94"/>
    </row>
    <row r="79" spans="1:12" s="9" customFormat="1" ht="16.5" customHeight="1" x14ac:dyDescent="0.3">
      <c r="A79" s="95"/>
      <c r="B79" s="96" t="s">
        <v>1</v>
      </c>
      <c r="C79" s="97"/>
      <c r="D79" s="98" t="str">
        <f>D41</f>
        <v>AM</v>
      </c>
      <c r="E79" s="99">
        <f ca="1">E41</f>
        <v>23070044</v>
      </c>
      <c r="F79" s="100"/>
      <c r="G79" s="101" t="s">
        <v>16</v>
      </c>
      <c r="H79" s="345" t="str">
        <f ca="1">H41</f>
        <v>CV PELITA JAYA</v>
      </c>
      <c r="I79" s="345"/>
      <c r="J79" s="345"/>
      <c r="K79" s="346"/>
      <c r="L79" s="102"/>
    </row>
    <row r="80" spans="1:12" s="9" customFormat="1" ht="7.5" customHeight="1" x14ac:dyDescent="0.3">
      <c r="A80" s="95"/>
      <c r="B80" s="103"/>
      <c r="C80" s="104"/>
      <c r="D80" s="105"/>
      <c r="E80" s="106"/>
      <c r="F80" s="349" t="s">
        <v>18</v>
      </c>
      <c r="G80" s="107"/>
      <c r="H80" s="347"/>
      <c r="I80" s="347"/>
      <c r="J80" s="347"/>
      <c r="K80" s="348"/>
      <c r="L80" s="102"/>
    </row>
    <row r="81" spans="1:12" s="9" customFormat="1" ht="16.5" customHeight="1" x14ac:dyDescent="0.3">
      <c r="A81" s="95"/>
      <c r="B81" s="96" t="s">
        <v>2</v>
      </c>
      <c r="C81" s="97"/>
      <c r="D81" s="350">
        <f ca="1">D43</f>
        <v>45138</v>
      </c>
      <c r="E81" s="351"/>
      <c r="F81" s="349"/>
      <c r="G81" s="108"/>
      <c r="H81" s="352" t="str">
        <f ca="1">H43</f>
        <v>(ANUGERAH SEJAHTERA)</v>
      </c>
      <c r="I81" s="352"/>
      <c r="J81" s="352"/>
      <c r="K81" s="353"/>
      <c r="L81" s="109"/>
    </row>
    <row r="82" spans="1:12" s="9" customFormat="1" ht="7.5" customHeight="1" x14ac:dyDescent="0.3">
      <c r="A82" s="95"/>
      <c r="B82" s="103"/>
      <c r="C82" s="104"/>
      <c r="D82" s="105"/>
      <c r="E82" s="106"/>
      <c r="F82" s="349"/>
      <c r="G82" s="108"/>
      <c r="H82" s="354" t="str">
        <f ca="1">H44</f>
        <v>PURWOKERTO</v>
      </c>
      <c r="I82" s="354"/>
      <c r="J82" s="354"/>
      <c r="K82" s="355"/>
      <c r="L82" s="110"/>
    </row>
    <row r="83" spans="1:12" s="9" customFormat="1" ht="16.5" customHeight="1" x14ac:dyDescent="0.4">
      <c r="A83" s="95"/>
      <c r="B83" s="96" t="s">
        <v>3</v>
      </c>
      <c r="C83" s="97"/>
      <c r="D83" s="111" t="str">
        <f ca="1">D45</f>
        <v>KO 1816</v>
      </c>
      <c r="E83" s="99"/>
      <c r="F83" s="112"/>
      <c r="G83" s="113"/>
      <c r="H83" s="356"/>
      <c r="I83" s="356"/>
      <c r="J83" s="356"/>
      <c r="K83" s="357"/>
      <c r="L83" s="110"/>
    </row>
    <row r="84" spans="1:12" s="9" customFormat="1" ht="7.5" customHeight="1" x14ac:dyDescent="0.45">
      <c r="A84" s="95"/>
      <c r="B84" s="114"/>
      <c r="C84" s="115"/>
      <c r="D84" s="116"/>
      <c r="E84" s="117"/>
      <c r="F84" s="118"/>
      <c r="G84" s="117"/>
      <c r="H84" s="117"/>
      <c r="I84" s="119"/>
      <c r="J84" s="119"/>
      <c r="K84" s="117"/>
      <c r="L84" s="120"/>
    </row>
    <row r="85" spans="1:12" s="9" customFormat="1" ht="14.25" thickBot="1" x14ac:dyDescent="0.3">
      <c r="A85" s="95"/>
      <c r="B85" s="121" t="s">
        <v>5</v>
      </c>
      <c r="C85" s="121" t="s">
        <v>6</v>
      </c>
      <c r="D85" s="122" t="s">
        <v>7</v>
      </c>
      <c r="E85" s="123"/>
      <c r="F85" s="124" t="s">
        <v>8</v>
      </c>
      <c r="G85" s="125"/>
      <c r="H85" s="121" t="s">
        <v>9</v>
      </c>
      <c r="I85" s="126" t="s">
        <v>10</v>
      </c>
      <c r="J85" s="126" t="s">
        <v>11</v>
      </c>
      <c r="K85" s="127" t="s">
        <v>20</v>
      </c>
      <c r="L85" s="128"/>
    </row>
    <row r="86" spans="1:12" s="9" customFormat="1" ht="9.9499999999999993" customHeight="1" thickTop="1" x14ac:dyDescent="0.25">
      <c r="A86" s="95"/>
      <c r="B86" s="129"/>
      <c r="C86" s="130"/>
      <c r="D86" s="131"/>
      <c r="E86" s="132"/>
      <c r="F86" s="133"/>
      <c r="G86" s="134"/>
      <c r="H86" s="129"/>
      <c r="I86" s="135"/>
      <c r="J86" s="135"/>
      <c r="K86" s="136"/>
      <c r="L86" s="128"/>
    </row>
    <row r="87" spans="1:12" s="9" customFormat="1" ht="14.1" customHeight="1" x14ac:dyDescent="0.25">
      <c r="A87" s="137">
        <v>1</v>
      </c>
      <c r="B87" s="138">
        <f t="shared" ref="B87:E102" ca="1" si="2">B49</f>
        <v>288</v>
      </c>
      <c r="C87" s="139" t="str">
        <f t="shared" ca="1" si="2"/>
        <v>LSN</v>
      </c>
      <c r="D87" s="140">
        <f t="shared" ca="1" si="2"/>
        <v>2</v>
      </c>
      <c r="E87" s="141" t="str">
        <f t="shared" ca="1" si="2"/>
        <v>BALLPEN JOYKO BP-338 VOCUS HITAM</v>
      </c>
      <c r="F87" s="142"/>
      <c r="G87" s="143"/>
      <c r="H87" s="144">
        <f t="shared" ref="H87:K102" ca="1" si="3">H49</f>
        <v>12600</v>
      </c>
      <c r="I87" s="145">
        <f t="shared" ca="1" si="3"/>
        <v>0.13500000000000001</v>
      </c>
      <c r="J87" s="145" t="str">
        <f t="shared" ca="1" si="3"/>
        <v/>
      </c>
      <c r="K87" s="146">
        <f t="shared" ca="1" si="3"/>
        <v>3138912</v>
      </c>
      <c r="L87" s="128"/>
    </row>
    <row r="88" spans="1:12" s="9" customFormat="1" ht="14.1" customHeight="1" x14ac:dyDescent="0.25">
      <c r="A88" s="137">
        <v>2</v>
      </c>
      <c r="B88" s="138" t="str">
        <f t="shared" ca="1" si="2"/>
        <v/>
      </c>
      <c r="C88" s="139" t="str">
        <f t="shared" ca="1" si="2"/>
        <v/>
      </c>
      <c r="D88" s="140" t="str">
        <f t="shared" ca="1" si="2"/>
        <v/>
      </c>
      <c r="E88" s="141" t="str">
        <f t="shared" ca="1" si="2"/>
        <v/>
      </c>
      <c r="F88" s="142"/>
      <c r="G88" s="143"/>
      <c r="H88" s="144" t="str">
        <f t="shared" ca="1" si="3"/>
        <v/>
      </c>
      <c r="I88" s="145" t="str">
        <f t="shared" ca="1" si="3"/>
        <v/>
      </c>
      <c r="J88" s="145" t="str">
        <f t="shared" ca="1" si="3"/>
        <v/>
      </c>
      <c r="K88" s="146" t="str">
        <f t="shared" ca="1" si="3"/>
        <v/>
      </c>
      <c r="L88" s="128"/>
    </row>
    <row r="89" spans="1:12" s="9" customFormat="1" ht="14.1" customHeight="1" x14ac:dyDescent="0.25">
      <c r="A89" s="137">
        <v>3</v>
      </c>
      <c r="B89" s="138" t="str">
        <f t="shared" ca="1" si="2"/>
        <v/>
      </c>
      <c r="C89" s="139" t="str">
        <f t="shared" ca="1" si="2"/>
        <v/>
      </c>
      <c r="D89" s="140" t="str">
        <f t="shared" ca="1" si="2"/>
        <v/>
      </c>
      <c r="E89" s="141" t="str">
        <f t="shared" ca="1" si="2"/>
        <v/>
      </c>
      <c r="F89" s="142"/>
      <c r="G89" s="143"/>
      <c r="H89" s="144" t="str">
        <f t="shared" ca="1" si="3"/>
        <v/>
      </c>
      <c r="I89" s="145" t="str">
        <f t="shared" ca="1" si="3"/>
        <v/>
      </c>
      <c r="J89" s="145" t="str">
        <f t="shared" ca="1" si="3"/>
        <v/>
      </c>
      <c r="K89" s="146" t="str">
        <f t="shared" ca="1" si="3"/>
        <v/>
      </c>
      <c r="L89" s="128"/>
    </row>
    <row r="90" spans="1:12" s="9" customFormat="1" ht="14.1" customHeight="1" x14ac:dyDescent="0.25">
      <c r="A90" s="137">
        <v>4</v>
      </c>
      <c r="B90" s="138" t="str">
        <f t="shared" ca="1" si="2"/>
        <v/>
      </c>
      <c r="C90" s="139" t="str">
        <f t="shared" ca="1" si="2"/>
        <v/>
      </c>
      <c r="D90" s="140" t="str">
        <f t="shared" ca="1" si="2"/>
        <v/>
      </c>
      <c r="E90" s="141" t="str">
        <f t="shared" ca="1" si="2"/>
        <v/>
      </c>
      <c r="F90" s="142"/>
      <c r="G90" s="143"/>
      <c r="H90" s="144" t="str">
        <f t="shared" ca="1" si="3"/>
        <v/>
      </c>
      <c r="I90" s="145" t="str">
        <f t="shared" ca="1" si="3"/>
        <v/>
      </c>
      <c r="J90" s="145" t="str">
        <f t="shared" ca="1" si="3"/>
        <v/>
      </c>
      <c r="K90" s="146" t="str">
        <f t="shared" ca="1" si="3"/>
        <v/>
      </c>
      <c r="L90" s="128"/>
    </row>
    <row r="91" spans="1:12" s="9" customFormat="1" ht="14.1" customHeight="1" x14ac:dyDescent="0.25">
      <c r="A91" s="137">
        <v>5</v>
      </c>
      <c r="B91" s="138" t="str">
        <f t="shared" ca="1" si="2"/>
        <v/>
      </c>
      <c r="C91" s="139" t="str">
        <f t="shared" ca="1" si="2"/>
        <v/>
      </c>
      <c r="D91" s="140" t="str">
        <f t="shared" ca="1" si="2"/>
        <v/>
      </c>
      <c r="E91" s="141" t="str">
        <f t="shared" ca="1" si="2"/>
        <v/>
      </c>
      <c r="F91" s="142"/>
      <c r="G91" s="143"/>
      <c r="H91" s="144" t="str">
        <f t="shared" ca="1" si="3"/>
        <v/>
      </c>
      <c r="I91" s="145" t="str">
        <f t="shared" ca="1" si="3"/>
        <v/>
      </c>
      <c r="J91" s="145" t="str">
        <f t="shared" ca="1" si="3"/>
        <v/>
      </c>
      <c r="K91" s="146" t="str">
        <f t="shared" ca="1" si="3"/>
        <v/>
      </c>
      <c r="L91" s="128"/>
    </row>
    <row r="92" spans="1:12" s="9" customFormat="1" ht="14.1" customHeight="1" x14ac:dyDescent="0.25">
      <c r="A92" s="137">
        <v>6</v>
      </c>
      <c r="B92" s="138" t="str">
        <f t="shared" ca="1" si="2"/>
        <v/>
      </c>
      <c r="C92" s="139" t="str">
        <f t="shared" ca="1" si="2"/>
        <v/>
      </c>
      <c r="D92" s="140" t="str">
        <f t="shared" ca="1" si="2"/>
        <v/>
      </c>
      <c r="E92" s="141" t="str">
        <f t="shared" ca="1" si="2"/>
        <v/>
      </c>
      <c r="F92" s="142"/>
      <c r="G92" s="143"/>
      <c r="H92" s="144" t="str">
        <f t="shared" ca="1" si="3"/>
        <v/>
      </c>
      <c r="I92" s="145" t="str">
        <f t="shared" ca="1" si="3"/>
        <v/>
      </c>
      <c r="J92" s="145" t="str">
        <f t="shared" ca="1" si="3"/>
        <v/>
      </c>
      <c r="K92" s="146" t="str">
        <f t="shared" ca="1" si="3"/>
        <v/>
      </c>
      <c r="L92" s="128"/>
    </row>
    <row r="93" spans="1:12" s="9" customFormat="1" ht="14.1" customHeight="1" x14ac:dyDescent="0.25">
      <c r="A93" s="137">
        <v>7</v>
      </c>
      <c r="B93" s="138" t="str">
        <f t="shared" ca="1" si="2"/>
        <v/>
      </c>
      <c r="C93" s="139" t="str">
        <f t="shared" ca="1" si="2"/>
        <v/>
      </c>
      <c r="D93" s="140" t="str">
        <f t="shared" ca="1" si="2"/>
        <v/>
      </c>
      <c r="E93" s="141" t="str">
        <f t="shared" ca="1" si="2"/>
        <v/>
      </c>
      <c r="F93" s="142"/>
      <c r="G93" s="143"/>
      <c r="H93" s="144" t="str">
        <f t="shared" ca="1" si="3"/>
        <v/>
      </c>
      <c r="I93" s="145" t="str">
        <f t="shared" ca="1" si="3"/>
        <v/>
      </c>
      <c r="J93" s="145" t="str">
        <f t="shared" ca="1" si="3"/>
        <v/>
      </c>
      <c r="K93" s="146" t="str">
        <f t="shared" ca="1" si="3"/>
        <v/>
      </c>
      <c r="L93" s="128"/>
    </row>
    <row r="94" spans="1:12" s="9" customFormat="1" ht="14.1" customHeight="1" x14ac:dyDescent="0.25">
      <c r="A94" s="137">
        <v>8</v>
      </c>
      <c r="B94" s="138" t="str">
        <f t="shared" ca="1" si="2"/>
        <v/>
      </c>
      <c r="C94" s="139" t="str">
        <f t="shared" ca="1" si="2"/>
        <v/>
      </c>
      <c r="D94" s="140" t="str">
        <f t="shared" ca="1" si="2"/>
        <v/>
      </c>
      <c r="E94" s="141" t="str">
        <f t="shared" ca="1" si="2"/>
        <v/>
      </c>
      <c r="F94" s="142"/>
      <c r="G94" s="143"/>
      <c r="H94" s="144" t="str">
        <f t="shared" ca="1" si="3"/>
        <v/>
      </c>
      <c r="I94" s="145" t="str">
        <f t="shared" ca="1" si="3"/>
        <v/>
      </c>
      <c r="J94" s="145" t="str">
        <f t="shared" ca="1" si="3"/>
        <v/>
      </c>
      <c r="K94" s="146" t="str">
        <f t="shared" ca="1" si="3"/>
        <v/>
      </c>
      <c r="L94" s="128"/>
    </row>
    <row r="95" spans="1:12" s="9" customFormat="1" ht="14.1" customHeight="1" x14ac:dyDescent="0.25">
      <c r="A95" s="137">
        <v>9</v>
      </c>
      <c r="B95" s="138" t="str">
        <f t="shared" ca="1" si="2"/>
        <v/>
      </c>
      <c r="C95" s="139" t="str">
        <f t="shared" ca="1" si="2"/>
        <v/>
      </c>
      <c r="D95" s="140" t="str">
        <f t="shared" ca="1" si="2"/>
        <v/>
      </c>
      <c r="E95" s="141" t="str">
        <f t="shared" ca="1" si="2"/>
        <v/>
      </c>
      <c r="F95" s="142"/>
      <c r="G95" s="143"/>
      <c r="H95" s="144" t="str">
        <f t="shared" ca="1" si="3"/>
        <v/>
      </c>
      <c r="I95" s="145" t="str">
        <f t="shared" ca="1" si="3"/>
        <v/>
      </c>
      <c r="J95" s="145" t="str">
        <f t="shared" ca="1" si="3"/>
        <v/>
      </c>
      <c r="K95" s="146" t="str">
        <f t="shared" ca="1" si="3"/>
        <v/>
      </c>
      <c r="L95" s="128"/>
    </row>
    <row r="96" spans="1:12" s="9" customFormat="1" ht="14.1" customHeight="1" x14ac:dyDescent="0.25">
      <c r="A96" s="137">
        <v>10</v>
      </c>
      <c r="B96" s="138" t="str">
        <f t="shared" ca="1" si="2"/>
        <v/>
      </c>
      <c r="C96" s="139" t="str">
        <f t="shared" ca="1" si="2"/>
        <v/>
      </c>
      <c r="D96" s="140" t="str">
        <f t="shared" ca="1" si="2"/>
        <v/>
      </c>
      <c r="E96" s="141" t="str">
        <f t="shared" ca="1" si="2"/>
        <v/>
      </c>
      <c r="F96" s="142"/>
      <c r="G96" s="143"/>
      <c r="H96" s="144" t="str">
        <f t="shared" ca="1" si="3"/>
        <v/>
      </c>
      <c r="I96" s="145" t="str">
        <f t="shared" ca="1" si="3"/>
        <v/>
      </c>
      <c r="J96" s="145" t="str">
        <f t="shared" ca="1" si="3"/>
        <v/>
      </c>
      <c r="K96" s="146" t="str">
        <f t="shared" ca="1" si="3"/>
        <v/>
      </c>
      <c r="L96" s="128"/>
    </row>
    <row r="97" spans="1:12" s="9" customFormat="1" ht="14.1" customHeight="1" x14ac:dyDescent="0.25">
      <c r="A97" s="137">
        <v>11</v>
      </c>
      <c r="B97" s="138" t="str">
        <f t="shared" ca="1" si="2"/>
        <v/>
      </c>
      <c r="C97" s="139" t="str">
        <f t="shared" ca="1" si="2"/>
        <v/>
      </c>
      <c r="D97" s="140" t="str">
        <f t="shared" ca="1" si="2"/>
        <v/>
      </c>
      <c r="E97" s="141" t="str">
        <f t="shared" ca="1" si="2"/>
        <v/>
      </c>
      <c r="F97" s="142"/>
      <c r="G97" s="143"/>
      <c r="H97" s="144" t="str">
        <f t="shared" ca="1" si="3"/>
        <v/>
      </c>
      <c r="I97" s="145" t="str">
        <f t="shared" ca="1" si="3"/>
        <v/>
      </c>
      <c r="J97" s="145" t="str">
        <f t="shared" ca="1" si="3"/>
        <v/>
      </c>
      <c r="K97" s="146" t="str">
        <f t="shared" ca="1" si="3"/>
        <v/>
      </c>
      <c r="L97" s="128"/>
    </row>
    <row r="98" spans="1:12" s="9" customFormat="1" ht="14.1" customHeight="1" x14ac:dyDescent="0.25">
      <c r="A98" s="137">
        <v>12</v>
      </c>
      <c r="B98" s="138" t="str">
        <f t="shared" ca="1" si="2"/>
        <v/>
      </c>
      <c r="C98" s="139" t="str">
        <f t="shared" ca="1" si="2"/>
        <v/>
      </c>
      <c r="D98" s="140" t="str">
        <f t="shared" ca="1" si="2"/>
        <v/>
      </c>
      <c r="E98" s="141" t="str">
        <f t="shared" ca="1" si="2"/>
        <v/>
      </c>
      <c r="F98" s="142"/>
      <c r="G98" s="143"/>
      <c r="H98" s="144" t="str">
        <f t="shared" ca="1" si="3"/>
        <v/>
      </c>
      <c r="I98" s="145" t="str">
        <f t="shared" ca="1" si="3"/>
        <v/>
      </c>
      <c r="J98" s="145" t="str">
        <f t="shared" ca="1" si="3"/>
        <v/>
      </c>
      <c r="K98" s="146" t="str">
        <f t="shared" ca="1" si="3"/>
        <v/>
      </c>
      <c r="L98" s="128"/>
    </row>
    <row r="99" spans="1:12" s="9" customFormat="1" ht="14.1" customHeight="1" x14ac:dyDescent="0.25">
      <c r="A99" s="137">
        <v>13</v>
      </c>
      <c r="B99" s="138" t="str">
        <f t="shared" ca="1" si="2"/>
        <v/>
      </c>
      <c r="C99" s="139" t="str">
        <f t="shared" ca="1" si="2"/>
        <v/>
      </c>
      <c r="D99" s="140" t="str">
        <f t="shared" ca="1" si="2"/>
        <v/>
      </c>
      <c r="E99" s="141" t="str">
        <f t="shared" ca="1" si="2"/>
        <v/>
      </c>
      <c r="F99" s="142"/>
      <c r="G99" s="143"/>
      <c r="H99" s="144" t="str">
        <f t="shared" ca="1" si="3"/>
        <v/>
      </c>
      <c r="I99" s="145" t="str">
        <f t="shared" ca="1" si="3"/>
        <v/>
      </c>
      <c r="J99" s="145" t="str">
        <f t="shared" ca="1" si="3"/>
        <v/>
      </c>
      <c r="K99" s="146" t="str">
        <f t="shared" ca="1" si="3"/>
        <v/>
      </c>
      <c r="L99" s="128"/>
    </row>
    <row r="100" spans="1:12" s="9" customFormat="1" ht="14.1" customHeight="1" x14ac:dyDescent="0.25">
      <c r="A100" s="137">
        <v>14</v>
      </c>
      <c r="B100" s="138" t="str">
        <f t="shared" ca="1" si="2"/>
        <v/>
      </c>
      <c r="C100" s="139" t="str">
        <f t="shared" ca="1" si="2"/>
        <v/>
      </c>
      <c r="D100" s="140" t="str">
        <f t="shared" ca="1" si="2"/>
        <v/>
      </c>
      <c r="E100" s="141" t="str">
        <f t="shared" ca="1" si="2"/>
        <v/>
      </c>
      <c r="F100" s="142"/>
      <c r="G100" s="143"/>
      <c r="H100" s="144" t="str">
        <f t="shared" ca="1" si="3"/>
        <v/>
      </c>
      <c r="I100" s="145" t="str">
        <f t="shared" ca="1" si="3"/>
        <v/>
      </c>
      <c r="J100" s="145" t="str">
        <f t="shared" ca="1" si="3"/>
        <v/>
      </c>
      <c r="K100" s="146" t="str">
        <f t="shared" ca="1" si="3"/>
        <v/>
      </c>
      <c r="L100" s="128"/>
    </row>
    <row r="101" spans="1:12" s="9" customFormat="1" ht="14.1" customHeight="1" x14ac:dyDescent="0.25">
      <c r="A101" s="137">
        <v>15</v>
      </c>
      <c r="B101" s="138" t="str">
        <f t="shared" ca="1" si="2"/>
        <v/>
      </c>
      <c r="C101" s="139" t="str">
        <f t="shared" ca="1" si="2"/>
        <v/>
      </c>
      <c r="D101" s="140" t="str">
        <f t="shared" ca="1" si="2"/>
        <v/>
      </c>
      <c r="E101" s="141" t="str">
        <f t="shared" ca="1" si="2"/>
        <v/>
      </c>
      <c r="F101" s="142"/>
      <c r="G101" s="143"/>
      <c r="H101" s="144" t="str">
        <f t="shared" ca="1" si="3"/>
        <v/>
      </c>
      <c r="I101" s="145" t="str">
        <f t="shared" ca="1" si="3"/>
        <v/>
      </c>
      <c r="J101" s="145" t="str">
        <f t="shared" ca="1" si="3"/>
        <v/>
      </c>
      <c r="K101" s="146" t="str">
        <f t="shared" ca="1" si="3"/>
        <v/>
      </c>
      <c r="L101" s="128"/>
    </row>
    <row r="102" spans="1:12" s="9" customFormat="1" ht="14.1" customHeight="1" x14ac:dyDescent="0.25">
      <c r="A102" s="137">
        <v>16</v>
      </c>
      <c r="B102" s="138" t="str">
        <f t="shared" ca="1" si="2"/>
        <v/>
      </c>
      <c r="C102" s="139" t="str">
        <f t="shared" ca="1" si="2"/>
        <v/>
      </c>
      <c r="D102" s="140" t="str">
        <f t="shared" ca="1" si="2"/>
        <v/>
      </c>
      <c r="E102" s="141" t="str">
        <f t="shared" ca="1" si="2"/>
        <v/>
      </c>
      <c r="F102" s="142"/>
      <c r="G102" s="143"/>
      <c r="H102" s="144" t="str">
        <f t="shared" ca="1" si="3"/>
        <v/>
      </c>
      <c r="I102" s="145" t="str">
        <f t="shared" ca="1" si="3"/>
        <v/>
      </c>
      <c r="J102" s="145" t="str">
        <f t="shared" ca="1" si="3"/>
        <v/>
      </c>
      <c r="K102" s="146" t="str">
        <f t="shared" ca="1" si="3"/>
        <v/>
      </c>
      <c r="L102" s="128"/>
    </row>
    <row r="103" spans="1:12" s="9" customFormat="1" ht="9.9499999999999993" customHeight="1" x14ac:dyDescent="0.25">
      <c r="A103" s="95"/>
      <c r="B103" s="147"/>
      <c r="C103" s="147"/>
      <c r="D103" s="148"/>
      <c r="E103" s="149"/>
      <c r="F103" s="150"/>
      <c r="G103" s="151"/>
      <c r="H103" s="152"/>
      <c r="I103" s="153"/>
      <c r="J103" s="153"/>
      <c r="K103" s="154"/>
      <c r="L103" s="128"/>
    </row>
    <row r="104" spans="1:12" s="9" customFormat="1" ht="5.0999999999999996" customHeight="1" x14ac:dyDescent="0.25">
      <c r="A104" s="95"/>
      <c r="B104" s="155"/>
      <c r="C104" s="155"/>
      <c r="D104" s="156"/>
      <c r="E104" s="157"/>
      <c r="F104" s="157"/>
      <c r="G104" s="157"/>
      <c r="H104" s="157"/>
      <c r="I104" s="158"/>
      <c r="J104" s="358"/>
      <c r="K104" s="358"/>
      <c r="L104" s="120"/>
    </row>
    <row r="105" spans="1:12" s="9" customFormat="1" ht="16.5" customHeight="1" x14ac:dyDescent="0.3">
      <c r="A105" s="95"/>
      <c r="B105" s="159"/>
      <c r="C105" s="159"/>
      <c r="D105" s="116"/>
      <c r="E105" s="117"/>
      <c r="F105" s="117"/>
      <c r="G105" s="117"/>
      <c r="H105" s="117"/>
      <c r="I105" s="160" t="s">
        <v>21</v>
      </c>
      <c r="J105" s="359">
        <f ca="1">J67</f>
        <v>3138912</v>
      </c>
      <c r="K105" s="360"/>
      <c r="L105" s="128"/>
    </row>
    <row r="106" spans="1:12" s="9" customFormat="1" ht="5.0999999999999996" customHeight="1" x14ac:dyDescent="0.3">
      <c r="A106" s="95"/>
      <c r="B106" s="159"/>
      <c r="C106" s="159"/>
      <c r="D106" s="116"/>
      <c r="E106" s="117"/>
      <c r="F106" s="117"/>
      <c r="G106" s="117"/>
      <c r="H106" s="117"/>
      <c r="I106" s="161"/>
      <c r="J106" s="363"/>
      <c r="K106" s="363"/>
      <c r="L106" s="120"/>
    </row>
    <row r="107" spans="1:12" s="9" customFormat="1" ht="16.5" customHeight="1" x14ac:dyDescent="0.3">
      <c r="A107" s="95"/>
      <c r="B107" s="159"/>
      <c r="C107" s="159"/>
      <c r="D107" s="116"/>
      <c r="E107" s="117"/>
      <c r="F107" s="117"/>
      <c r="G107" s="117"/>
      <c r="H107" s="117"/>
      <c r="I107" s="160" t="s">
        <v>22</v>
      </c>
      <c r="J107" s="162">
        <f>J69</f>
        <v>0</v>
      </c>
      <c r="K107" s="163">
        <f ca="1">K69</f>
        <v>0</v>
      </c>
      <c r="L107" s="164"/>
    </row>
    <row r="108" spans="1:12" s="9" customFormat="1" ht="5.0999999999999996" customHeight="1" x14ac:dyDescent="0.3">
      <c r="A108" s="95"/>
      <c r="B108" s="159"/>
      <c r="C108" s="159"/>
      <c r="D108" s="116"/>
      <c r="E108" s="117"/>
      <c r="F108" s="117"/>
      <c r="G108" s="117"/>
      <c r="H108" s="117"/>
      <c r="I108" s="161"/>
      <c r="J108" s="358"/>
      <c r="K108" s="358"/>
      <c r="L108" s="120"/>
    </row>
    <row r="109" spans="1:12" s="9" customFormat="1" ht="16.5" customHeight="1" x14ac:dyDescent="0.3">
      <c r="A109" s="95"/>
      <c r="B109" s="165" t="s">
        <v>23</v>
      </c>
      <c r="C109" s="165"/>
      <c r="D109" s="116"/>
      <c r="E109" s="116" t="s">
        <v>24</v>
      </c>
      <c r="F109" s="117"/>
      <c r="G109" s="117"/>
      <c r="H109" s="117"/>
      <c r="I109" s="160" t="s">
        <v>25</v>
      </c>
      <c r="J109" s="359">
        <f ca="1">J71</f>
        <v>311063.35135135136</v>
      </c>
      <c r="K109" s="360"/>
      <c r="L109" s="166"/>
    </row>
    <row r="110" spans="1:12" s="9" customFormat="1" ht="5.0999999999999996" customHeight="1" x14ac:dyDescent="0.3">
      <c r="A110" s="95"/>
      <c r="B110" s="159"/>
      <c r="C110" s="159"/>
      <c r="D110" s="116"/>
      <c r="E110" s="117"/>
      <c r="F110" s="117"/>
      <c r="G110" s="117"/>
      <c r="H110" s="117"/>
      <c r="I110" s="161"/>
      <c r="J110" s="358"/>
      <c r="K110" s="358"/>
      <c r="L110" s="120"/>
    </row>
    <row r="111" spans="1:12" s="9" customFormat="1" ht="16.5" customHeight="1" x14ac:dyDescent="0.3">
      <c r="A111" s="95"/>
      <c r="B111" s="167"/>
      <c r="C111" s="168"/>
      <c r="D111" s="116"/>
      <c r="E111" s="116"/>
      <c r="F111" s="117"/>
      <c r="G111" s="117"/>
      <c r="H111" s="117"/>
      <c r="I111" s="160" t="s">
        <v>26</v>
      </c>
      <c r="J111" s="169"/>
      <c r="K111" s="170">
        <f ca="1">K73</f>
        <v>3138912</v>
      </c>
      <c r="L111" s="166"/>
    </row>
    <row r="112" spans="1:12" s="9" customFormat="1" ht="7.5" customHeight="1" x14ac:dyDescent="0.25">
      <c r="A112" s="171"/>
      <c r="B112" s="157"/>
      <c r="C112" s="157"/>
      <c r="D112" s="156"/>
      <c r="E112" s="172"/>
      <c r="F112" s="155"/>
      <c r="G112" s="117"/>
      <c r="H112" s="117"/>
      <c r="I112" s="173"/>
      <c r="J112" s="172"/>
      <c r="K112" s="155"/>
      <c r="L112" s="174"/>
    </row>
    <row r="113" spans="1:12" s="9" customFormat="1" ht="13.5" customHeight="1" x14ac:dyDescent="0.25">
      <c r="A113" s="95"/>
      <c r="B113" s="175" t="s">
        <v>27</v>
      </c>
      <c r="C113" s="157"/>
      <c r="D113" s="156"/>
      <c r="E113" s="117"/>
      <c r="F113" s="117"/>
      <c r="G113" s="117"/>
      <c r="H113" s="100"/>
      <c r="I113" s="181" t="s">
        <v>12</v>
      </c>
      <c r="J113" s="361" t="str">
        <f ca="1">J75</f>
        <v>NOVI / CONDRO</v>
      </c>
      <c r="K113" s="362"/>
      <c r="L113" s="120"/>
    </row>
    <row r="114" spans="1:12" s="9" customFormat="1" ht="13.5" customHeight="1" x14ac:dyDescent="0.25">
      <c r="A114" s="171"/>
      <c r="B114" s="176"/>
      <c r="C114" s="117"/>
      <c r="D114" s="142"/>
      <c r="E114" s="117"/>
      <c r="F114" s="117"/>
      <c r="G114" s="117"/>
      <c r="H114" s="100"/>
      <c r="I114" s="182" t="s">
        <v>13</v>
      </c>
      <c r="J114" s="361" t="str">
        <f ca="1">J76</f>
        <v/>
      </c>
      <c r="K114" s="362"/>
      <c r="L114" s="174"/>
    </row>
    <row r="115" spans="1:12" s="9" customFormat="1" ht="7.5" customHeight="1" x14ac:dyDescent="0.25">
      <c r="A115" s="171"/>
      <c r="B115" s="176"/>
      <c r="C115" s="117"/>
      <c r="D115" s="142"/>
      <c r="E115" s="117"/>
      <c r="F115" s="117"/>
      <c r="G115" s="117"/>
      <c r="H115" s="117"/>
      <c r="I115" s="173"/>
      <c r="J115" s="177"/>
      <c r="K115" s="177"/>
      <c r="L115" s="17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1"/>
  <sheetViews>
    <sheetView workbookViewId="0">
      <selection activeCell="B26" sqref="B26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5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91</v>
      </c>
      <c r="B3" t="s">
        <v>90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80</v>
      </c>
      <c r="B5" t="s">
        <v>81</v>
      </c>
      <c r="D5" t="s">
        <v>82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84</v>
      </c>
      <c r="B6" t="s">
        <v>60</v>
      </c>
      <c r="C6" t="s">
        <v>59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67</v>
      </c>
      <c r="B7" t="s">
        <v>68</v>
      </c>
      <c r="D7" t="s">
        <v>69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75</v>
      </c>
      <c r="B8" t="s">
        <v>76</v>
      </c>
      <c r="D8" t="s">
        <v>77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86</v>
      </c>
      <c r="B9" t="s">
        <v>78</v>
      </c>
      <c r="D9" t="s">
        <v>79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96</v>
      </c>
      <c r="B10" t="s">
        <v>98</v>
      </c>
      <c r="D10" t="s">
        <v>97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42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92</v>
      </c>
      <c r="B12" t="s">
        <v>65</v>
      </c>
      <c r="D12" t="s">
        <v>66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70</v>
      </c>
      <c r="B13" t="s">
        <v>71</v>
      </c>
      <c r="C13" t="s">
        <v>72</v>
      </c>
      <c r="D13" t="s">
        <v>73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93</v>
      </c>
      <c r="B14" t="s">
        <v>64</v>
      </c>
      <c r="C14" t="s">
        <v>62</v>
      </c>
      <c r="D14" t="s">
        <v>63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101</v>
      </c>
      <c r="B15" t="s">
        <v>101</v>
      </c>
      <c r="C15" t="s">
        <v>102</v>
      </c>
      <c r="D15" t="s">
        <v>103</v>
      </c>
      <c r="E15" s="85" t="str">
        <f>CONCATENATE(Table2[[#This Row],[b]],IF(Table2[[#This Row],[c]]=""," ",CONCATENATE(" ",Table2[[#This Row],[c]]," ")),Table2[[#This Row],[d]])</f>
        <v>RENI (JATI MULYO) KEBUMEN</v>
      </c>
    </row>
    <row r="16" spans="1:5" x14ac:dyDescent="0.25">
      <c r="A16" t="s">
        <v>87</v>
      </c>
      <c r="B16" t="s">
        <v>88</v>
      </c>
      <c r="C16" t="s">
        <v>89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61</v>
      </c>
      <c r="B17" t="s">
        <v>118</v>
      </c>
      <c r="C17" t="s">
        <v>117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94</v>
      </c>
      <c r="B18" t="s">
        <v>113</v>
      </c>
      <c r="D18" t="s">
        <v>95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107</v>
      </c>
      <c r="B19" t="s">
        <v>108</v>
      </c>
      <c r="D19" t="s">
        <v>109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112</v>
      </c>
      <c r="B20" t="s">
        <v>110</v>
      </c>
      <c r="C20" t="s">
        <v>111</v>
      </c>
      <c r="D20" t="s">
        <v>73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114</v>
      </c>
      <c r="B21" t="s">
        <v>115</v>
      </c>
      <c r="C21" t="s">
        <v>116</v>
      </c>
      <c r="D21" t="s">
        <v>66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2023-08-01T09:29:09Z</dcterms:modified>
</cp:coreProperties>
</file>