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A1" i="1" l="1"/>
  <c r="Z3" i="1"/>
  <c r="Z4" i="1"/>
  <c r="Z5" i="1"/>
  <c r="Z6" i="1"/>
  <c r="Z7" i="1"/>
  <c r="Z8" i="1"/>
  <c r="Z9" i="1"/>
  <c r="Z10" i="1"/>
  <c r="Z11" i="1"/>
  <c r="Z12" i="1"/>
  <c r="Z13" i="1"/>
  <c r="Z14" i="1"/>
  <c r="AA14" i="1" s="1"/>
  <c r="Z15" i="1"/>
  <c r="Z16" i="1"/>
  <c r="Z17" i="1"/>
  <c r="Z18" i="1"/>
  <c r="Z19" i="1"/>
  <c r="Z20" i="1"/>
  <c r="AA20" i="1" s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AA46" i="1" s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AA60" i="1" s="1"/>
  <c r="Z61" i="1"/>
  <c r="Z62" i="1"/>
  <c r="Z63" i="1"/>
  <c r="Z64" i="1"/>
  <c r="Z65" i="1"/>
  <c r="Z66" i="1"/>
  <c r="Z67" i="1"/>
  <c r="Z68" i="1"/>
  <c r="AA68" i="1" s="1"/>
  <c r="Z69" i="1"/>
  <c r="Z70" i="1"/>
  <c r="Z71" i="1"/>
  <c r="Z72" i="1"/>
  <c r="Z73" i="1"/>
  <c r="Z74" i="1"/>
  <c r="Z75" i="1"/>
  <c r="Z76" i="1"/>
  <c r="AA76" i="1" s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AA104" i="1" s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AA136" i="1" s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AA152" i="1" s="1"/>
  <c r="Z153" i="1"/>
  <c r="Z154" i="1"/>
  <c r="Z155" i="1"/>
  <c r="Z156" i="1"/>
  <c r="Z15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AA3" i="1"/>
  <c r="AA5" i="1"/>
  <c r="AA6" i="1"/>
  <c r="AA34" i="1"/>
  <c r="AA37" i="1"/>
  <c r="AA39" i="1"/>
  <c r="AA41" i="1"/>
  <c r="AA45" i="1"/>
  <c r="AA49" i="1"/>
  <c r="AA53" i="1"/>
  <c r="AA55" i="1"/>
  <c r="AA57" i="1"/>
  <c r="AA59" i="1"/>
  <c r="AA63" i="1"/>
  <c r="AA71" i="1"/>
  <c r="AA83" i="1"/>
  <c r="AA91" i="1"/>
  <c r="AA92" i="1"/>
  <c r="AA95" i="1"/>
  <c r="AA100" i="1"/>
  <c r="AA109" i="1"/>
  <c r="AA110" i="1"/>
  <c r="AA115" i="1"/>
  <c r="AA119" i="1"/>
  <c r="AA123" i="1"/>
  <c r="AA127" i="1"/>
  <c r="AA128" i="1"/>
  <c r="AA139" i="1"/>
  <c r="AA143" i="1"/>
  <c r="AA144" i="1"/>
  <c r="AA153" i="1"/>
  <c r="AA64" i="1"/>
  <c r="AA140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3" i="1"/>
  <c r="AA160" i="1"/>
  <c r="AA157" i="1"/>
  <c r="AA155" i="1"/>
  <c r="AA151" i="1"/>
  <c r="AA150" i="1"/>
  <c r="AA149" i="1"/>
  <c r="AA148" i="1"/>
  <c r="AA147" i="1"/>
  <c r="AA146" i="1"/>
  <c r="AA145" i="1"/>
  <c r="AA141" i="1"/>
  <c r="AA137" i="1"/>
  <c r="AA135" i="1"/>
  <c r="AA133" i="1"/>
  <c r="AA131" i="1"/>
  <c r="AA129" i="1"/>
  <c r="AA125" i="1"/>
  <c r="AA121" i="1"/>
  <c r="AA117" i="1"/>
  <c r="AA113" i="1"/>
  <c r="AA112" i="1"/>
  <c r="AA111" i="1"/>
  <c r="AA107" i="1"/>
  <c r="AA106" i="1"/>
  <c r="AA105" i="1"/>
  <c r="AA103" i="1"/>
  <c r="AA101" i="1"/>
  <c r="AA99" i="1"/>
  <c r="AA97" i="1"/>
  <c r="AA93" i="1"/>
  <c r="AA89" i="1"/>
  <c r="AA88" i="1"/>
  <c r="AA87" i="1"/>
  <c r="AA86" i="1"/>
  <c r="AA85" i="1"/>
  <c r="AA81" i="1"/>
  <c r="AA80" i="1"/>
  <c r="AA79" i="1"/>
  <c r="AA78" i="1"/>
  <c r="AA77" i="1"/>
  <c r="AA75" i="1"/>
  <c r="AA73" i="1"/>
  <c r="AA69" i="1"/>
  <c r="AA67" i="1"/>
  <c r="AA65" i="1"/>
  <c r="AA61" i="1"/>
  <c r="AA58" i="1"/>
  <c r="AA56" i="1"/>
  <c r="AA54" i="1"/>
  <c r="AA51" i="1"/>
  <c r="AA47" i="1"/>
  <c r="AA43" i="1"/>
  <c r="AA40" i="1"/>
  <c r="AA38" i="1"/>
  <c r="AA35" i="1"/>
  <c r="AA33" i="1"/>
  <c r="AA31" i="1"/>
  <c r="AA30" i="1"/>
  <c r="AA29" i="1"/>
  <c r="AA28" i="1"/>
  <c r="AA27" i="1"/>
  <c r="AA26" i="1"/>
  <c r="AA25" i="1"/>
  <c r="AA23" i="1"/>
  <c r="AA21" i="1"/>
  <c r="AA19" i="1"/>
  <c r="AA17" i="1"/>
  <c r="AA16" i="1"/>
  <c r="AA15" i="1"/>
  <c r="AA13" i="1"/>
  <c r="AA11" i="1"/>
  <c r="AA10" i="1"/>
  <c r="AA9" i="1"/>
  <c r="AA8" i="1"/>
  <c r="AA7" i="1"/>
  <c r="AA4" i="1"/>
  <c r="AA154" i="1" l="1"/>
  <c r="AA132" i="1"/>
  <c r="AA124" i="1"/>
  <c r="AA116" i="1"/>
  <c r="AA96" i="1"/>
  <c r="AA84" i="1"/>
  <c r="AA72" i="1"/>
  <c r="AA50" i="1"/>
  <c r="AA42" i="1"/>
  <c r="AA24" i="1"/>
  <c r="AA156" i="1"/>
  <c r="AA142" i="1"/>
  <c r="AA138" i="1"/>
  <c r="AA134" i="1"/>
  <c r="AA130" i="1"/>
  <c r="AA126" i="1"/>
  <c r="AA122" i="1"/>
  <c r="AA118" i="1"/>
  <c r="AA114" i="1"/>
  <c r="AA108" i="1"/>
  <c r="AA102" i="1"/>
  <c r="AA98" i="1"/>
  <c r="AA94" i="1"/>
  <c r="AA90" i="1"/>
  <c r="AA82" i="1"/>
  <c r="AA74" i="1"/>
  <c r="AA70" i="1"/>
  <c r="AA66" i="1"/>
  <c r="AA62" i="1"/>
  <c r="AA52" i="1"/>
  <c r="AA48" i="1"/>
  <c r="AA44" i="1"/>
  <c r="AA36" i="1"/>
  <c r="AA32" i="1"/>
  <c r="AA22" i="1"/>
  <c r="AA18" i="1"/>
  <c r="AA12" i="1"/>
  <c r="N131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2" i="1"/>
  <c r="N133" i="1"/>
  <c r="N134" i="1"/>
  <c r="N135" i="1"/>
  <c r="N136" i="1"/>
  <c r="N137" i="1"/>
  <c r="N138" i="1"/>
  <c r="N139" i="1"/>
  <c r="N140" i="1"/>
  <c r="N141" i="1"/>
  <c r="N142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79" i="2"/>
  <c r="J69" i="2"/>
  <c r="J107" i="2" s="1"/>
  <c r="D41" i="2"/>
  <c r="C1" i="2"/>
  <c r="AE215" i="1"/>
  <c r="AB215" i="1"/>
  <c r="S215" i="1" s="1"/>
  <c r="X215" i="1"/>
  <c r="V215" i="1"/>
  <c r="W215" i="1" s="1"/>
  <c r="I215" i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I214" i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I213" i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I212" i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I211" i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I210" i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I209" i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I208" i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I207" i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I206" i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I205" i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I204" i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I203" i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I202" i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I201" i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I200" i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I199" i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I198" i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I197" i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I196" i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I195" i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I194" i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I193" i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I192" i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I191" i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I190" i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I189" i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I188" i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I187" i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I186" i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I185" i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I184" i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I183" i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I182" i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I181" i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I180" i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I179" i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I178" i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I177" i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I176" i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I175" i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I174" i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I173" i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I172" i="1"/>
  <c r="H172" i="1"/>
  <c r="B172" i="1"/>
  <c r="G172" i="1" s="1"/>
  <c r="A172" i="1" s="1"/>
  <c r="AC172" i="1" s="1"/>
  <c r="AE171" i="1"/>
  <c r="AB171" i="1"/>
  <c r="S171" i="1" s="1"/>
  <c r="X171" i="1"/>
  <c r="V171" i="1"/>
  <c r="W171" i="1" s="1"/>
  <c r="I171" i="1"/>
  <c r="H171" i="1"/>
  <c r="B171" i="1"/>
  <c r="G171" i="1" s="1"/>
  <c r="A171" i="1" s="1"/>
  <c r="AC171" i="1" s="1"/>
  <c r="AE170" i="1"/>
  <c r="AB170" i="1"/>
  <c r="S170" i="1" s="1"/>
  <c r="X170" i="1"/>
  <c r="V170" i="1"/>
  <c r="W170" i="1" s="1"/>
  <c r="I170" i="1"/>
  <c r="H170" i="1"/>
  <c r="B170" i="1"/>
  <c r="G170" i="1" s="1"/>
  <c r="A170" i="1" s="1"/>
  <c r="AC170" i="1" s="1"/>
  <c r="AE169" i="1"/>
  <c r="AB169" i="1"/>
  <c r="S169" i="1" s="1"/>
  <c r="X169" i="1"/>
  <c r="V169" i="1"/>
  <c r="W169" i="1" s="1"/>
  <c r="I169" i="1"/>
  <c r="H169" i="1"/>
  <c r="B169" i="1"/>
  <c r="G169" i="1" s="1"/>
  <c r="A169" i="1" s="1"/>
  <c r="AC169" i="1" s="1"/>
  <c r="AE168" i="1"/>
  <c r="AB168" i="1"/>
  <c r="S168" i="1" s="1"/>
  <c r="X168" i="1"/>
  <c r="V168" i="1"/>
  <c r="W168" i="1" s="1"/>
  <c r="I168" i="1"/>
  <c r="H168" i="1"/>
  <c r="B168" i="1"/>
  <c r="G168" i="1" s="1"/>
  <c r="A168" i="1" s="1"/>
  <c r="AC168" i="1" s="1"/>
  <c r="AE167" i="1"/>
  <c r="X167" i="1"/>
  <c r="I167" i="1"/>
  <c r="H167" i="1"/>
  <c r="B167" i="1"/>
  <c r="G167" i="1" s="1"/>
  <c r="A167" i="1" s="1"/>
  <c r="AC167" i="1" s="1"/>
  <c r="AE166" i="1"/>
  <c r="X166" i="1"/>
  <c r="I166" i="1"/>
  <c r="H166" i="1"/>
  <c r="B166" i="1"/>
  <c r="G166" i="1" s="1"/>
  <c r="A166" i="1" s="1"/>
  <c r="AC166" i="1" s="1"/>
  <c r="AE165" i="1"/>
  <c r="X165" i="1"/>
  <c r="I165" i="1"/>
  <c r="H165" i="1"/>
  <c r="B165" i="1"/>
  <c r="G165" i="1" s="1"/>
  <c r="A165" i="1" s="1"/>
  <c r="AC165" i="1" s="1"/>
  <c r="AE164" i="1"/>
  <c r="X164" i="1"/>
  <c r="V164" i="1"/>
  <c r="I164" i="1"/>
  <c r="H164" i="1"/>
  <c r="B164" i="1"/>
  <c r="G164" i="1" s="1"/>
  <c r="A164" i="1" s="1"/>
  <c r="AE163" i="1"/>
  <c r="AB163" i="1"/>
  <c r="S163" i="1" s="1"/>
  <c r="X163" i="1"/>
  <c r="V163" i="1"/>
  <c r="W163" i="1" s="1"/>
  <c r="I163" i="1"/>
  <c r="H163" i="1"/>
  <c r="B163" i="1"/>
  <c r="G163" i="1" s="1"/>
  <c r="A163" i="1" s="1"/>
  <c r="AC163" i="1" s="1"/>
  <c r="AE162" i="1"/>
  <c r="X162" i="1"/>
  <c r="I162" i="1"/>
  <c r="H162" i="1"/>
  <c r="B162" i="1"/>
  <c r="G162" i="1" s="1"/>
  <c r="A162" i="1" s="1"/>
  <c r="AC162" i="1" s="1"/>
  <c r="AE161" i="1"/>
  <c r="X161" i="1"/>
  <c r="V161" i="1"/>
  <c r="I161" i="1"/>
  <c r="H161" i="1"/>
  <c r="B161" i="1"/>
  <c r="G161" i="1" s="1"/>
  <c r="A161" i="1" s="1"/>
  <c r="AE160" i="1"/>
  <c r="AB160" i="1"/>
  <c r="S160" i="1" s="1"/>
  <c r="X160" i="1"/>
  <c r="V160" i="1"/>
  <c r="W160" i="1" s="1"/>
  <c r="I160" i="1"/>
  <c r="H160" i="1"/>
  <c r="B160" i="1"/>
  <c r="G160" i="1" s="1"/>
  <c r="A160" i="1" s="1"/>
  <c r="AC160" i="1" s="1"/>
  <c r="AE159" i="1"/>
  <c r="X159" i="1"/>
  <c r="I159" i="1"/>
  <c r="H159" i="1"/>
  <c r="B159" i="1"/>
  <c r="G159" i="1" s="1"/>
  <c r="A159" i="1" s="1"/>
  <c r="AC159" i="1" s="1"/>
  <c r="AE158" i="1"/>
  <c r="X158" i="1"/>
  <c r="I158" i="1"/>
  <c r="H158" i="1"/>
  <c r="AE157" i="1"/>
  <c r="AB157" i="1"/>
  <c r="S157" i="1" s="1"/>
  <c r="X157" i="1"/>
  <c r="V157" i="1"/>
  <c r="W157" i="1" s="1"/>
  <c r="I157" i="1"/>
  <c r="H157" i="1"/>
  <c r="B157" i="1"/>
  <c r="G157" i="1" s="1"/>
  <c r="A157" i="1" s="1"/>
  <c r="AC157" i="1" s="1"/>
  <c r="AE156" i="1"/>
  <c r="X156" i="1"/>
  <c r="I156" i="1"/>
  <c r="H156" i="1"/>
  <c r="AE155" i="1"/>
  <c r="AB155" i="1"/>
  <c r="S155" i="1" s="1"/>
  <c r="X155" i="1"/>
  <c r="V155" i="1"/>
  <c r="W155" i="1" s="1"/>
  <c r="I155" i="1"/>
  <c r="H155" i="1"/>
  <c r="B155" i="1"/>
  <c r="G155" i="1" s="1"/>
  <c r="A155" i="1" s="1"/>
  <c r="AC155" i="1" s="1"/>
  <c r="AE154" i="1"/>
  <c r="X154" i="1"/>
  <c r="I154" i="1"/>
  <c r="H154" i="1"/>
  <c r="B154" i="1"/>
  <c r="G154" i="1" s="1"/>
  <c r="A154" i="1" s="1"/>
  <c r="AC154" i="1" s="1"/>
  <c r="AE153" i="1"/>
  <c r="X153" i="1"/>
  <c r="I153" i="1"/>
  <c r="H153" i="1"/>
  <c r="B153" i="1"/>
  <c r="G153" i="1" s="1"/>
  <c r="A153" i="1" s="1"/>
  <c r="AC153" i="1" s="1"/>
  <c r="AE152" i="1"/>
  <c r="X152" i="1"/>
  <c r="I152" i="1"/>
  <c r="H152" i="1"/>
  <c r="B152" i="1"/>
  <c r="G152" i="1" s="1"/>
  <c r="A152" i="1" s="1"/>
  <c r="AC152" i="1" s="1"/>
  <c r="AE151" i="1"/>
  <c r="X151" i="1"/>
  <c r="I151" i="1"/>
  <c r="H151" i="1"/>
  <c r="AE150" i="1"/>
  <c r="AB150" i="1"/>
  <c r="S150" i="1" s="1"/>
  <c r="X150" i="1"/>
  <c r="V150" i="1"/>
  <c r="W150" i="1" s="1"/>
  <c r="I150" i="1"/>
  <c r="H150" i="1"/>
  <c r="B150" i="1"/>
  <c r="G150" i="1" s="1"/>
  <c r="A150" i="1" s="1"/>
  <c r="AC150" i="1" s="1"/>
  <c r="AE149" i="1"/>
  <c r="X149" i="1"/>
  <c r="I149" i="1"/>
  <c r="H149" i="1"/>
  <c r="AE148" i="1"/>
  <c r="AB148" i="1"/>
  <c r="S148" i="1" s="1"/>
  <c r="X148" i="1"/>
  <c r="V148" i="1"/>
  <c r="W148" i="1" s="1"/>
  <c r="I148" i="1"/>
  <c r="H148" i="1"/>
  <c r="B148" i="1"/>
  <c r="G148" i="1" s="1"/>
  <c r="A148" i="1" s="1"/>
  <c r="AC148" i="1" s="1"/>
  <c r="AE147" i="1"/>
  <c r="X147" i="1"/>
  <c r="I147" i="1"/>
  <c r="H147" i="1"/>
  <c r="AE146" i="1"/>
  <c r="AB146" i="1"/>
  <c r="S146" i="1" s="1"/>
  <c r="X146" i="1"/>
  <c r="V146" i="1"/>
  <c r="W146" i="1" s="1"/>
  <c r="I146" i="1"/>
  <c r="H146" i="1"/>
  <c r="B146" i="1"/>
  <c r="G146" i="1" s="1"/>
  <c r="A146" i="1" s="1"/>
  <c r="AC146" i="1" s="1"/>
  <c r="AE145" i="1"/>
  <c r="X145" i="1"/>
  <c r="I145" i="1"/>
  <c r="H145" i="1"/>
  <c r="B145" i="1"/>
  <c r="G145" i="1" s="1"/>
  <c r="A145" i="1" s="1"/>
  <c r="AC145" i="1" s="1"/>
  <c r="AE144" i="1"/>
  <c r="X144" i="1"/>
  <c r="I144" i="1"/>
  <c r="H144" i="1"/>
  <c r="B144" i="1"/>
  <c r="G144" i="1" s="1"/>
  <c r="A144" i="1" s="1"/>
  <c r="AC144" i="1" s="1"/>
  <c r="AE143" i="1"/>
  <c r="X143" i="1"/>
  <c r="I143" i="1"/>
  <c r="H143" i="1"/>
  <c r="B143" i="1"/>
  <c r="G143" i="1" s="1"/>
  <c r="A143" i="1" s="1"/>
  <c r="AC143" i="1" s="1"/>
  <c r="AE142" i="1"/>
  <c r="X142" i="1"/>
  <c r="I142" i="1"/>
  <c r="H142" i="1"/>
  <c r="AE141" i="1"/>
  <c r="AB141" i="1"/>
  <c r="S141" i="1" s="1"/>
  <c r="X141" i="1"/>
  <c r="V141" i="1"/>
  <c r="W141" i="1" s="1"/>
  <c r="I141" i="1"/>
  <c r="H141" i="1"/>
  <c r="B141" i="1"/>
  <c r="G141" i="1" s="1"/>
  <c r="A141" i="1" s="1"/>
  <c r="AC141" i="1" s="1"/>
  <c r="AE140" i="1"/>
  <c r="X140" i="1"/>
  <c r="I140" i="1"/>
  <c r="H140" i="1"/>
  <c r="B140" i="1"/>
  <c r="G140" i="1" s="1"/>
  <c r="A140" i="1" s="1"/>
  <c r="AC140" i="1" s="1"/>
  <c r="AE139" i="1"/>
  <c r="X139" i="1"/>
  <c r="I139" i="1"/>
  <c r="H139" i="1"/>
  <c r="B139" i="1"/>
  <c r="G139" i="1" s="1"/>
  <c r="A139" i="1" s="1"/>
  <c r="AC139" i="1" s="1"/>
  <c r="AE138" i="1"/>
  <c r="X138" i="1"/>
  <c r="I138" i="1"/>
  <c r="H138" i="1"/>
  <c r="B138" i="1"/>
  <c r="G138" i="1" s="1"/>
  <c r="A138" i="1" s="1"/>
  <c r="AC138" i="1" s="1"/>
  <c r="AE137" i="1"/>
  <c r="X137" i="1"/>
  <c r="I137" i="1"/>
  <c r="H137" i="1"/>
  <c r="B137" i="1"/>
  <c r="G137" i="1" s="1"/>
  <c r="A137" i="1" s="1"/>
  <c r="AC137" i="1" s="1"/>
  <c r="AE136" i="1"/>
  <c r="X136" i="1"/>
  <c r="I136" i="1"/>
  <c r="H136" i="1"/>
  <c r="AE135" i="1"/>
  <c r="AB135" i="1"/>
  <c r="S135" i="1" s="1"/>
  <c r="X135" i="1"/>
  <c r="V135" i="1"/>
  <c r="W135" i="1" s="1"/>
  <c r="I135" i="1"/>
  <c r="H135" i="1"/>
  <c r="B135" i="1"/>
  <c r="G135" i="1" s="1"/>
  <c r="A135" i="1" s="1"/>
  <c r="AC135" i="1" s="1"/>
  <c r="AE134" i="1"/>
  <c r="X134" i="1"/>
  <c r="I134" i="1"/>
  <c r="H134" i="1"/>
  <c r="AE133" i="1"/>
  <c r="AB133" i="1"/>
  <c r="S133" i="1" s="1"/>
  <c r="X133" i="1"/>
  <c r="V133" i="1"/>
  <c r="W133" i="1" s="1"/>
  <c r="I133" i="1"/>
  <c r="H133" i="1"/>
  <c r="B133" i="1"/>
  <c r="G133" i="1" s="1"/>
  <c r="A133" i="1" s="1"/>
  <c r="AC133" i="1" s="1"/>
  <c r="AE132" i="1"/>
  <c r="X132" i="1"/>
  <c r="I132" i="1"/>
  <c r="H132" i="1"/>
  <c r="AE131" i="1"/>
  <c r="AB131" i="1"/>
  <c r="S131" i="1" s="1"/>
  <c r="X131" i="1"/>
  <c r="V131" i="1"/>
  <c r="W131" i="1" s="1"/>
  <c r="I131" i="1"/>
  <c r="H131" i="1"/>
  <c r="B131" i="1"/>
  <c r="G131" i="1" s="1"/>
  <c r="A131" i="1" s="1"/>
  <c r="AC131" i="1" s="1"/>
  <c r="AE130" i="1"/>
  <c r="X130" i="1"/>
  <c r="I130" i="1"/>
  <c r="H130" i="1"/>
  <c r="B130" i="1"/>
  <c r="G130" i="1" s="1"/>
  <c r="A130" i="1" s="1"/>
  <c r="AC130" i="1" s="1"/>
  <c r="AE129" i="1"/>
  <c r="X129" i="1"/>
  <c r="I129" i="1"/>
  <c r="H129" i="1"/>
  <c r="B129" i="1"/>
  <c r="G129" i="1" s="1"/>
  <c r="A129" i="1" s="1"/>
  <c r="AC129" i="1" s="1"/>
  <c r="AE128" i="1"/>
  <c r="X128" i="1"/>
  <c r="I128" i="1"/>
  <c r="H128" i="1"/>
  <c r="B128" i="1"/>
  <c r="G128" i="1" s="1"/>
  <c r="A128" i="1" s="1"/>
  <c r="AC128" i="1" s="1"/>
  <c r="AE127" i="1"/>
  <c r="X127" i="1"/>
  <c r="I127" i="1"/>
  <c r="H127" i="1"/>
  <c r="B127" i="1"/>
  <c r="G127" i="1" s="1"/>
  <c r="A127" i="1" s="1"/>
  <c r="AC127" i="1" s="1"/>
  <c r="AE126" i="1"/>
  <c r="X126" i="1"/>
  <c r="I126" i="1"/>
  <c r="H126" i="1"/>
  <c r="B126" i="1"/>
  <c r="G126" i="1" s="1"/>
  <c r="A126" i="1" s="1"/>
  <c r="AC126" i="1" s="1"/>
  <c r="AE125" i="1"/>
  <c r="X125" i="1"/>
  <c r="I125" i="1"/>
  <c r="H125" i="1"/>
  <c r="B125" i="1"/>
  <c r="G125" i="1" s="1"/>
  <c r="A125" i="1" s="1"/>
  <c r="AC125" i="1" s="1"/>
  <c r="AE124" i="1"/>
  <c r="X124" i="1"/>
  <c r="I124" i="1"/>
  <c r="H124" i="1"/>
  <c r="B124" i="1"/>
  <c r="G124" i="1" s="1"/>
  <c r="A124" i="1" s="1"/>
  <c r="AC124" i="1" s="1"/>
  <c r="AE123" i="1"/>
  <c r="X123" i="1"/>
  <c r="I123" i="1"/>
  <c r="H123" i="1"/>
  <c r="B123" i="1"/>
  <c r="G123" i="1" s="1"/>
  <c r="A123" i="1" s="1"/>
  <c r="AC123" i="1" s="1"/>
  <c r="AE122" i="1"/>
  <c r="X122" i="1"/>
  <c r="I122" i="1"/>
  <c r="H122" i="1"/>
  <c r="B122" i="1"/>
  <c r="G122" i="1" s="1"/>
  <c r="A122" i="1" s="1"/>
  <c r="AC122" i="1" s="1"/>
  <c r="AE121" i="1"/>
  <c r="X121" i="1"/>
  <c r="I121" i="1"/>
  <c r="H121" i="1"/>
  <c r="B121" i="1"/>
  <c r="G121" i="1" s="1"/>
  <c r="A121" i="1" s="1"/>
  <c r="AC121" i="1" s="1"/>
  <c r="AE120" i="1"/>
  <c r="X120" i="1"/>
  <c r="I120" i="1"/>
  <c r="H120" i="1"/>
  <c r="B120" i="1"/>
  <c r="G120" i="1" s="1"/>
  <c r="A120" i="1" s="1"/>
  <c r="AC120" i="1" s="1"/>
  <c r="AE119" i="1"/>
  <c r="X119" i="1"/>
  <c r="I119" i="1"/>
  <c r="H119" i="1"/>
  <c r="B119" i="1"/>
  <c r="G119" i="1" s="1"/>
  <c r="A119" i="1" s="1"/>
  <c r="AC119" i="1" s="1"/>
  <c r="AE118" i="1"/>
  <c r="X118" i="1"/>
  <c r="I118" i="1"/>
  <c r="H118" i="1"/>
  <c r="AE117" i="1"/>
  <c r="AB117" i="1"/>
  <c r="S117" i="1" s="1"/>
  <c r="X117" i="1"/>
  <c r="V117" i="1"/>
  <c r="W117" i="1" s="1"/>
  <c r="I117" i="1"/>
  <c r="H117" i="1"/>
  <c r="B117" i="1"/>
  <c r="G117" i="1" s="1"/>
  <c r="A117" i="1" s="1"/>
  <c r="AC117" i="1" s="1"/>
  <c r="AE116" i="1"/>
  <c r="X116" i="1"/>
  <c r="I116" i="1"/>
  <c r="H116" i="1"/>
  <c r="B116" i="1"/>
  <c r="G116" i="1" s="1"/>
  <c r="A116" i="1" s="1"/>
  <c r="AC116" i="1" s="1"/>
  <c r="AE115" i="1"/>
  <c r="X115" i="1"/>
  <c r="I115" i="1"/>
  <c r="H115" i="1"/>
  <c r="B115" i="1"/>
  <c r="G115" i="1" s="1"/>
  <c r="A115" i="1" s="1"/>
  <c r="AC115" i="1" s="1"/>
  <c r="AE114" i="1"/>
  <c r="X114" i="1"/>
  <c r="I114" i="1"/>
  <c r="H114" i="1"/>
  <c r="B114" i="1"/>
  <c r="G114" i="1" s="1"/>
  <c r="A114" i="1" s="1"/>
  <c r="AC114" i="1" s="1"/>
  <c r="AE113" i="1"/>
  <c r="X113" i="1"/>
  <c r="I113" i="1"/>
  <c r="H113" i="1"/>
  <c r="AE112" i="1"/>
  <c r="AB112" i="1"/>
  <c r="S112" i="1" s="1"/>
  <c r="X112" i="1"/>
  <c r="V112" i="1"/>
  <c r="W112" i="1" s="1"/>
  <c r="I112" i="1"/>
  <c r="H112" i="1"/>
  <c r="B112" i="1"/>
  <c r="G112" i="1" s="1"/>
  <c r="A112" i="1" s="1"/>
  <c r="AC112" i="1" s="1"/>
  <c r="AE111" i="1"/>
  <c r="X111" i="1"/>
  <c r="I111" i="1"/>
  <c r="H111" i="1"/>
  <c r="B111" i="1"/>
  <c r="G111" i="1" s="1"/>
  <c r="A111" i="1" s="1"/>
  <c r="AC111" i="1" s="1"/>
  <c r="AE110" i="1"/>
  <c r="X110" i="1"/>
  <c r="I110" i="1"/>
  <c r="H110" i="1"/>
  <c r="B110" i="1"/>
  <c r="G110" i="1" s="1"/>
  <c r="A110" i="1" s="1"/>
  <c r="AC110" i="1" s="1"/>
  <c r="AE109" i="1"/>
  <c r="X109" i="1"/>
  <c r="I109" i="1"/>
  <c r="H109" i="1"/>
  <c r="B109" i="1"/>
  <c r="G109" i="1" s="1"/>
  <c r="A109" i="1" s="1"/>
  <c r="AC109" i="1" s="1"/>
  <c r="AE108" i="1"/>
  <c r="X108" i="1"/>
  <c r="I108" i="1"/>
  <c r="H108" i="1"/>
  <c r="B108" i="1"/>
  <c r="G108" i="1" s="1"/>
  <c r="A108" i="1" s="1"/>
  <c r="AC108" i="1" s="1"/>
  <c r="AE107" i="1"/>
  <c r="X107" i="1"/>
  <c r="I107" i="1"/>
  <c r="H107" i="1"/>
  <c r="AE106" i="1"/>
  <c r="AB106" i="1"/>
  <c r="S106" i="1" s="1"/>
  <c r="X106" i="1"/>
  <c r="V106" i="1"/>
  <c r="W106" i="1" s="1"/>
  <c r="I106" i="1"/>
  <c r="H106" i="1"/>
  <c r="B106" i="1"/>
  <c r="G106" i="1" s="1"/>
  <c r="A106" i="1" s="1"/>
  <c r="AC106" i="1" s="1"/>
  <c r="AE105" i="1"/>
  <c r="X105" i="1"/>
  <c r="I105" i="1"/>
  <c r="H105" i="1"/>
  <c r="B105" i="1"/>
  <c r="G105" i="1" s="1"/>
  <c r="A105" i="1" s="1"/>
  <c r="AC105" i="1" s="1"/>
  <c r="AE104" i="1"/>
  <c r="X104" i="1"/>
  <c r="I104" i="1"/>
  <c r="H104" i="1"/>
  <c r="AE103" i="1"/>
  <c r="AB103" i="1"/>
  <c r="S103" i="1" s="1"/>
  <c r="X103" i="1"/>
  <c r="V103" i="1"/>
  <c r="W103" i="1" s="1"/>
  <c r="I103" i="1"/>
  <c r="H103" i="1"/>
  <c r="B103" i="1"/>
  <c r="G103" i="1" s="1"/>
  <c r="A103" i="1" s="1"/>
  <c r="AC103" i="1" s="1"/>
  <c r="AE102" i="1"/>
  <c r="X102" i="1"/>
  <c r="I102" i="1"/>
  <c r="H102" i="1"/>
  <c r="B102" i="1"/>
  <c r="G102" i="1" s="1"/>
  <c r="A102" i="1" s="1"/>
  <c r="AC102" i="1" s="1"/>
  <c r="AE101" i="1"/>
  <c r="X101" i="1"/>
  <c r="I101" i="1"/>
  <c r="H101" i="1"/>
  <c r="B101" i="1"/>
  <c r="G101" i="1" s="1"/>
  <c r="A101" i="1" s="1"/>
  <c r="AC101" i="1" s="1"/>
  <c r="AE100" i="1"/>
  <c r="X100" i="1"/>
  <c r="I100" i="1"/>
  <c r="H100" i="1"/>
  <c r="AE99" i="1"/>
  <c r="AB99" i="1"/>
  <c r="S99" i="1" s="1"/>
  <c r="X99" i="1"/>
  <c r="V99" i="1"/>
  <c r="W99" i="1" s="1"/>
  <c r="I99" i="1"/>
  <c r="H99" i="1"/>
  <c r="B99" i="1"/>
  <c r="G99" i="1" s="1"/>
  <c r="A99" i="1" s="1"/>
  <c r="AC99" i="1" s="1"/>
  <c r="AE98" i="1"/>
  <c r="X98" i="1"/>
  <c r="I98" i="1"/>
  <c r="H98" i="1"/>
  <c r="B98" i="1"/>
  <c r="G98" i="1" s="1"/>
  <c r="A98" i="1" s="1"/>
  <c r="AC98" i="1" s="1"/>
  <c r="AE97" i="1"/>
  <c r="X97" i="1"/>
  <c r="I97" i="1"/>
  <c r="H97" i="1"/>
  <c r="B97" i="1"/>
  <c r="G97" i="1" s="1"/>
  <c r="A97" i="1" s="1"/>
  <c r="AC97" i="1" s="1"/>
  <c r="AE96" i="1"/>
  <c r="X96" i="1"/>
  <c r="I96" i="1"/>
  <c r="H96" i="1"/>
  <c r="B96" i="1"/>
  <c r="G96" i="1" s="1"/>
  <c r="A96" i="1" s="1"/>
  <c r="AC96" i="1" s="1"/>
  <c r="AE95" i="1"/>
  <c r="X95" i="1"/>
  <c r="I95" i="1"/>
  <c r="H95" i="1"/>
  <c r="B95" i="1"/>
  <c r="G95" i="1" s="1"/>
  <c r="A95" i="1" s="1"/>
  <c r="AC95" i="1" s="1"/>
  <c r="AE94" i="1"/>
  <c r="X94" i="1"/>
  <c r="I94" i="1"/>
  <c r="H94" i="1"/>
  <c r="B94" i="1"/>
  <c r="G94" i="1" s="1"/>
  <c r="A94" i="1" s="1"/>
  <c r="AC94" i="1" s="1"/>
  <c r="AE93" i="1"/>
  <c r="X93" i="1"/>
  <c r="I93" i="1"/>
  <c r="H93" i="1"/>
  <c r="B93" i="1"/>
  <c r="G93" i="1" s="1"/>
  <c r="A93" i="1" s="1"/>
  <c r="AC93" i="1" s="1"/>
  <c r="AE92" i="1"/>
  <c r="X92" i="1"/>
  <c r="I92" i="1"/>
  <c r="H92" i="1"/>
  <c r="B92" i="1"/>
  <c r="G92" i="1" s="1"/>
  <c r="A92" i="1" s="1"/>
  <c r="AC92" i="1" s="1"/>
  <c r="AE91" i="1"/>
  <c r="X91" i="1"/>
  <c r="I91" i="1"/>
  <c r="H91" i="1"/>
  <c r="B91" i="1"/>
  <c r="G91" i="1" s="1"/>
  <c r="A91" i="1" s="1"/>
  <c r="AC91" i="1" s="1"/>
  <c r="AE90" i="1"/>
  <c r="X90" i="1"/>
  <c r="I90" i="1"/>
  <c r="H90" i="1"/>
  <c r="B90" i="1"/>
  <c r="G90" i="1" s="1"/>
  <c r="A90" i="1" s="1"/>
  <c r="AC90" i="1" s="1"/>
  <c r="AE89" i="1"/>
  <c r="X89" i="1"/>
  <c r="I89" i="1"/>
  <c r="H89" i="1"/>
  <c r="AE88" i="1"/>
  <c r="AB88" i="1"/>
  <c r="S88" i="1" s="1"/>
  <c r="X88" i="1"/>
  <c r="V88" i="1"/>
  <c r="W88" i="1" s="1"/>
  <c r="I88" i="1"/>
  <c r="H88" i="1"/>
  <c r="B88" i="1"/>
  <c r="G88" i="1" s="1"/>
  <c r="A88" i="1" s="1"/>
  <c r="AC88" i="1" s="1"/>
  <c r="AE87" i="1"/>
  <c r="X87" i="1"/>
  <c r="I87" i="1"/>
  <c r="H87" i="1"/>
  <c r="AE86" i="1"/>
  <c r="AB86" i="1"/>
  <c r="S86" i="1" s="1"/>
  <c r="X86" i="1"/>
  <c r="V86" i="1"/>
  <c r="W86" i="1" s="1"/>
  <c r="I86" i="1"/>
  <c r="H86" i="1"/>
  <c r="B86" i="1"/>
  <c r="G86" i="1" s="1"/>
  <c r="A86" i="1" s="1"/>
  <c r="AC86" i="1" s="1"/>
  <c r="AE85" i="1"/>
  <c r="X85" i="1"/>
  <c r="I85" i="1"/>
  <c r="H85" i="1"/>
  <c r="B85" i="1"/>
  <c r="G85" i="1" s="1"/>
  <c r="A85" i="1" s="1"/>
  <c r="AC85" i="1" s="1"/>
  <c r="AE84" i="1"/>
  <c r="X84" i="1"/>
  <c r="I84" i="1"/>
  <c r="H84" i="1"/>
  <c r="B84" i="1"/>
  <c r="G84" i="1" s="1"/>
  <c r="A84" i="1" s="1"/>
  <c r="AC84" i="1" s="1"/>
  <c r="P83" i="1"/>
  <c r="AE83" i="1" s="1"/>
  <c r="I83" i="1"/>
  <c r="H83" i="1"/>
  <c r="B83" i="1"/>
  <c r="G83" i="1" s="1"/>
  <c r="A83" i="1" s="1"/>
  <c r="AC83" i="1" s="1"/>
  <c r="AE82" i="1"/>
  <c r="X82" i="1"/>
  <c r="I82" i="1"/>
  <c r="H82" i="1"/>
  <c r="G82" i="1"/>
  <c r="B82" i="1"/>
  <c r="A82" i="1"/>
  <c r="AC82" i="1" s="1"/>
  <c r="AE81" i="1"/>
  <c r="X81" i="1"/>
  <c r="I81" i="1"/>
  <c r="H81" i="1"/>
  <c r="AE80" i="1"/>
  <c r="AB80" i="1"/>
  <c r="S80" i="1" s="1"/>
  <c r="X80" i="1"/>
  <c r="V80" i="1"/>
  <c r="W80" i="1" s="1"/>
  <c r="I80" i="1"/>
  <c r="H80" i="1"/>
  <c r="B80" i="1"/>
  <c r="G80" i="1" s="1"/>
  <c r="A80" i="1" s="1"/>
  <c r="AC80" i="1" s="1"/>
  <c r="AE79" i="1"/>
  <c r="X79" i="1"/>
  <c r="I79" i="1"/>
  <c r="H79" i="1"/>
  <c r="AE78" i="1"/>
  <c r="AB78" i="1"/>
  <c r="S78" i="1" s="1"/>
  <c r="X78" i="1"/>
  <c r="V78" i="1"/>
  <c r="W78" i="1" s="1"/>
  <c r="I78" i="1"/>
  <c r="H78" i="1"/>
  <c r="B78" i="1"/>
  <c r="G78" i="1" s="1"/>
  <c r="A78" i="1" s="1"/>
  <c r="AC78" i="1" s="1"/>
  <c r="AE77" i="1"/>
  <c r="AB77" i="1"/>
  <c r="S77" i="1" s="1"/>
  <c r="X77" i="1"/>
  <c r="V77" i="1"/>
  <c r="W77" i="1" s="1"/>
  <c r="I77" i="1"/>
  <c r="H77" i="1"/>
  <c r="B77" i="1"/>
  <c r="G77" i="1" s="1"/>
  <c r="A77" i="1" s="1"/>
  <c r="AC77" i="1" s="1"/>
  <c r="AE76" i="1"/>
  <c r="X76" i="1"/>
  <c r="I76" i="1"/>
  <c r="H76" i="1"/>
  <c r="AE75" i="1"/>
  <c r="AB75" i="1"/>
  <c r="S75" i="1" s="1"/>
  <c r="X75" i="1"/>
  <c r="V75" i="1"/>
  <c r="W75" i="1" s="1"/>
  <c r="I75" i="1"/>
  <c r="H75" i="1"/>
  <c r="B75" i="1"/>
  <c r="G75" i="1" s="1"/>
  <c r="A75" i="1" s="1"/>
  <c r="AC75" i="1" s="1"/>
  <c r="AE74" i="1"/>
  <c r="X74" i="1"/>
  <c r="I74" i="1"/>
  <c r="H74" i="1"/>
  <c r="AE73" i="1"/>
  <c r="AB73" i="1"/>
  <c r="S73" i="1" s="1"/>
  <c r="X73" i="1"/>
  <c r="V73" i="1"/>
  <c r="W73" i="1" s="1"/>
  <c r="I73" i="1"/>
  <c r="H73" i="1"/>
  <c r="B73" i="1"/>
  <c r="G73" i="1" s="1"/>
  <c r="A73" i="1" s="1"/>
  <c r="AC73" i="1" s="1"/>
  <c r="AE72" i="1"/>
  <c r="X72" i="1"/>
  <c r="I72" i="1"/>
  <c r="H72" i="1"/>
  <c r="B72" i="1"/>
  <c r="G72" i="1" s="1"/>
  <c r="A72" i="1" s="1"/>
  <c r="AC72" i="1" s="1"/>
  <c r="AE71" i="1"/>
  <c r="X71" i="1"/>
  <c r="I71" i="1"/>
  <c r="H71" i="1"/>
  <c r="B71" i="1"/>
  <c r="G71" i="1" s="1"/>
  <c r="A71" i="1" s="1"/>
  <c r="AC71" i="1" s="1"/>
  <c r="AE70" i="1"/>
  <c r="X70" i="1"/>
  <c r="I70" i="1"/>
  <c r="H70" i="1"/>
  <c r="B70" i="1"/>
  <c r="G70" i="1" s="1"/>
  <c r="A70" i="1" s="1"/>
  <c r="AC70" i="1" s="1"/>
  <c r="AE69" i="1"/>
  <c r="X69" i="1"/>
  <c r="I69" i="1"/>
  <c r="H69" i="1"/>
  <c r="B69" i="1"/>
  <c r="G69" i="1" s="1"/>
  <c r="A69" i="1" s="1"/>
  <c r="AC69" i="1" s="1"/>
  <c r="AE68" i="1"/>
  <c r="X68" i="1"/>
  <c r="I68" i="1"/>
  <c r="H68" i="1"/>
  <c r="AE67" i="1"/>
  <c r="AB67" i="1"/>
  <c r="S67" i="1" s="1"/>
  <c r="X67" i="1"/>
  <c r="V67" i="1"/>
  <c r="W67" i="1" s="1"/>
  <c r="I67" i="1"/>
  <c r="H67" i="1"/>
  <c r="B67" i="1"/>
  <c r="G67" i="1" s="1"/>
  <c r="A67" i="1" s="1"/>
  <c r="AC67" i="1" s="1"/>
  <c r="AE66" i="1"/>
  <c r="X66" i="1"/>
  <c r="I66" i="1"/>
  <c r="H66" i="1"/>
  <c r="AE65" i="1"/>
  <c r="AB65" i="1"/>
  <c r="S65" i="1" s="1"/>
  <c r="X65" i="1"/>
  <c r="V65" i="1"/>
  <c r="W65" i="1" s="1"/>
  <c r="I65" i="1"/>
  <c r="H65" i="1"/>
  <c r="B65" i="1"/>
  <c r="G65" i="1" s="1"/>
  <c r="A65" i="1" s="1"/>
  <c r="AC65" i="1" s="1"/>
  <c r="AE64" i="1"/>
  <c r="X64" i="1"/>
  <c r="I64" i="1"/>
  <c r="H64" i="1"/>
  <c r="B64" i="1"/>
  <c r="G64" i="1" s="1"/>
  <c r="A64" i="1" s="1"/>
  <c r="AC64" i="1" s="1"/>
  <c r="AE63" i="1"/>
  <c r="X63" i="1"/>
  <c r="I63" i="1"/>
  <c r="H63" i="1"/>
  <c r="B63" i="1"/>
  <c r="G63" i="1" s="1"/>
  <c r="A63" i="1" s="1"/>
  <c r="AC63" i="1" s="1"/>
  <c r="AE62" i="1"/>
  <c r="X62" i="1"/>
  <c r="I62" i="1"/>
  <c r="H62" i="1"/>
  <c r="B62" i="1"/>
  <c r="G62" i="1" s="1"/>
  <c r="A62" i="1" s="1"/>
  <c r="AC62" i="1" s="1"/>
  <c r="AE61" i="1"/>
  <c r="X61" i="1"/>
  <c r="I61" i="1"/>
  <c r="H61" i="1"/>
  <c r="B61" i="1"/>
  <c r="G61" i="1" s="1"/>
  <c r="A61" i="1" s="1"/>
  <c r="AC61" i="1" s="1"/>
  <c r="AE60" i="1"/>
  <c r="X60" i="1"/>
  <c r="I60" i="1"/>
  <c r="H60" i="1"/>
  <c r="B60" i="1"/>
  <c r="G60" i="1" s="1"/>
  <c r="A60" i="1" s="1"/>
  <c r="AC60" i="1" s="1"/>
  <c r="AE59" i="1"/>
  <c r="X59" i="1"/>
  <c r="I59" i="1"/>
  <c r="H59" i="1"/>
  <c r="AE58" i="1"/>
  <c r="AB58" i="1"/>
  <c r="S58" i="1" s="1"/>
  <c r="X58" i="1"/>
  <c r="V58" i="1"/>
  <c r="W58" i="1" s="1"/>
  <c r="I58" i="1"/>
  <c r="H58" i="1"/>
  <c r="B58" i="1"/>
  <c r="G58" i="1" s="1"/>
  <c r="A58" i="1" s="1"/>
  <c r="AC58" i="1" s="1"/>
  <c r="AE57" i="1"/>
  <c r="X57" i="1"/>
  <c r="I57" i="1"/>
  <c r="H57" i="1"/>
  <c r="AE56" i="1"/>
  <c r="AB56" i="1"/>
  <c r="S56" i="1" s="1"/>
  <c r="X56" i="1"/>
  <c r="V56" i="1"/>
  <c r="W56" i="1" s="1"/>
  <c r="I56" i="1"/>
  <c r="H56" i="1"/>
  <c r="B56" i="1"/>
  <c r="G56" i="1" s="1"/>
  <c r="A56" i="1" s="1"/>
  <c r="AC56" i="1" s="1"/>
  <c r="AE55" i="1"/>
  <c r="X55" i="1"/>
  <c r="I55" i="1"/>
  <c r="H55" i="1"/>
  <c r="AE54" i="1"/>
  <c r="AB54" i="1"/>
  <c r="S54" i="1" s="1"/>
  <c r="X54" i="1"/>
  <c r="V54" i="1"/>
  <c r="W54" i="1" s="1"/>
  <c r="I54" i="1"/>
  <c r="H54" i="1"/>
  <c r="B54" i="1"/>
  <c r="G54" i="1" s="1"/>
  <c r="A54" i="1" s="1"/>
  <c r="AC54" i="1" s="1"/>
  <c r="AE53" i="1"/>
  <c r="X53" i="1"/>
  <c r="I53" i="1"/>
  <c r="H53" i="1"/>
  <c r="B53" i="1"/>
  <c r="G53" i="1" s="1"/>
  <c r="A53" i="1" s="1"/>
  <c r="AC53" i="1" s="1"/>
  <c r="AE52" i="1"/>
  <c r="X52" i="1"/>
  <c r="I52" i="1"/>
  <c r="H52" i="1"/>
  <c r="B52" i="1"/>
  <c r="G52" i="1" s="1"/>
  <c r="A52" i="1" s="1"/>
  <c r="AC52" i="1" s="1"/>
  <c r="AE51" i="1"/>
  <c r="X51" i="1"/>
  <c r="I51" i="1"/>
  <c r="H51" i="1"/>
  <c r="B51" i="1"/>
  <c r="G51" i="1" s="1"/>
  <c r="A51" i="1" s="1"/>
  <c r="AC51" i="1" s="1"/>
  <c r="AE50" i="1"/>
  <c r="X50" i="1"/>
  <c r="I50" i="1"/>
  <c r="H50" i="1"/>
  <c r="B50" i="1"/>
  <c r="G50" i="1" s="1"/>
  <c r="A50" i="1" s="1"/>
  <c r="AC50" i="1" s="1"/>
  <c r="AE49" i="1"/>
  <c r="X49" i="1"/>
  <c r="I49" i="1"/>
  <c r="H49" i="1"/>
  <c r="B49" i="1"/>
  <c r="G49" i="1" s="1"/>
  <c r="A49" i="1" s="1"/>
  <c r="AC49" i="1" s="1"/>
  <c r="AE48" i="1"/>
  <c r="X48" i="1"/>
  <c r="I48" i="1"/>
  <c r="H48" i="1"/>
  <c r="B48" i="1"/>
  <c r="G48" i="1" s="1"/>
  <c r="A48" i="1" s="1"/>
  <c r="AC48" i="1" s="1"/>
  <c r="AE47" i="1"/>
  <c r="X47" i="1"/>
  <c r="I47" i="1"/>
  <c r="H47" i="1"/>
  <c r="B47" i="1"/>
  <c r="G47" i="1" s="1"/>
  <c r="A47" i="1" s="1"/>
  <c r="AC47" i="1" s="1"/>
  <c r="AE46" i="1"/>
  <c r="X46" i="1"/>
  <c r="I46" i="1"/>
  <c r="H46" i="1"/>
  <c r="B46" i="1"/>
  <c r="G46" i="1" s="1"/>
  <c r="A46" i="1" s="1"/>
  <c r="AC46" i="1" s="1"/>
  <c r="AE45" i="1"/>
  <c r="X45" i="1"/>
  <c r="I45" i="1"/>
  <c r="H45" i="1"/>
  <c r="B45" i="1"/>
  <c r="G45" i="1" s="1"/>
  <c r="A45" i="1" s="1"/>
  <c r="AC45" i="1" s="1"/>
  <c r="AE44" i="1"/>
  <c r="X44" i="1"/>
  <c r="I44" i="1"/>
  <c r="H44" i="1"/>
  <c r="AE43" i="1"/>
  <c r="AB43" i="1"/>
  <c r="S43" i="1" s="1"/>
  <c r="X43" i="1"/>
  <c r="V43" i="1"/>
  <c r="W43" i="1" s="1"/>
  <c r="I43" i="1"/>
  <c r="H43" i="1"/>
  <c r="B43" i="1"/>
  <c r="G43" i="1" s="1"/>
  <c r="A43" i="1" s="1"/>
  <c r="AC43" i="1" s="1"/>
  <c r="AE42" i="1"/>
  <c r="X42" i="1"/>
  <c r="I42" i="1"/>
  <c r="H42" i="1"/>
  <c r="B42" i="1"/>
  <c r="G42" i="1" s="1"/>
  <c r="A42" i="1" s="1"/>
  <c r="AC42" i="1" s="1"/>
  <c r="AE41" i="1"/>
  <c r="X41" i="1"/>
  <c r="I41" i="1"/>
  <c r="H41" i="1"/>
  <c r="AE40" i="1"/>
  <c r="AB40" i="1"/>
  <c r="S40" i="1" s="1"/>
  <c r="X40" i="1"/>
  <c r="V40" i="1"/>
  <c r="W40" i="1" s="1"/>
  <c r="I40" i="1"/>
  <c r="H40" i="1"/>
  <c r="B40" i="1"/>
  <c r="G40" i="1" s="1"/>
  <c r="A40" i="1" s="1"/>
  <c r="AC40" i="1" s="1"/>
  <c r="AE39" i="1"/>
  <c r="X39" i="1"/>
  <c r="I39" i="1"/>
  <c r="H39" i="1"/>
  <c r="AE38" i="1"/>
  <c r="AB38" i="1"/>
  <c r="S38" i="1" s="1"/>
  <c r="X38" i="1"/>
  <c r="V38" i="1"/>
  <c r="W38" i="1" s="1"/>
  <c r="I38" i="1"/>
  <c r="H38" i="1"/>
  <c r="B38" i="1"/>
  <c r="G38" i="1" s="1"/>
  <c r="A38" i="1" s="1"/>
  <c r="AC38" i="1" s="1"/>
  <c r="AE37" i="1"/>
  <c r="X37" i="1"/>
  <c r="I37" i="1"/>
  <c r="H37" i="1"/>
  <c r="B37" i="1"/>
  <c r="G37" i="1" s="1"/>
  <c r="A37" i="1" s="1"/>
  <c r="AC37" i="1" s="1"/>
  <c r="AE36" i="1"/>
  <c r="X36" i="1"/>
  <c r="I36" i="1"/>
  <c r="H36" i="1"/>
  <c r="AE35" i="1"/>
  <c r="AB35" i="1"/>
  <c r="S35" i="1" s="1"/>
  <c r="X35" i="1"/>
  <c r="V35" i="1"/>
  <c r="W35" i="1" s="1"/>
  <c r="I35" i="1"/>
  <c r="H35" i="1"/>
  <c r="B35" i="1"/>
  <c r="G35" i="1" s="1"/>
  <c r="A35" i="1" s="1"/>
  <c r="AC35" i="1" s="1"/>
  <c r="AE34" i="1"/>
  <c r="X34" i="1"/>
  <c r="I34" i="1"/>
  <c r="H34" i="1"/>
  <c r="AE33" i="1"/>
  <c r="AB33" i="1"/>
  <c r="S33" i="1" s="1"/>
  <c r="X33" i="1"/>
  <c r="V33" i="1"/>
  <c r="W33" i="1" s="1"/>
  <c r="I33" i="1"/>
  <c r="H33" i="1"/>
  <c r="B33" i="1"/>
  <c r="G33" i="1" s="1"/>
  <c r="A33" i="1" s="1"/>
  <c r="AC33" i="1" s="1"/>
  <c r="AE32" i="1"/>
  <c r="X32" i="1"/>
  <c r="I32" i="1"/>
  <c r="H32" i="1"/>
  <c r="B32" i="1"/>
  <c r="G32" i="1" s="1"/>
  <c r="A32" i="1" s="1"/>
  <c r="AC32" i="1" s="1"/>
  <c r="AE31" i="1"/>
  <c r="X31" i="1"/>
  <c r="I31" i="1"/>
  <c r="H31" i="1"/>
  <c r="AE30" i="1"/>
  <c r="AB30" i="1"/>
  <c r="S30" i="1" s="1"/>
  <c r="X30" i="1"/>
  <c r="V30" i="1"/>
  <c r="W30" i="1" s="1"/>
  <c r="I30" i="1"/>
  <c r="H30" i="1"/>
  <c r="B30" i="1"/>
  <c r="G30" i="1" s="1"/>
  <c r="A30" i="1" s="1"/>
  <c r="AC30" i="1" s="1"/>
  <c r="AE29" i="1"/>
  <c r="X29" i="1"/>
  <c r="I29" i="1"/>
  <c r="H29" i="1"/>
  <c r="AE28" i="1"/>
  <c r="AB28" i="1"/>
  <c r="S28" i="1" s="1"/>
  <c r="X28" i="1"/>
  <c r="V28" i="1"/>
  <c r="W28" i="1" s="1"/>
  <c r="I28" i="1"/>
  <c r="H28" i="1"/>
  <c r="B28" i="1"/>
  <c r="G28" i="1" s="1"/>
  <c r="A28" i="1" s="1"/>
  <c r="AC28" i="1" s="1"/>
  <c r="AE27" i="1"/>
  <c r="X27" i="1"/>
  <c r="I27" i="1"/>
  <c r="H27" i="1"/>
  <c r="AE26" i="1"/>
  <c r="AB26" i="1"/>
  <c r="S26" i="1" s="1"/>
  <c r="X26" i="1"/>
  <c r="V26" i="1"/>
  <c r="W26" i="1" s="1"/>
  <c r="I26" i="1"/>
  <c r="H26" i="1"/>
  <c r="B26" i="1"/>
  <c r="G26" i="1" s="1"/>
  <c r="A26" i="1" s="1"/>
  <c r="AC26" i="1" s="1"/>
  <c r="AE25" i="1"/>
  <c r="X25" i="1"/>
  <c r="I25" i="1"/>
  <c r="H25" i="1"/>
  <c r="B25" i="1"/>
  <c r="G25" i="1" s="1"/>
  <c r="A25" i="1" s="1"/>
  <c r="AC25" i="1" s="1"/>
  <c r="AE24" i="1"/>
  <c r="X24" i="1"/>
  <c r="I24" i="1"/>
  <c r="H24" i="1"/>
  <c r="AE23" i="1"/>
  <c r="AB23" i="1"/>
  <c r="S23" i="1" s="1"/>
  <c r="X23" i="1"/>
  <c r="V23" i="1"/>
  <c r="W23" i="1" s="1"/>
  <c r="I23" i="1"/>
  <c r="H23" i="1"/>
  <c r="B23" i="1"/>
  <c r="G23" i="1" s="1"/>
  <c r="A23" i="1" s="1"/>
  <c r="AC23" i="1" s="1"/>
  <c r="AE22" i="1"/>
  <c r="X22" i="1"/>
  <c r="I22" i="1"/>
  <c r="H22" i="1"/>
  <c r="AE21" i="1"/>
  <c r="AB21" i="1"/>
  <c r="S21" i="1" s="1"/>
  <c r="X21" i="1"/>
  <c r="V21" i="1"/>
  <c r="W21" i="1" s="1"/>
  <c r="I21" i="1"/>
  <c r="H21" i="1"/>
  <c r="B21" i="1"/>
  <c r="G21" i="1" s="1"/>
  <c r="A21" i="1" s="1"/>
  <c r="AC21" i="1" s="1"/>
  <c r="AE20" i="1"/>
  <c r="X20" i="1"/>
  <c r="I20" i="1"/>
  <c r="H20" i="1"/>
  <c r="AE19" i="1"/>
  <c r="AB19" i="1"/>
  <c r="S19" i="1" s="1"/>
  <c r="X19" i="1"/>
  <c r="V19" i="1"/>
  <c r="W19" i="1" s="1"/>
  <c r="I19" i="1"/>
  <c r="H19" i="1"/>
  <c r="B19" i="1"/>
  <c r="G19" i="1" s="1"/>
  <c r="A19" i="1" s="1"/>
  <c r="AC19" i="1" s="1"/>
  <c r="AE18" i="1"/>
  <c r="X18" i="1"/>
  <c r="I18" i="1"/>
  <c r="H18" i="1"/>
  <c r="B18" i="1"/>
  <c r="G18" i="1" s="1"/>
  <c r="A18" i="1" s="1"/>
  <c r="AC18" i="1" s="1"/>
  <c r="AE17" i="1"/>
  <c r="X17" i="1"/>
  <c r="I17" i="1"/>
  <c r="H17" i="1"/>
  <c r="AE16" i="1"/>
  <c r="AB16" i="1"/>
  <c r="S16" i="1" s="1"/>
  <c r="X16" i="1"/>
  <c r="V16" i="1"/>
  <c r="W16" i="1" s="1"/>
  <c r="I16" i="1"/>
  <c r="H16" i="1"/>
  <c r="B16" i="1"/>
  <c r="G16" i="1" s="1"/>
  <c r="A16" i="1" s="1"/>
  <c r="AC16" i="1" s="1"/>
  <c r="AE15" i="1"/>
  <c r="X15" i="1"/>
  <c r="I15" i="1"/>
  <c r="H15" i="1"/>
  <c r="B15" i="1"/>
  <c r="G15" i="1" s="1"/>
  <c r="A15" i="1" s="1"/>
  <c r="AC15" i="1" s="1"/>
  <c r="AE14" i="1"/>
  <c r="X14" i="1"/>
  <c r="I14" i="1"/>
  <c r="H14" i="1"/>
  <c r="AE13" i="1"/>
  <c r="AB13" i="1"/>
  <c r="S13" i="1" s="1"/>
  <c r="X13" i="1"/>
  <c r="V13" i="1"/>
  <c r="W13" i="1" s="1"/>
  <c r="I13" i="1"/>
  <c r="H13" i="1"/>
  <c r="B13" i="1"/>
  <c r="G13" i="1" s="1"/>
  <c r="A13" i="1" s="1"/>
  <c r="AC13" i="1" s="1"/>
  <c r="AE12" i="1"/>
  <c r="X12" i="1"/>
  <c r="I12" i="1"/>
  <c r="H12" i="1"/>
  <c r="B12" i="1"/>
  <c r="G12" i="1" s="1"/>
  <c r="A12" i="1" s="1"/>
  <c r="AC12" i="1" s="1"/>
  <c r="AE11" i="1"/>
  <c r="X11" i="1"/>
  <c r="I11" i="1"/>
  <c r="H11" i="1"/>
  <c r="AE10" i="1"/>
  <c r="AB10" i="1"/>
  <c r="S10" i="1" s="1"/>
  <c r="X10" i="1"/>
  <c r="V10" i="1"/>
  <c r="W10" i="1" s="1"/>
  <c r="I10" i="1"/>
  <c r="H10" i="1"/>
  <c r="B10" i="1"/>
  <c r="G10" i="1" s="1"/>
  <c r="A10" i="1" s="1"/>
  <c r="AC10" i="1" s="1"/>
  <c r="AE9" i="1"/>
  <c r="X9" i="1"/>
  <c r="I9" i="1"/>
  <c r="H9" i="1"/>
  <c r="AE8" i="1"/>
  <c r="AB8" i="1"/>
  <c r="S8" i="1" s="1"/>
  <c r="X8" i="1"/>
  <c r="V8" i="1"/>
  <c r="W8" i="1" s="1"/>
  <c r="I8" i="1"/>
  <c r="H8" i="1"/>
  <c r="G8" i="1"/>
  <c r="A8" i="1" s="1"/>
  <c r="AC8" i="1" s="1"/>
  <c r="B8" i="1"/>
  <c r="AE7" i="1"/>
  <c r="X7" i="1"/>
  <c r="I7" i="1"/>
  <c r="H7" i="1"/>
  <c r="B7" i="1"/>
  <c r="G7" i="1" s="1"/>
  <c r="A7" i="1" s="1"/>
  <c r="AC7" i="1" s="1"/>
  <c r="AE6" i="1"/>
  <c r="X6" i="1"/>
  <c r="I6" i="1"/>
  <c r="H6" i="1"/>
  <c r="B6" i="1"/>
  <c r="G6" i="1" s="1"/>
  <c r="A6" i="1" s="1"/>
  <c r="AC6" i="1" s="1"/>
  <c r="AE5" i="1"/>
  <c r="X5" i="1"/>
  <c r="I5" i="1"/>
  <c r="H5" i="1"/>
  <c r="AE4" i="1"/>
  <c r="AB4" i="1"/>
  <c r="S4" i="1" s="1"/>
  <c r="X4" i="1"/>
  <c r="V4" i="1"/>
  <c r="W4" i="1" s="1"/>
  <c r="I4" i="1"/>
  <c r="H4" i="1"/>
  <c r="B4" i="1"/>
  <c r="G4" i="1" s="1"/>
  <c r="A4" i="1" s="1"/>
  <c r="AC4" i="1" s="1"/>
  <c r="AE3" i="1"/>
  <c r="X3" i="1"/>
  <c r="I3" i="1"/>
  <c r="H3" i="1"/>
  <c r="B3" i="1"/>
  <c r="G3" i="1" s="1"/>
  <c r="A3" i="1" s="1"/>
  <c r="V3" i="1" s="1"/>
  <c r="V165" i="1"/>
  <c r="V166" i="1" s="1"/>
  <c r="V167" i="1" s="1"/>
  <c r="V162" i="1"/>
  <c r="Z120" i="1" l="1"/>
  <c r="Y120" i="1"/>
  <c r="Y159" i="1"/>
  <c r="Z159" i="1"/>
  <c r="Y160" i="1"/>
  <c r="Z160" i="1"/>
  <c r="Z162" i="1"/>
  <c r="Y162" i="1"/>
  <c r="Z164" i="1"/>
  <c r="Y164" i="1"/>
  <c r="AA164" i="1" s="1"/>
  <c r="AB164" i="1" s="1"/>
  <c r="S164" i="1" s="1"/>
  <c r="Y166" i="1"/>
  <c r="Z166" i="1"/>
  <c r="Z168" i="1"/>
  <c r="Y168" i="1"/>
  <c r="Z170" i="1"/>
  <c r="Y170" i="1"/>
  <c r="Y172" i="1"/>
  <c r="Z172" i="1"/>
  <c r="Z174" i="1"/>
  <c r="Y174" i="1"/>
  <c r="Z176" i="1"/>
  <c r="Y176" i="1"/>
  <c r="Y178" i="1"/>
  <c r="Z178" i="1"/>
  <c r="Z180" i="1"/>
  <c r="Y180" i="1"/>
  <c r="Y182" i="1"/>
  <c r="Z182" i="1"/>
  <c r="Z184" i="1"/>
  <c r="Y184" i="1"/>
  <c r="Z186" i="1"/>
  <c r="Y186" i="1"/>
  <c r="Y188" i="1"/>
  <c r="Z188" i="1"/>
  <c r="Z190" i="1"/>
  <c r="Y190" i="1"/>
  <c r="Y192" i="1"/>
  <c r="Z192" i="1"/>
  <c r="Z194" i="1"/>
  <c r="Y194" i="1"/>
  <c r="Z196" i="1"/>
  <c r="Y196" i="1"/>
  <c r="Y198" i="1"/>
  <c r="Z198" i="1"/>
  <c r="Z200" i="1"/>
  <c r="Y200" i="1"/>
  <c r="Z202" i="1"/>
  <c r="Y202" i="1"/>
  <c r="Y204" i="1"/>
  <c r="Z204" i="1"/>
  <c r="Z206" i="1"/>
  <c r="Y206" i="1"/>
  <c r="Y208" i="1"/>
  <c r="Z208" i="1"/>
  <c r="Z210" i="1"/>
  <c r="Y210" i="1"/>
  <c r="Y212" i="1"/>
  <c r="Z212" i="1"/>
  <c r="Z214" i="1"/>
  <c r="Y214" i="1"/>
  <c r="Z158" i="1"/>
  <c r="Y158" i="1"/>
  <c r="AA158" i="1" s="1"/>
  <c r="Y161" i="1"/>
  <c r="AA161" i="1" s="1"/>
  <c r="AB161" i="1" s="1"/>
  <c r="S161" i="1" s="1"/>
  <c r="Z161" i="1"/>
  <c r="Y163" i="1"/>
  <c r="Z163" i="1"/>
  <c r="Y165" i="1"/>
  <c r="Z165" i="1"/>
  <c r="Y167" i="1"/>
  <c r="Z167" i="1"/>
  <c r="Y169" i="1"/>
  <c r="Z169" i="1"/>
  <c r="Y171" i="1"/>
  <c r="Z171" i="1"/>
  <c r="Y173" i="1"/>
  <c r="Z173" i="1"/>
  <c r="Z175" i="1"/>
  <c r="Y175" i="1"/>
  <c r="Y177" i="1"/>
  <c r="Z177" i="1"/>
  <c r="Y179" i="1"/>
  <c r="Z179" i="1"/>
  <c r="Y181" i="1"/>
  <c r="Z181" i="1"/>
  <c r="Y183" i="1"/>
  <c r="Z183" i="1"/>
  <c r="Y185" i="1"/>
  <c r="Z185" i="1"/>
  <c r="Y187" i="1"/>
  <c r="Z187" i="1"/>
  <c r="Y189" i="1"/>
  <c r="Z189" i="1"/>
  <c r="Y191" i="1"/>
  <c r="Z191" i="1"/>
  <c r="Y193" i="1"/>
  <c r="Z193" i="1"/>
  <c r="Y195" i="1"/>
  <c r="Z195" i="1"/>
  <c r="Y197" i="1"/>
  <c r="Z197" i="1"/>
  <c r="Y199" i="1"/>
  <c r="Z199" i="1"/>
  <c r="Y201" i="1"/>
  <c r="Z201" i="1"/>
  <c r="Y203" i="1"/>
  <c r="Z203" i="1"/>
  <c r="Y205" i="1"/>
  <c r="Z205" i="1"/>
  <c r="Y207" i="1"/>
  <c r="Z207" i="1"/>
  <c r="Z209" i="1"/>
  <c r="Y209" i="1"/>
  <c r="Y211" i="1"/>
  <c r="Z211" i="1"/>
  <c r="Y213" i="1"/>
  <c r="Z213" i="1"/>
  <c r="Y215" i="1"/>
  <c r="Z215" i="1"/>
  <c r="AB68" i="1"/>
  <c r="S68" i="1" s="1"/>
  <c r="B5" i="1"/>
  <c r="G5" i="1" s="1"/>
  <c r="A5" i="1" s="1"/>
  <c r="V5" i="1" s="1"/>
  <c r="AB5" i="1"/>
  <c r="S5" i="1" s="1"/>
  <c r="AB7" i="1"/>
  <c r="S7" i="1" s="1"/>
  <c r="AB9" i="1"/>
  <c r="S9" i="1" s="1"/>
  <c r="AB22" i="1"/>
  <c r="S22" i="1" s="1"/>
  <c r="AB29" i="1"/>
  <c r="S29" i="1" s="1"/>
  <c r="AB36" i="1"/>
  <c r="S36" i="1" s="1"/>
  <c r="AB37" i="1"/>
  <c r="S37" i="1" s="1"/>
  <c r="AB39" i="1"/>
  <c r="S39" i="1" s="1"/>
  <c r="AB44" i="1"/>
  <c r="S44" i="1" s="1"/>
  <c r="AB45" i="1"/>
  <c r="S45" i="1" s="1"/>
  <c r="AB48" i="1"/>
  <c r="S48" i="1" s="1"/>
  <c r="AB50" i="1"/>
  <c r="S50" i="1" s="1"/>
  <c r="AB53" i="1"/>
  <c r="S53" i="1" s="1"/>
  <c r="AB55" i="1"/>
  <c r="S55" i="1" s="1"/>
  <c r="AB59" i="1"/>
  <c r="S59" i="1" s="1"/>
  <c r="AB60" i="1"/>
  <c r="S60" i="1" s="1"/>
  <c r="AB62" i="1"/>
  <c r="S62" i="1" s="1"/>
  <c r="AB64" i="1"/>
  <c r="S64" i="1" s="1"/>
  <c r="AB66" i="1"/>
  <c r="S66" i="1" s="1"/>
  <c r="AB70" i="1"/>
  <c r="S70" i="1" s="1"/>
  <c r="AB71" i="1"/>
  <c r="S71" i="1" s="1"/>
  <c r="AB72" i="1"/>
  <c r="S72" i="1" s="1"/>
  <c r="AB74" i="1"/>
  <c r="S74" i="1" s="1"/>
  <c r="AB79" i="1"/>
  <c r="S79" i="1" s="1"/>
  <c r="AB84" i="1"/>
  <c r="S84" i="1" s="1"/>
  <c r="AB89" i="1"/>
  <c r="S89" i="1" s="1"/>
  <c r="AB90" i="1"/>
  <c r="S90" i="1" s="1"/>
  <c r="AB100" i="1"/>
  <c r="S100" i="1" s="1"/>
  <c r="AB3" i="1"/>
  <c r="S3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AB6" i="1"/>
  <c r="S6" i="1" s="1"/>
  <c r="AB11" i="1"/>
  <c r="S11" i="1" s="1"/>
  <c r="AB12" i="1"/>
  <c r="S12" i="1" s="1"/>
  <c r="AB14" i="1"/>
  <c r="S14" i="1" s="1"/>
  <c r="AB15" i="1"/>
  <c r="S15" i="1" s="1"/>
  <c r="AB17" i="1"/>
  <c r="S17" i="1" s="1"/>
  <c r="AB18" i="1"/>
  <c r="S18" i="1" s="1"/>
  <c r="AB20" i="1"/>
  <c r="S20" i="1" s="1"/>
  <c r="AB24" i="1"/>
  <c r="S24" i="1" s="1"/>
  <c r="AB25" i="1"/>
  <c r="S25" i="1" s="1"/>
  <c r="AB27" i="1"/>
  <c r="S27" i="1" s="1"/>
  <c r="AB31" i="1"/>
  <c r="S31" i="1" s="1"/>
  <c r="AB32" i="1"/>
  <c r="S32" i="1" s="1"/>
  <c r="AB34" i="1"/>
  <c r="S34" i="1" s="1"/>
  <c r="AB41" i="1"/>
  <c r="S41" i="1" s="1"/>
  <c r="AB42" i="1"/>
  <c r="S42" i="1" s="1"/>
  <c r="AB46" i="1"/>
  <c r="S46" i="1" s="1"/>
  <c r="AB47" i="1"/>
  <c r="S47" i="1" s="1"/>
  <c r="AB49" i="1"/>
  <c r="S49" i="1" s="1"/>
  <c r="AB51" i="1"/>
  <c r="S51" i="1" s="1"/>
  <c r="AB52" i="1"/>
  <c r="S52" i="1" s="1"/>
  <c r="AB57" i="1"/>
  <c r="S57" i="1" s="1"/>
  <c r="AB61" i="1"/>
  <c r="S61" i="1" s="1"/>
  <c r="AB63" i="1"/>
  <c r="S63" i="1" s="1"/>
  <c r="B9" i="1"/>
  <c r="G9" i="1" s="1"/>
  <c r="A9" i="1" s="1"/>
  <c r="V9" i="1" s="1"/>
  <c r="AB69" i="1"/>
  <c r="S69" i="1" s="1"/>
  <c r="AB76" i="1"/>
  <c r="S76" i="1" s="1"/>
  <c r="AB81" i="1"/>
  <c r="S81" i="1" s="1"/>
  <c r="AB82" i="1"/>
  <c r="S82" i="1" s="1"/>
  <c r="X83" i="1"/>
  <c r="AB85" i="1"/>
  <c r="S85" i="1" s="1"/>
  <c r="AB87" i="1"/>
  <c r="S87" i="1" s="1"/>
  <c r="AB91" i="1"/>
  <c r="S91" i="1" s="1"/>
  <c r="AB92" i="1"/>
  <c r="S92" i="1" s="1"/>
  <c r="AB93" i="1"/>
  <c r="S93" i="1" s="1"/>
  <c r="AB94" i="1"/>
  <c r="S94" i="1" s="1"/>
  <c r="AB95" i="1"/>
  <c r="S95" i="1" s="1"/>
  <c r="AB96" i="1"/>
  <c r="S96" i="1" s="1"/>
  <c r="AB97" i="1"/>
  <c r="S97" i="1" s="1"/>
  <c r="AB98" i="1"/>
  <c r="S98" i="1" s="1"/>
  <c r="AB101" i="1"/>
  <c r="S101" i="1" s="1"/>
  <c r="AB102" i="1"/>
  <c r="S102" i="1" s="1"/>
  <c r="AB111" i="1"/>
  <c r="S111" i="1" s="1"/>
  <c r="AB104" i="1"/>
  <c r="S104" i="1" s="1"/>
  <c r="AB105" i="1"/>
  <c r="S105" i="1" s="1"/>
  <c r="AB108" i="1"/>
  <c r="S108" i="1" s="1"/>
  <c r="AB118" i="1"/>
  <c r="S118" i="1" s="1"/>
  <c r="C58" i="5"/>
  <c r="I58" i="5" s="1"/>
  <c r="AB137" i="1"/>
  <c r="S137" i="1" s="1"/>
  <c r="AB139" i="1"/>
  <c r="S139" i="1" s="1"/>
  <c r="AB143" i="1"/>
  <c r="S143" i="1" s="1"/>
  <c r="AB145" i="1"/>
  <c r="S145" i="1" s="1"/>
  <c r="AB153" i="1"/>
  <c r="S153" i="1" s="1"/>
  <c r="AB158" i="1"/>
  <c r="S158" i="1" s="1"/>
  <c r="AB156" i="1"/>
  <c r="S156" i="1" s="1"/>
  <c r="AB151" i="1"/>
  <c r="S151" i="1" s="1"/>
  <c r="AB152" i="1"/>
  <c r="S152" i="1" s="1"/>
  <c r="AB154" i="1"/>
  <c r="S154" i="1" s="1"/>
  <c r="AB149" i="1"/>
  <c r="S149" i="1" s="1"/>
  <c r="AB147" i="1"/>
  <c r="S147" i="1" s="1"/>
  <c r="AB142" i="1"/>
  <c r="S142" i="1" s="1"/>
  <c r="AB144" i="1"/>
  <c r="S144" i="1" s="1"/>
  <c r="AB136" i="1"/>
  <c r="S136" i="1" s="1"/>
  <c r="AB138" i="1"/>
  <c r="S138" i="1" s="1"/>
  <c r="AB140" i="1"/>
  <c r="S140" i="1" s="1"/>
  <c r="AB134" i="1"/>
  <c r="S134" i="1" s="1"/>
  <c r="AB132" i="1"/>
  <c r="S132" i="1" s="1"/>
  <c r="C7" i="5"/>
  <c r="I7" i="5" s="1"/>
  <c r="C21" i="5"/>
  <c r="I21" i="5" s="1"/>
  <c r="C6" i="5"/>
  <c r="I6" i="5" s="1"/>
  <c r="C12" i="5"/>
  <c r="I12" i="5" s="1"/>
  <c r="C47" i="5"/>
  <c r="I47" i="5" s="1"/>
  <c r="AB130" i="1"/>
  <c r="S130" i="1" s="1"/>
  <c r="AB124" i="1"/>
  <c r="S124" i="1" s="1"/>
  <c r="AB126" i="1"/>
  <c r="S126" i="1" s="1"/>
  <c r="AB128" i="1"/>
  <c r="S128" i="1" s="1"/>
  <c r="AB122" i="1"/>
  <c r="S122" i="1" s="1"/>
  <c r="AB119" i="1"/>
  <c r="S119" i="1" s="1"/>
  <c r="AB121" i="1"/>
  <c r="S121" i="1" s="1"/>
  <c r="AB123" i="1"/>
  <c r="S123" i="1" s="1"/>
  <c r="AB125" i="1"/>
  <c r="S125" i="1" s="1"/>
  <c r="AB127" i="1"/>
  <c r="S127" i="1" s="1"/>
  <c r="AB129" i="1"/>
  <c r="S129" i="1" s="1"/>
  <c r="C50" i="5"/>
  <c r="I50" i="5" s="1"/>
  <c r="AB110" i="1"/>
  <c r="C33" i="5"/>
  <c r="I33" i="5" s="1"/>
  <c r="C35" i="5"/>
  <c r="I35" i="5" s="1"/>
  <c r="C43" i="5"/>
  <c r="I43" i="5" s="1"/>
  <c r="C32" i="5"/>
  <c r="I32" i="5" s="1"/>
  <c r="C34" i="5"/>
  <c r="I34" i="5" s="1"/>
  <c r="AB116" i="1"/>
  <c r="S116" i="1" s="1"/>
  <c r="AB114" i="1"/>
  <c r="S114" i="1" s="1"/>
  <c r="AB113" i="1"/>
  <c r="S113" i="1" s="1"/>
  <c r="AB115" i="1"/>
  <c r="S115" i="1" s="1"/>
  <c r="AB107" i="1"/>
  <c r="S107" i="1" s="1"/>
  <c r="AB109" i="1"/>
  <c r="S109" i="1" s="1"/>
  <c r="F51" i="5"/>
  <c r="C2" i="5"/>
  <c r="F3" i="5"/>
  <c r="H3" i="5"/>
  <c r="E4" i="5"/>
  <c r="D4" i="5" s="1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G42" i="5"/>
  <c r="K42" i="5" s="1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E3" i="5"/>
  <c r="D3" i="5" s="1"/>
  <c r="G3" i="5"/>
  <c r="K3" i="5" s="1"/>
  <c r="F4" i="5"/>
  <c r="H4" i="5"/>
  <c r="G5" i="5"/>
  <c r="K5" i="5" s="1"/>
  <c r="F6" i="5"/>
  <c r="H6" i="5"/>
  <c r="E7" i="5"/>
  <c r="D7" i="5" s="1"/>
  <c r="G7" i="5"/>
  <c r="K7" i="5" s="1"/>
  <c r="F8" i="5"/>
  <c r="H8" i="5"/>
  <c r="E9" i="5"/>
  <c r="D9" i="5" s="1"/>
  <c r="G9" i="5"/>
  <c r="K9" i="5" s="1"/>
  <c r="F10" i="5"/>
  <c r="H10" i="5"/>
  <c r="G11" i="5"/>
  <c r="K11" i="5" s="1"/>
  <c r="F12" i="5"/>
  <c r="H12" i="5"/>
  <c r="G13" i="5"/>
  <c r="K13" i="5" s="1"/>
  <c r="F14" i="5"/>
  <c r="H14" i="5"/>
  <c r="E15" i="5"/>
  <c r="D15" i="5" s="1"/>
  <c r="G15" i="5"/>
  <c r="K15" i="5" s="1"/>
  <c r="F16" i="5"/>
  <c r="H16" i="5"/>
  <c r="G17" i="5"/>
  <c r="K17" i="5" s="1"/>
  <c r="F18" i="5"/>
  <c r="H18" i="5"/>
  <c r="E19" i="5"/>
  <c r="D19" i="5" s="1"/>
  <c r="G19" i="5"/>
  <c r="K19" i="5" s="1"/>
  <c r="F20" i="5"/>
  <c r="H20" i="5"/>
  <c r="F22" i="5"/>
  <c r="H22" i="5"/>
  <c r="E23" i="5"/>
  <c r="D23" i="5" s="1"/>
  <c r="G23" i="5"/>
  <c r="K23" i="5" s="1"/>
  <c r="F24" i="5"/>
  <c r="H24" i="5"/>
  <c r="E25" i="5"/>
  <c r="D25" i="5" s="1"/>
  <c r="F26" i="5"/>
  <c r="H26" i="5"/>
  <c r="E27" i="5"/>
  <c r="D27" i="5" s="1"/>
  <c r="G27" i="5"/>
  <c r="K27" i="5" s="1"/>
  <c r="F28" i="5"/>
  <c r="H28" i="5"/>
  <c r="E29" i="5"/>
  <c r="D29" i="5" s="1"/>
  <c r="F30" i="5"/>
  <c r="H30" i="5"/>
  <c r="E31" i="5"/>
  <c r="D31" i="5" s="1"/>
  <c r="G31" i="5"/>
  <c r="K31" i="5" s="1"/>
  <c r="F32" i="5"/>
  <c r="H32" i="5"/>
  <c r="E33" i="5"/>
  <c r="D33" i="5" s="1"/>
  <c r="F34" i="5"/>
  <c r="H34" i="5"/>
  <c r="F36" i="5"/>
  <c r="H36" i="5"/>
  <c r="E37" i="5"/>
  <c r="D37" i="5" s="1"/>
  <c r="F38" i="5"/>
  <c r="H38" i="5"/>
  <c r="E39" i="5"/>
  <c r="D39" i="5" s="1"/>
  <c r="G39" i="5"/>
  <c r="K39" i="5" s="1"/>
  <c r="F40" i="5"/>
  <c r="H40" i="5"/>
  <c r="E41" i="5"/>
  <c r="D41" i="5" s="1"/>
  <c r="F42" i="5"/>
  <c r="H42" i="5"/>
  <c r="E43" i="5"/>
  <c r="D43" i="5" s="1"/>
  <c r="F44" i="5"/>
  <c r="H44" i="5"/>
  <c r="E45" i="5"/>
  <c r="D45" i="5" s="1"/>
  <c r="G45" i="5"/>
  <c r="K45" i="5" s="1"/>
  <c r="F46" i="5"/>
  <c r="H46" i="5"/>
  <c r="E47" i="5"/>
  <c r="D47" i="5" s="1"/>
  <c r="G47" i="5"/>
  <c r="K47" i="5" s="1"/>
  <c r="F48" i="5"/>
  <c r="H48" i="5"/>
  <c r="E49" i="5"/>
  <c r="D49" i="5" s="1"/>
  <c r="G49" i="5"/>
  <c r="K49" i="5" s="1"/>
  <c r="F50" i="5"/>
  <c r="H50" i="5"/>
  <c r="I51" i="5"/>
  <c r="G51" i="5"/>
  <c r="K51" i="5" s="1"/>
  <c r="E51" i="5"/>
  <c r="D51" i="5" s="1"/>
  <c r="H51" i="5"/>
  <c r="G53" i="5"/>
  <c r="K53" i="5" s="1"/>
  <c r="E55" i="5"/>
  <c r="D55" i="5" s="1"/>
  <c r="G55" i="5"/>
  <c r="K55" i="5" s="1"/>
  <c r="G57" i="5"/>
  <c r="K57" i="5" s="1"/>
  <c r="E59" i="5"/>
  <c r="D59" i="5" s="1"/>
  <c r="G59" i="5"/>
  <c r="K59" i="5" s="1"/>
  <c r="G61" i="5"/>
  <c r="K61" i="5" s="1"/>
  <c r="E63" i="5"/>
  <c r="D63" i="5" s="1"/>
  <c r="G63" i="5"/>
  <c r="K63" i="5" s="1"/>
  <c r="G65" i="5"/>
  <c r="K65" i="5" s="1"/>
  <c r="E67" i="5"/>
  <c r="D67" i="5" s="1"/>
  <c r="G67" i="5"/>
  <c r="K67" i="5" s="1"/>
  <c r="G69" i="5"/>
  <c r="K69" i="5" s="1"/>
  <c r="G52" i="5"/>
  <c r="K52" i="5" s="1"/>
  <c r="E54" i="5"/>
  <c r="D54" i="5" s="1"/>
  <c r="G54" i="5"/>
  <c r="K54" i="5" s="1"/>
  <c r="G56" i="5"/>
  <c r="K56" i="5" s="1"/>
  <c r="E58" i="5"/>
  <c r="D58" i="5" s="1"/>
  <c r="G58" i="5"/>
  <c r="K58" i="5" s="1"/>
  <c r="E60" i="5"/>
  <c r="D60" i="5" s="1"/>
  <c r="G60" i="5"/>
  <c r="K60" i="5" s="1"/>
  <c r="G62" i="5"/>
  <c r="K62" i="5" s="1"/>
  <c r="E64" i="5"/>
  <c r="D64" i="5" s="1"/>
  <c r="G64" i="5"/>
  <c r="K64" i="5" s="1"/>
  <c r="G66" i="5"/>
  <c r="K66" i="5" s="1"/>
  <c r="E68" i="5"/>
  <c r="D68" i="5" s="1"/>
  <c r="G68" i="5"/>
  <c r="K68" i="5" s="1"/>
  <c r="V6" i="1"/>
  <c r="V7" i="1" s="1"/>
  <c r="E66" i="5" l="1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G37" i="5"/>
  <c r="K37" i="5" s="1"/>
  <c r="G35" i="5"/>
  <c r="K35" i="5" s="1"/>
  <c r="G29" i="5"/>
  <c r="K29" i="5" s="1"/>
  <c r="G25" i="5"/>
  <c r="K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67" i="1"/>
  <c r="AB167" i="1" s="1"/>
  <c r="S167" i="1" s="1"/>
  <c r="AA165" i="1"/>
  <c r="AB165" i="1" s="1"/>
  <c r="S165" i="1" s="1"/>
  <c r="AA166" i="1"/>
  <c r="AB166" i="1" s="1"/>
  <c r="S166" i="1" s="1"/>
  <c r="AA120" i="1"/>
  <c r="AB120" i="1" s="1"/>
  <c r="S120" i="1" s="1"/>
  <c r="G48" i="5"/>
  <c r="K48" i="5" s="1"/>
  <c r="E34" i="5"/>
  <c r="D34" i="5" s="1"/>
  <c r="AA162" i="1"/>
  <c r="AB162" i="1" s="1"/>
  <c r="S162" i="1" s="1"/>
  <c r="E44" i="5"/>
  <c r="D44" i="5" s="1"/>
  <c r="G40" i="5"/>
  <c r="K40" i="5" s="1"/>
  <c r="E24" i="5"/>
  <c r="D24" i="5" s="1"/>
  <c r="G18" i="5"/>
  <c r="K18" i="5" s="1"/>
  <c r="G36" i="5"/>
  <c r="K36" i="5" s="1"/>
  <c r="E28" i="5"/>
  <c r="D28" i="5" s="1"/>
  <c r="E12" i="5"/>
  <c r="D12" i="5" s="1"/>
  <c r="G44" i="5"/>
  <c r="K44" i="5" s="1"/>
  <c r="E40" i="5"/>
  <c r="D40" i="5" s="1"/>
  <c r="E36" i="5"/>
  <c r="D36" i="5" s="1"/>
  <c r="G28" i="5"/>
  <c r="K28" i="5" s="1"/>
  <c r="G24" i="5"/>
  <c r="K24" i="5" s="1"/>
  <c r="G14" i="5"/>
  <c r="K14" i="5" s="1"/>
  <c r="E10" i="5"/>
  <c r="D10" i="5" s="1"/>
  <c r="E18" i="5"/>
  <c r="D18" i="5" s="1"/>
  <c r="E14" i="5"/>
  <c r="D14" i="5" s="1"/>
  <c r="G10" i="5"/>
  <c r="K10" i="5" s="1"/>
  <c r="G4" i="5"/>
  <c r="K4" i="5" s="1"/>
  <c r="AA159" i="1"/>
  <c r="AB159" i="1" s="1"/>
  <c r="S159" i="1" s="1"/>
  <c r="G46" i="5"/>
  <c r="K46" i="5" s="1"/>
  <c r="G38" i="5"/>
  <c r="K38" i="5" s="1"/>
  <c r="E26" i="5"/>
  <c r="D26" i="5" s="1"/>
  <c r="E30" i="5"/>
  <c r="D30" i="5" s="1"/>
  <c r="E22" i="5"/>
  <c r="D22" i="5" s="1"/>
  <c r="E16" i="5"/>
  <c r="D16" i="5" s="1"/>
  <c r="G8" i="5"/>
  <c r="K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AB83" i="1"/>
  <c r="S83" i="1" s="1"/>
  <c r="B11" i="1"/>
  <c r="E35" i="5"/>
  <c r="D35" i="5" s="1"/>
  <c r="G21" i="5"/>
  <c r="K21" i="5" s="1"/>
  <c r="J21" i="5" s="1"/>
  <c r="E50" i="5"/>
  <c r="D50" i="5" s="1"/>
  <c r="G6" i="5"/>
  <c r="K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S110" i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68" i="5"/>
  <c r="M68" i="5" s="1"/>
  <c r="J68" i="5"/>
  <c r="L66" i="5"/>
  <c r="M66" i="5" s="1"/>
  <c r="J66" i="5"/>
  <c r="L64" i="5"/>
  <c r="M64" i="5" s="1"/>
  <c r="J64" i="5"/>
  <c r="L62" i="5"/>
  <c r="M62" i="5" s="1"/>
  <c r="J62" i="5"/>
  <c r="L60" i="5"/>
  <c r="M60" i="5" s="1"/>
  <c r="J60" i="5"/>
  <c r="L58" i="5"/>
  <c r="M58" i="5" s="1"/>
  <c r="J58" i="5"/>
  <c r="L56" i="5"/>
  <c r="M56" i="5" s="1"/>
  <c r="J56" i="5"/>
  <c r="L54" i="5"/>
  <c r="M54" i="5" s="1"/>
  <c r="J54" i="5"/>
  <c r="L52" i="5"/>
  <c r="M52" i="5" s="1"/>
  <c r="J52" i="5"/>
  <c r="L69" i="5"/>
  <c r="M69" i="5" s="1"/>
  <c r="J69" i="5"/>
  <c r="L67" i="5"/>
  <c r="M67" i="5" s="1"/>
  <c r="J67" i="5"/>
  <c r="L65" i="5"/>
  <c r="M65" i="5" s="1"/>
  <c r="J65" i="5"/>
  <c r="L63" i="5"/>
  <c r="M63" i="5" s="1"/>
  <c r="J63" i="5"/>
  <c r="L61" i="5"/>
  <c r="M61" i="5" s="1"/>
  <c r="J61" i="5"/>
  <c r="L59" i="5"/>
  <c r="M59" i="5" s="1"/>
  <c r="J59" i="5"/>
  <c r="L57" i="5"/>
  <c r="M57" i="5" s="1"/>
  <c r="J57" i="5"/>
  <c r="L55" i="5"/>
  <c r="M55" i="5" s="1"/>
  <c r="J55" i="5"/>
  <c r="L53" i="5"/>
  <c r="M53" i="5" s="1"/>
  <c r="J53" i="5"/>
  <c r="L51" i="5"/>
  <c r="M51" i="5" s="1"/>
  <c r="J51" i="5"/>
  <c r="L49" i="5"/>
  <c r="M49" i="5" s="1"/>
  <c r="J49" i="5"/>
  <c r="L47" i="5"/>
  <c r="M47" i="5" s="1"/>
  <c r="J47" i="5"/>
  <c r="L45" i="5"/>
  <c r="M45" i="5" s="1"/>
  <c r="J45" i="5"/>
  <c r="L41" i="5"/>
  <c r="M41" i="5" s="1"/>
  <c r="J41" i="5"/>
  <c r="L39" i="5"/>
  <c r="M39" i="5" s="1"/>
  <c r="J39" i="5"/>
  <c r="L37" i="5"/>
  <c r="M37" i="5" s="1"/>
  <c r="J37" i="5"/>
  <c r="L35" i="5"/>
  <c r="M35" i="5" s="1"/>
  <c r="J35" i="5"/>
  <c r="J33" i="5"/>
  <c r="L31" i="5"/>
  <c r="M31" i="5" s="1"/>
  <c r="J31" i="5"/>
  <c r="L29" i="5"/>
  <c r="M29" i="5" s="1"/>
  <c r="J29" i="5"/>
  <c r="L27" i="5"/>
  <c r="M27" i="5" s="1"/>
  <c r="J27" i="5"/>
  <c r="L25" i="5"/>
  <c r="M25" i="5" s="1"/>
  <c r="J25" i="5"/>
  <c r="L23" i="5"/>
  <c r="M23" i="5" s="1"/>
  <c r="J23" i="5"/>
  <c r="L21" i="5"/>
  <c r="M21" i="5" s="1"/>
  <c r="L19" i="5"/>
  <c r="M19" i="5" s="1"/>
  <c r="J19" i="5"/>
  <c r="L17" i="5"/>
  <c r="M17" i="5" s="1"/>
  <c r="J17" i="5"/>
  <c r="L15" i="5"/>
  <c r="M15" i="5" s="1"/>
  <c r="J15" i="5"/>
  <c r="L13" i="5"/>
  <c r="M13" i="5" s="1"/>
  <c r="J13" i="5"/>
  <c r="J11" i="5"/>
  <c r="L11" i="5" s="1"/>
  <c r="M11" i="5" s="1"/>
  <c r="J9" i="5"/>
  <c r="L9" i="5" s="1"/>
  <c r="M9" i="5" s="1"/>
  <c r="J7" i="5"/>
  <c r="L7" i="5" s="1"/>
  <c r="M7" i="5" s="1"/>
  <c r="J5" i="5"/>
  <c r="L5" i="5" s="1"/>
  <c r="M5" i="5" s="1"/>
  <c r="L3" i="5"/>
  <c r="M3" i="5" s="1"/>
  <c r="J3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L48" i="5"/>
  <c r="M48" i="5" s="1"/>
  <c r="J48" i="5"/>
  <c r="L46" i="5"/>
  <c r="M46" i="5" s="1"/>
  <c r="J46" i="5"/>
  <c r="L44" i="5"/>
  <c r="M44" i="5" s="1"/>
  <c r="J44" i="5"/>
  <c r="L42" i="5"/>
  <c r="M42" i="5" s="1"/>
  <c r="J42" i="5"/>
  <c r="L40" i="5"/>
  <c r="M40" i="5" s="1"/>
  <c r="J40" i="5"/>
  <c r="L38" i="5"/>
  <c r="M38" i="5" s="1"/>
  <c r="J38" i="5"/>
  <c r="L36" i="5"/>
  <c r="M36" i="5" s="1"/>
  <c r="J36" i="5"/>
  <c r="J30" i="5"/>
  <c r="L28" i="5"/>
  <c r="M28" i="5" s="1"/>
  <c r="J28" i="5"/>
  <c r="L26" i="5"/>
  <c r="M26" i="5" s="1"/>
  <c r="L24" i="5"/>
  <c r="M24" i="5" s="1"/>
  <c r="J24" i="5"/>
  <c r="L22" i="5"/>
  <c r="M22" i="5" s="1"/>
  <c r="L20" i="5"/>
  <c r="M20" i="5" s="1"/>
  <c r="L18" i="5"/>
  <c r="M18" i="5" s="1"/>
  <c r="J18" i="5"/>
  <c r="J16" i="5"/>
  <c r="L14" i="5"/>
  <c r="M14" i="5" s="1"/>
  <c r="J14" i="5"/>
  <c r="J10" i="5"/>
  <c r="L10" i="5" s="1"/>
  <c r="M10" i="5" s="1"/>
  <c r="J8" i="5"/>
  <c r="L8" i="5" s="1"/>
  <c r="M8" i="5" s="1"/>
  <c r="J6" i="5"/>
  <c r="L6" i="5" s="1"/>
  <c r="M6" i="5" s="1"/>
  <c r="J4" i="5"/>
  <c r="L4" i="5" s="1"/>
  <c r="M4" i="5" s="1"/>
  <c r="I2" i="5"/>
  <c r="G2" i="5"/>
  <c r="K2" i="5" s="1"/>
  <c r="E2" i="5"/>
  <c r="D2" i="5" s="1"/>
  <c r="J12" i="5" l="1"/>
  <c r="G11" i="1"/>
  <c r="A11" i="1" s="1"/>
  <c r="B14" i="1"/>
  <c r="G14" i="1" s="1"/>
  <c r="A14" i="1" s="1"/>
  <c r="V14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15" i="1"/>
  <c r="B17" i="1" l="1"/>
  <c r="B20" i="1"/>
  <c r="G20" i="1" s="1"/>
  <c r="A20" i="1" s="1"/>
  <c r="V20" i="1" s="1"/>
  <c r="V11" i="1"/>
  <c r="V12" i="1"/>
  <c r="G17" i="1" l="1"/>
  <c r="A17" i="1" s="1"/>
  <c r="B22" i="1"/>
  <c r="G22" i="1" l="1"/>
  <c r="A22" i="1" s="1"/>
  <c r="V22" i="1" s="1"/>
  <c r="V17" i="1"/>
  <c r="B24" i="1"/>
  <c r="V18" i="1"/>
  <c r="G24" i="1" l="1"/>
  <c r="A24" i="1" s="1"/>
  <c r="B27" i="1"/>
  <c r="V24" i="1" l="1"/>
  <c r="G27" i="1"/>
  <c r="A27" i="1" s="1"/>
  <c r="B29" i="1"/>
  <c r="V25" i="1"/>
  <c r="G29" i="1" l="1"/>
  <c r="A29" i="1" s="1"/>
  <c r="B31" i="1"/>
  <c r="V27" i="1"/>
  <c r="V29" i="1" l="1"/>
  <c r="G31" i="1"/>
  <c r="A31" i="1" s="1"/>
  <c r="B34" i="1"/>
  <c r="G34" i="1" l="1"/>
  <c r="A34" i="1" s="1"/>
  <c r="B36" i="1"/>
  <c r="V31" i="1"/>
  <c r="V32" i="1"/>
  <c r="G36" i="1" l="1"/>
  <c r="A36" i="1" s="1"/>
  <c r="B39" i="1"/>
  <c r="V34" i="1"/>
  <c r="G39" i="1" l="1"/>
  <c r="A39" i="1" s="1"/>
  <c r="B41" i="1"/>
  <c r="V36" i="1"/>
  <c r="V37" i="1"/>
  <c r="G41" i="1" l="1"/>
  <c r="A41" i="1" s="1"/>
  <c r="B44" i="1"/>
  <c r="V39" i="1"/>
  <c r="G44" i="1" l="1"/>
  <c r="A44" i="1" s="1"/>
  <c r="B55" i="1"/>
  <c r="V41" i="1"/>
  <c r="V42" i="1"/>
  <c r="V44" i="1" l="1"/>
  <c r="G55" i="1"/>
  <c r="A55" i="1" s="1"/>
  <c r="B57" i="1"/>
  <c r="V45" i="1"/>
  <c r="V55" i="1" l="1"/>
  <c r="G57" i="1"/>
  <c r="A57" i="1" s="1"/>
  <c r="B59" i="1"/>
  <c r="V46" i="1"/>
  <c r="V57" i="1" l="1"/>
  <c r="G59" i="1"/>
  <c r="A59" i="1" s="1"/>
  <c r="B66" i="1"/>
  <c r="V47" i="1"/>
  <c r="V48" i="1"/>
  <c r="V59" i="1" l="1"/>
  <c r="G66" i="1"/>
  <c r="A66" i="1" s="1"/>
  <c r="B68" i="1"/>
  <c r="V49" i="1"/>
  <c r="V50" i="1"/>
  <c r="V60" i="1"/>
  <c r="G68" i="1" l="1"/>
  <c r="A68" i="1" s="1"/>
  <c r="B74" i="1"/>
  <c r="V66" i="1"/>
  <c r="V51" i="1"/>
  <c r="V61" i="1"/>
  <c r="V52" i="1"/>
  <c r="V68" i="1" l="1"/>
  <c r="G74" i="1"/>
  <c r="A74" i="1" s="1"/>
  <c r="B76" i="1"/>
  <c r="V53" i="1"/>
  <c r="V69" i="1"/>
  <c r="V62" i="1"/>
  <c r="V63" i="1"/>
  <c r="G76" i="1" l="1"/>
  <c r="A76" i="1" s="1"/>
  <c r="B79" i="1"/>
  <c r="V74" i="1"/>
  <c r="V64" i="1"/>
  <c r="V70" i="1"/>
  <c r="V76" i="1" l="1"/>
  <c r="G79" i="1"/>
  <c r="A79" i="1" s="1"/>
  <c r="B81" i="1"/>
  <c r="V71" i="1"/>
  <c r="V72" i="1"/>
  <c r="G81" i="1" l="1"/>
  <c r="A81" i="1" s="1"/>
  <c r="B87" i="1"/>
  <c r="V79" i="1"/>
  <c r="G87" i="1" l="1"/>
  <c r="A87" i="1" s="1"/>
  <c r="B89" i="1"/>
  <c r="V81" i="1"/>
  <c r="V82" i="1"/>
  <c r="V87" i="1" l="1"/>
  <c r="G89" i="1"/>
  <c r="A89" i="1" s="1"/>
  <c r="B100" i="1"/>
  <c r="V83" i="1"/>
  <c r="V89" i="1" l="1"/>
  <c r="G100" i="1"/>
  <c r="A100" i="1" s="1"/>
  <c r="B104" i="1"/>
  <c r="V84" i="1"/>
  <c r="V85" i="1"/>
  <c r="V90" i="1"/>
  <c r="V100" i="1" l="1"/>
  <c r="G104" i="1"/>
  <c r="A104" i="1" s="1"/>
  <c r="B107" i="1"/>
  <c r="V101" i="1"/>
  <c r="V91" i="1"/>
  <c r="V104" i="1" l="1"/>
  <c r="G107" i="1"/>
  <c r="A107" i="1" s="1"/>
  <c r="B113" i="1"/>
  <c r="V92" i="1"/>
  <c r="V105" i="1"/>
  <c r="V102" i="1"/>
  <c r="V93" i="1"/>
  <c r="G113" i="1" l="1"/>
  <c r="A113" i="1" s="1"/>
  <c r="B118" i="1"/>
  <c r="V107" i="1"/>
  <c r="V94" i="1"/>
  <c r="V95" i="1"/>
  <c r="V108" i="1"/>
  <c r="G118" i="1" l="1"/>
  <c r="A118" i="1" s="1"/>
  <c r="B132" i="1"/>
  <c r="V113" i="1"/>
  <c r="V96" i="1"/>
  <c r="V109" i="1"/>
  <c r="V97" i="1"/>
  <c r="V114" i="1"/>
  <c r="V118" i="1" l="1"/>
  <c r="G132" i="1"/>
  <c r="A132" i="1" s="1"/>
  <c r="B134" i="1"/>
  <c r="V98" i="1"/>
  <c r="V119" i="1"/>
  <c r="V110" i="1"/>
  <c r="V111" i="1" s="1"/>
  <c r="V115" i="1"/>
  <c r="G134" i="1" l="1"/>
  <c r="A134" i="1" s="1"/>
  <c r="B136" i="1"/>
  <c r="V132" i="1"/>
  <c r="V116" i="1"/>
  <c r="V120" i="1"/>
  <c r="G136" i="1" l="1"/>
  <c r="A136" i="1" s="1"/>
  <c r="B142" i="1"/>
  <c r="V134" i="1"/>
  <c r="V121" i="1"/>
  <c r="V122" i="1"/>
  <c r="G142" i="1" l="1"/>
  <c r="A142" i="1" s="1"/>
  <c r="B147" i="1"/>
  <c r="V136" i="1"/>
  <c r="V123" i="1"/>
  <c r="V124" i="1"/>
  <c r="V137" i="1"/>
  <c r="V142" i="1" l="1"/>
  <c r="G147" i="1"/>
  <c r="A147" i="1" s="1"/>
  <c r="B149" i="1"/>
  <c r="V125" i="1"/>
  <c r="V138" i="1"/>
  <c r="V126" i="1"/>
  <c r="V143" i="1"/>
  <c r="G149" i="1" l="1"/>
  <c r="A149" i="1" s="1"/>
  <c r="B151" i="1"/>
  <c r="V147" i="1"/>
  <c r="V127" i="1"/>
  <c r="V144" i="1"/>
  <c r="V139" i="1"/>
  <c r="V140" i="1" s="1"/>
  <c r="V128" i="1"/>
  <c r="V149" i="1" l="1"/>
  <c r="G151" i="1"/>
  <c r="A151" i="1" s="1"/>
  <c r="B156" i="1"/>
  <c r="V129" i="1"/>
  <c r="V130" i="1"/>
  <c r="V145" i="1"/>
  <c r="V151" i="1" l="1"/>
  <c r="G156" i="1"/>
  <c r="A156" i="1" s="1"/>
  <c r="B158" i="1"/>
  <c r="G158" i="1" s="1"/>
  <c r="A158" i="1" s="1"/>
  <c r="V152" i="1"/>
  <c r="V158" i="1" l="1"/>
  <c r="A1" i="2"/>
  <c r="D1" i="4"/>
  <c r="V156" i="1"/>
  <c r="V153" i="1"/>
  <c r="V159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C19" i="4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C18" i="4"/>
  <c r="C15" i="4"/>
  <c r="C11" i="4"/>
  <c r="C8" i="4"/>
  <c r="C6" i="4"/>
  <c r="C4" i="4"/>
  <c r="C16" i="4"/>
  <c r="C12" i="4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C17" i="4"/>
  <c r="C13" i="4"/>
  <c r="C9" i="4"/>
  <c r="C7" i="4"/>
  <c r="C5" i="4"/>
  <c r="C3" i="4"/>
  <c r="C14" i="4"/>
  <c r="C10" i="4"/>
  <c r="V154" i="1"/>
  <c r="W164" i="1" l="1"/>
  <c r="W166" i="1"/>
  <c r="W162" i="1"/>
  <c r="AC161" i="1"/>
  <c r="W151" i="1"/>
  <c r="AC142" i="1"/>
  <c r="W147" i="1"/>
  <c r="AC158" i="1"/>
  <c r="AC134" i="1"/>
  <c r="W145" i="1"/>
  <c r="W134" i="1"/>
  <c r="W158" i="1"/>
  <c r="AC22" i="1"/>
  <c r="W15" i="1"/>
  <c r="W12" i="1"/>
  <c r="W7" i="1"/>
  <c r="AC14" i="1"/>
  <c r="AC27" i="1"/>
  <c r="W14" i="1"/>
  <c r="AC20" i="1"/>
  <c r="W27" i="1"/>
  <c r="AC11" i="1"/>
  <c r="AC17" i="1"/>
  <c r="W5" i="1"/>
  <c r="AC29" i="1"/>
  <c r="W29" i="1"/>
  <c r="AC31" i="1"/>
  <c r="W34" i="1"/>
  <c r="AC41" i="1"/>
  <c r="W39" i="1"/>
  <c r="W37" i="1"/>
  <c r="W42" i="1"/>
  <c r="W52" i="1"/>
  <c r="W41" i="1"/>
  <c r="AC59" i="1"/>
  <c r="W50" i="1"/>
  <c r="W51" i="1"/>
  <c r="W47" i="1"/>
  <c r="W45" i="1"/>
  <c r="W57" i="1"/>
  <c r="W66" i="1"/>
  <c r="W61" i="1"/>
  <c r="W64" i="1"/>
  <c r="AC57" i="1"/>
  <c r="W59" i="1"/>
  <c r="W71" i="1"/>
  <c r="W72" i="1"/>
  <c r="W70" i="1"/>
  <c r="W76" i="1"/>
  <c r="W85" i="1"/>
  <c r="AC81" i="1"/>
  <c r="W82" i="1"/>
  <c r="W79" i="1"/>
  <c r="W81" i="1"/>
  <c r="AC89" i="1"/>
  <c r="W92" i="1"/>
  <c r="W96" i="1"/>
  <c r="W89" i="1"/>
  <c r="W95" i="1"/>
  <c r="W91" i="1"/>
  <c r="AC100" i="1"/>
  <c r="W100" i="1"/>
  <c r="AC107" i="1"/>
  <c r="W104" i="1"/>
  <c r="W111" i="1"/>
  <c r="W110" i="1"/>
  <c r="AC113" i="1"/>
  <c r="W114" i="1"/>
  <c r="W121" i="1"/>
  <c r="W129" i="1"/>
  <c r="W123" i="1"/>
  <c r="AC118" i="1"/>
  <c r="W113" i="1"/>
  <c r="W130" i="1"/>
  <c r="W128" i="1"/>
  <c r="W122" i="1"/>
  <c r="W126" i="1"/>
  <c r="AC151" i="1"/>
  <c r="W149" i="1"/>
  <c r="W138" i="1"/>
  <c r="W140" i="1"/>
  <c r="W154" i="1"/>
  <c r="AC132" i="1"/>
  <c r="W127" i="1"/>
  <c r="W167" i="1"/>
  <c r="W165" i="1"/>
  <c r="AC164" i="1"/>
  <c r="W161" i="1"/>
  <c r="W159" i="1"/>
  <c r="W137" i="1"/>
  <c r="W142" i="1"/>
  <c r="W143" i="1"/>
  <c r="AC156" i="1"/>
  <c r="W136" i="1"/>
  <c r="AC149" i="1"/>
  <c r="W156" i="1"/>
  <c r="W18" i="1"/>
  <c r="W9" i="1"/>
  <c r="AC5" i="1"/>
  <c r="W11" i="1"/>
  <c r="AC24" i="1"/>
  <c r="W17" i="1"/>
  <c r="W6" i="1"/>
  <c r="W22" i="1"/>
  <c r="W3" i="1"/>
  <c r="AC9" i="1"/>
  <c r="AC3" i="1"/>
  <c r="W20" i="1"/>
  <c r="W25" i="1"/>
  <c r="W24" i="1"/>
  <c r="W31" i="1"/>
  <c r="W32" i="1"/>
  <c r="AC36" i="1"/>
  <c r="AC34" i="1"/>
  <c r="W36" i="1"/>
  <c r="AC39" i="1"/>
  <c r="W44" i="1"/>
  <c r="AC44" i="1"/>
  <c r="W46" i="1"/>
  <c r="W55" i="1"/>
  <c r="AC55" i="1"/>
  <c r="W53" i="1"/>
  <c r="W49" i="1"/>
  <c r="W48" i="1"/>
  <c r="W62" i="1"/>
  <c r="W60" i="1"/>
  <c r="W63" i="1"/>
  <c r="AC66" i="1"/>
  <c r="AC74" i="1"/>
  <c r="AC68" i="1"/>
  <c r="W74" i="1"/>
  <c r="W68" i="1"/>
  <c r="W69" i="1"/>
  <c r="AC76" i="1"/>
  <c r="W87" i="1"/>
  <c r="W83" i="1"/>
  <c r="W84" i="1"/>
  <c r="AC79" i="1"/>
  <c r="AC87" i="1"/>
  <c r="W98" i="1"/>
  <c r="W90" i="1"/>
  <c r="W94" i="1"/>
  <c r="W97" i="1"/>
  <c r="W101" i="1"/>
  <c r="W93" i="1"/>
  <c r="W102" i="1"/>
  <c r="AC104" i="1"/>
  <c r="W105" i="1"/>
  <c r="W107" i="1"/>
  <c r="W115" i="1"/>
  <c r="W108" i="1"/>
  <c r="W109" i="1"/>
  <c r="W116" i="1"/>
  <c r="W119" i="1"/>
  <c r="W132" i="1"/>
  <c r="W120" i="1"/>
  <c r="AC136" i="1"/>
  <c r="W153" i="1"/>
  <c r="AC147" i="1"/>
  <c r="W152" i="1"/>
  <c r="W125" i="1"/>
  <c r="W124" i="1"/>
  <c r="W118" i="1"/>
  <c r="W139" i="1"/>
  <c r="W144" i="1"/>
  <c r="G1" i="2"/>
  <c r="B12" i="2" s="1"/>
  <c r="B50" i="2" s="1"/>
  <c r="B88" i="2" s="1"/>
  <c r="F14" i="4"/>
  <c r="P14" i="4" s="1"/>
  <c r="N14" i="4"/>
  <c r="G14" i="4"/>
  <c r="M14" i="4"/>
  <c r="D14" i="4"/>
  <c r="E14" i="4"/>
  <c r="H14" i="4"/>
  <c r="J14" i="4"/>
  <c r="L14" i="4" s="1"/>
  <c r="I14" i="4"/>
  <c r="K14" i="4"/>
  <c r="F5" i="4"/>
  <c r="P5" i="4" s="1"/>
  <c r="G5" i="4"/>
  <c r="E5" i="4"/>
  <c r="D5" i="4"/>
  <c r="M5" i="4"/>
  <c r="N5" i="4"/>
  <c r="H5" i="4"/>
  <c r="I5" i="4"/>
  <c r="J5" i="4"/>
  <c r="L5" i="4" s="1"/>
  <c r="T5" i="4" s="1"/>
  <c r="F9" i="4"/>
  <c r="P9" i="4" s="1"/>
  <c r="N9" i="4"/>
  <c r="G9" i="4"/>
  <c r="M9" i="4"/>
  <c r="E9" i="4"/>
  <c r="D9" i="4"/>
  <c r="J9" i="4"/>
  <c r="L9" i="4" s="1"/>
  <c r="T9" i="4" s="1"/>
  <c r="H9" i="4"/>
  <c r="I9" i="4"/>
  <c r="F17" i="4"/>
  <c r="P17" i="4" s="1"/>
  <c r="N17" i="4"/>
  <c r="G17" i="4"/>
  <c r="D17" i="4"/>
  <c r="E17" i="4"/>
  <c r="M17" i="4"/>
  <c r="J17" i="4"/>
  <c r="L17" i="4" s="1"/>
  <c r="T17" i="4" s="1"/>
  <c r="H17" i="4"/>
  <c r="I17" i="4"/>
  <c r="F23" i="4"/>
  <c r="P23" i="4" s="1"/>
  <c r="N23" i="4"/>
  <c r="G23" i="4"/>
  <c r="M23" i="4"/>
  <c r="E23" i="4"/>
  <c r="D23" i="4"/>
  <c r="H23" i="4"/>
  <c r="I23" i="4"/>
  <c r="J23" i="4"/>
  <c r="L23" i="4" s="1"/>
  <c r="T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G35" i="4"/>
  <c r="D35" i="4"/>
  <c r="N35" i="4"/>
  <c r="H35" i="4"/>
  <c r="I35" i="4"/>
  <c r="J35" i="4"/>
  <c r="L35" i="4" s="1"/>
  <c r="M43" i="4"/>
  <c r="E43" i="4"/>
  <c r="F43" i="4"/>
  <c r="P43" i="4" s="1"/>
  <c r="G43" i="4"/>
  <c r="N43" i="4"/>
  <c r="D43" i="4"/>
  <c r="J43" i="4"/>
  <c r="L43" i="4" s="1"/>
  <c r="T43" i="4" s="1"/>
  <c r="I43" i="4"/>
  <c r="H43" i="4"/>
  <c r="M50" i="4"/>
  <c r="I50" i="4"/>
  <c r="E50" i="4"/>
  <c r="D50" i="4"/>
  <c r="F50" i="4"/>
  <c r="P50" i="4" s="1"/>
  <c r="G50" i="4"/>
  <c r="H50" i="4"/>
  <c r="N50" i="4"/>
  <c r="K50" i="4"/>
  <c r="J50" i="4"/>
  <c r="L50" i="4" s="1"/>
  <c r="F12" i="4"/>
  <c r="P12" i="4" s="1"/>
  <c r="N12" i="4"/>
  <c r="G12" i="4"/>
  <c r="M12" i="4"/>
  <c r="D12" i="4"/>
  <c r="E12" i="4"/>
  <c r="I12" i="4"/>
  <c r="H12" i="4"/>
  <c r="J12" i="4"/>
  <c r="L12" i="4" s="1"/>
  <c r="T12" i="4" s="1"/>
  <c r="F4" i="4"/>
  <c r="P4" i="4" s="1"/>
  <c r="G4" i="4"/>
  <c r="E4" i="4"/>
  <c r="M4" i="4"/>
  <c r="D4" i="4"/>
  <c r="N4" i="4"/>
  <c r="J4" i="4"/>
  <c r="L4" i="4" s="1"/>
  <c r="T4" i="4" s="1"/>
  <c r="H4" i="4"/>
  <c r="I4" i="4"/>
  <c r="F8" i="4"/>
  <c r="P8" i="4" s="1"/>
  <c r="N8" i="4"/>
  <c r="E8" i="4"/>
  <c r="M8" i="4"/>
  <c r="D8" i="4"/>
  <c r="G8" i="4"/>
  <c r="H8" i="4"/>
  <c r="J8" i="4"/>
  <c r="L8" i="4" s="1"/>
  <c r="I8" i="4"/>
  <c r="F15" i="4"/>
  <c r="P15" i="4" s="1"/>
  <c r="N15" i="4"/>
  <c r="G15" i="4"/>
  <c r="D15" i="4"/>
  <c r="E15" i="4"/>
  <c r="M15" i="4"/>
  <c r="I15" i="4"/>
  <c r="J15" i="4"/>
  <c r="L15" i="4" s="1"/>
  <c r="H15" i="4"/>
  <c r="F20" i="4"/>
  <c r="P20" i="4" s="1"/>
  <c r="N20" i="4"/>
  <c r="G20" i="4"/>
  <c r="M20" i="4"/>
  <c r="E20" i="4"/>
  <c r="D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T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D37" i="4"/>
  <c r="J37" i="4"/>
  <c r="L37" i="4" s="1"/>
  <c r="T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D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T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D7" i="4"/>
  <c r="M7" i="4"/>
  <c r="N7" i="4"/>
  <c r="H7" i="4"/>
  <c r="I7" i="4"/>
  <c r="J7" i="4"/>
  <c r="L7" i="4" s="1"/>
  <c r="T7" i="4" s="1"/>
  <c r="F13" i="4"/>
  <c r="P13" i="4" s="1"/>
  <c r="N13" i="4"/>
  <c r="G13" i="4"/>
  <c r="D13" i="4"/>
  <c r="E13" i="4"/>
  <c r="M13" i="4"/>
  <c r="I13" i="4"/>
  <c r="J13" i="4"/>
  <c r="L13" i="4" s="1"/>
  <c r="H13" i="4"/>
  <c r="F21" i="4"/>
  <c r="P21" i="4" s="1"/>
  <c r="N21" i="4"/>
  <c r="G21" i="4"/>
  <c r="D21" i="4"/>
  <c r="M21" i="4"/>
  <c r="E21" i="4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J40" i="4"/>
  <c r="L40" i="4" s="1"/>
  <c r="H40" i="4"/>
  <c r="I40" i="4"/>
  <c r="N34" i="4"/>
  <c r="D34" i="4"/>
  <c r="M34" i="4"/>
  <c r="G34" i="4"/>
  <c r="F34" i="4"/>
  <c r="P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G49" i="4"/>
  <c r="M39" i="4"/>
  <c r="E39" i="4"/>
  <c r="F39" i="4"/>
  <c r="P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K54" i="4"/>
  <c r="H54" i="4"/>
  <c r="J54" i="4"/>
  <c r="L54" i="4" s="1"/>
  <c r="G54" i="4"/>
  <c r="N54" i="4"/>
  <c r="F16" i="4"/>
  <c r="P16" i="4" s="1"/>
  <c r="N16" i="4"/>
  <c r="G16" i="4"/>
  <c r="M16" i="4"/>
  <c r="D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D11" i="4"/>
  <c r="E11" i="4"/>
  <c r="M11" i="4"/>
  <c r="H11" i="4"/>
  <c r="I11" i="4"/>
  <c r="J11" i="4"/>
  <c r="L11" i="4" s="1"/>
  <c r="F18" i="4"/>
  <c r="P18" i="4" s="1"/>
  <c r="N18" i="4"/>
  <c r="G18" i="4"/>
  <c r="D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D47" i="4"/>
  <c r="K47" i="4"/>
  <c r="K13" i="2"/>
  <c r="K51" i="2" s="1"/>
  <c r="K89" i="2" s="1"/>
  <c r="E22" i="2"/>
  <c r="E60" i="2" s="1"/>
  <c r="E98" i="2" s="1"/>
  <c r="D14" i="2"/>
  <c r="D52" i="2" s="1"/>
  <c r="D90" i="2" s="1"/>
  <c r="E17" i="2"/>
  <c r="E55" i="2" s="1"/>
  <c r="E93" i="2" s="1"/>
  <c r="E15" i="2"/>
  <c r="E53" i="2" s="1"/>
  <c r="E91" i="2" s="1"/>
  <c r="H26" i="2"/>
  <c r="H64" i="2" s="1"/>
  <c r="H102" i="2" s="1"/>
  <c r="D13" i="2"/>
  <c r="D51" i="2" s="1"/>
  <c r="D89" i="2" s="1"/>
  <c r="C15" i="2"/>
  <c r="C53" i="2" s="1"/>
  <c r="C91" i="2" s="1"/>
  <c r="J38" i="2"/>
  <c r="H3" i="2"/>
  <c r="H41" i="2" s="1"/>
  <c r="H79" i="2" s="1"/>
  <c r="H6" i="2"/>
  <c r="H44" i="2" s="1"/>
  <c r="H82" i="2" s="1"/>
  <c r="H5" i="2"/>
  <c r="H43" i="2" s="1"/>
  <c r="H81" i="2" s="1"/>
  <c r="C11" i="2" l="1"/>
  <c r="C49" i="2" s="1"/>
  <c r="C87" i="2" s="1"/>
  <c r="K23" i="2"/>
  <c r="K61" i="2" s="1"/>
  <c r="K99" i="2" s="1"/>
  <c r="I25" i="2"/>
  <c r="I63" i="2" s="1"/>
  <c r="I101" i="2" s="1"/>
  <c r="I24" i="2"/>
  <c r="I62" i="2" s="1"/>
  <c r="I100" i="2" s="1"/>
  <c r="D22" i="2"/>
  <c r="D60" i="2" s="1"/>
  <c r="D98" i="2" s="1"/>
  <c r="B15" i="2"/>
  <c r="B53" i="2" s="1"/>
  <c r="B91" i="2" s="1"/>
  <c r="J26" i="2"/>
  <c r="J64" i="2" s="1"/>
  <c r="J102" i="2" s="1"/>
  <c r="H25" i="2"/>
  <c r="H63" i="2" s="1"/>
  <c r="H101" i="2" s="1"/>
  <c r="H15" i="2"/>
  <c r="H53" i="2" s="1"/>
  <c r="H91" i="2" s="1"/>
  <c r="B13" i="2"/>
  <c r="B51" i="2" s="1"/>
  <c r="B89" i="2" s="1"/>
  <c r="I17" i="2"/>
  <c r="I55" i="2" s="1"/>
  <c r="I93" i="2" s="1"/>
  <c r="B26" i="2"/>
  <c r="B64" i="2" s="1"/>
  <c r="B102" i="2" s="1"/>
  <c r="E20" i="2"/>
  <c r="E58" i="2" s="1"/>
  <c r="E96" i="2" s="1"/>
  <c r="D15" i="2"/>
  <c r="D53" i="2" s="1"/>
  <c r="D91" i="2" s="1"/>
  <c r="J15" i="2"/>
  <c r="J53" i="2" s="1"/>
  <c r="J91" i="2" s="1"/>
  <c r="D19" i="2"/>
  <c r="D57" i="2" s="1"/>
  <c r="D95" i="2" s="1"/>
  <c r="H19" i="2"/>
  <c r="H57" i="2" s="1"/>
  <c r="H95" i="2" s="1"/>
  <c r="C19" i="2"/>
  <c r="C57" i="2" s="1"/>
  <c r="C95" i="2" s="1"/>
  <c r="C13" i="2"/>
  <c r="C51" i="2" s="1"/>
  <c r="C89" i="2" s="1"/>
  <c r="C20" i="2"/>
  <c r="C58" i="2" s="1"/>
  <c r="C96" i="2" s="1"/>
  <c r="D17" i="2"/>
  <c r="D55" i="2" s="1"/>
  <c r="D93" i="2" s="1"/>
  <c r="K26" i="2"/>
  <c r="K64" i="2" s="1"/>
  <c r="K102" i="2" s="1"/>
  <c r="B20" i="2"/>
  <c r="B58" i="2" s="1"/>
  <c r="B96" i="2" s="1"/>
  <c r="E24" i="2"/>
  <c r="E62" i="2" s="1"/>
  <c r="E100" i="2" s="1"/>
  <c r="I22" i="2"/>
  <c r="I60" i="2" s="1"/>
  <c r="I98" i="2" s="1"/>
  <c r="I26" i="2"/>
  <c r="I64" i="2" s="1"/>
  <c r="I102" i="2" s="1"/>
  <c r="J17" i="2"/>
  <c r="J55" i="2" s="1"/>
  <c r="J93" i="2" s="1"/>
  <c r="E25" i="2"/>
  <c r="E63" i="2" s="1"/>
  <c r="E101" i="2" s="1"/>
  <c r="H21" i="2"/>
  <c r="H59" i="2" s="1"/>
  <c r="H97" i="2" s="1"/>
  <c r="D24" i="2"/>
  <c r="D62" i="2" s="1"/>
  <c r="D100" i="2" s="1"/>
  <c r="C17" i="2"/>
  <c r="C55" i="2" s="1"/>
  <c r="C93" i="2" s="1"/>
  <c r="I14" i="2"/>
  <c r="I52" i="2" s="1"/>
  <c r="I90" i="2" s="1"/>
  <c r="I16" i="2"/>
  <c r="I54" i="2" s="1"/>
  <c r="I92" i="2" s="1"/>
  <c r="I19" i="2"/>
  <c r="I57" i="2" s="1"/>
  <c r="I95" i="2" s="1"/>
  <c r="C12" i="2"/>
  <c r="C50" i="2" s="1"/>
  <c r="C88" i="2" s="1"/>
  <c r="K18" i="2"/>
  <c r="K56" i="2" s="1"/>
  <c r="K94" i="2" s="1"/>
  <c r="K20" i="2"/>
  <c r="K58" i="2" s="1"/>
  <c r="K96" i="2" s="1"/>
  <c r="E16" i="2"/>
  <c r="E54" i="2" s="1"/>
  <c r="E92" i="2" s="1"/>
  <c r="I18" i="2"/>
  <c r="I56" i="2" s="1"/>
  <c r="I94" i="2" s="1"/>
  <c r="K11" i="2"/>
  <c r="K49" i="2" s="1"/>
  <c r="K87" i="2" s="1"/>
  <c r="J12" i="2"/>
  <c r="J50" i="2" s="1"/>
  <c r="J88" i="2" s="1"/>
  <c r="E26" i="2"/>
  <c r="E64" i="2" s="1"/>
  <c r="E102" i="2" s="1"/>
  <c r="K21" i="2"/>
  <c r="K59" i="2" s="1"/>
  <c r="K97" i="2" s="1"/>
  <c r="I21" i="2"/>
  <c r="I59" i="2" s="1"/>
  <c r="I97" i="2" s="1"/>
  <c r="D20" i="2"/>
  <c r="D58" i="2" s="1"/>
  <c r="D96" i="2" s="1"/>
  <c r="H24" i="2"/>
  <c r="H62" i="2" s="1"/>
  <c r="H100" i="2" s="1"/>
  <c r="D25" i="2"/>
  <c r="D63" i="2" s="1"/>
  <c r="D101" i="2" s="1"/>
  <c r="C21" i="2"/>
  <c r="C59" i="2" s="1"/>
  <c r="C97" i="2" s="1"/>
  <c r="B14" i="2"/>
  <c r="B52" i="2" s="1"/>
  <c r="B90" i="2" s="1"/>
  <c r="B19" i="2"/>
  <c r="B57" i="2" s="1"/>
  <c r="B95" i="2" s="1"/>
  <c r="B18" i="2"/>
  <c r="B56" i="2" s="1"/>
  <c r="B94" i="2" s="1"/>
  <c r="J24" i="2"/>
  <c r="J62" i="2" s="1"/>
  <c r="J100" i="2" s="1"/>
  <c r="J19" i="2"/>
  <c r="J57" i="2" s="1"/>
  <c r="J95" i="2" s="1"/>
  <c r="E18" i="2"/>
  <c r="E56" i="2" s="1"/>
  <c r="E94" i="2" s="1"/>
  <c r="K22" i="2"/>
  <c r="K60" i="2" s="1"/>
  <c r="K98" i="2" s="1"/>
  <c r="D18" i="2"/>
  <c r="D56" i="2" s="1"/>
  <c r="D94" i="2" s="1"/>
  <c r="C16" i="2"/>
  <c r="C54" i="2" s="1"/>
  <c r="C92" i="2" s="1"/>
  <c r="H22" i="2"/>
  <c r="H60" i="2" s="1"/>
  <c r="H98" i="2" s="1"/>
  <c r="E23" i="2"/>
  <c r="E61" i="2" s="1"/>
  <c r="E99" i="2" s="1"/>
  <c r="I23" i="2"/>
  <c r="I61" i="2" s="1"/>
  <c r="I99" i="2" s="1"/>
  <c r="H12" i="2"/>
  <c r="H50" i="2" s="1"/>
  <c r="H88" i="2" s="1"/>
  <c r="H13" i="2"/>
  <c r="H51" i="2" s="1"/>
  <c r="H89" i="2" s="1"/>
  <c r="E12" i="2"/>
  <c r="E50" i="2" s="1"/>
  <c r="E88" i="2" s="1"/>
  <c r="H23" i="2"/>
  <c r="H61" i="2" s="1"/>
  <c r="H99" i="2" s="1"/>
  <c r="C24" i="2"/>
  <c r="C62" i="2" s="1"/>
  <c r="C100" i="2" s="1"/>
  <c r="I13" i="2"/>
  <c r="I51" i="2" s="1"/>
  <c r="I89" i="2" s="1"/>
  <c r="J22" i="2"/>
  <c r="J60" i="2" s="1"/>
  <c r="J98" i="2" s="1"/>
  <c r="J16" i="2"/>
  <c r="J54" i="2" s="1"/>
  <c r="J92" i="2" s="1"/>
  <c r="J13" i="2"/>
  <c r="J51" i="2" s="1"/>
  <c r="J89" i="2" s="1"/>
  <c r="B17" i="2"/>
  <c r="B55" i="2" s="1"/>
  <c r="B93" i="2" s="1"/>
  <c r="B21" i="2"/>
  <c r="B59" i="2" s="1"/>
  <c r="B97" i="2" s="1"/>
  <c r="D12" i="2"/>
  <c r="D50" i="2" s="1"/>
  <c r="D88" i="2" s="1"/>
  <c r="B23" i="2"/>
  <c r="B61" i="2" s="1"/>
  <c r="B99" i="2" s="1"/>
  <c r="H16" i="2"/>
  <c r="H54" i="2" s="1"/>
  <c r="H92" i="2" s="1"/>
  <c r="B24" i="2"/>
  <c r="B62" i="2" s="1"/>
  <c r="B100" i="2" s="1"/>
  <c r="H20" i="2"/>
  <c r="H58" i="2" s="1"/>
  <c r="H96" i="2" s="1"/>
  <c r="C22" i="2"/>
  <c r="C60" i="2" s="1"/>
  <c r="C98" i="2" s="1"/>
  <c r="I12" i="2"/>
  <c r="I50" i="2" s="1"/>
  <c r="I88" i="2" s="1"/>
  <c r="J14" i="2"/>
  <c r="J52" i="2" s="1"/>
  <c r="J90" i="2" s="1"/>
  <c r="E11" i="2"/>
  <c r="E49" i="2" s="1"/>
  <c r="E87" i="2" s="1"/>
  <c r="D16" i="2"/>
  <c r="D54" i="2" s="1"/>
  <c r="D92" i="2" s="1"/>
  <c r="E19" i="2"/>
  <c r="E57" i="2" s="1"/>
  <c r="E95" i="2" s="1"/>
  <c r="K25" i="2"/>
  <c r="K63" i="2" s="1"/>
  <c r="K101" i="2" s="1"/>
  <c r="B25" i="2"/>
  <c r="B63" i="2" s="1"/>
  <c r="B101" i="2" s="1"/>
  <c r="E21" i="2"/>
  <c r="E59" i="2" s="1"/>
  <c r="E97" i="2" s="1"/>
  <c r="K12" i="2"/>
  <c r="K50" i="2" s="1"/>
  <c r="K88" i="2" s="1"/>
  <c r="C18" i="2"/>
  <c r="C56" i="2" s="1"/>
  <c r="C94" i="2" s="1"/>
  <c r="B11" i="2"/>
  <c r="B49" i="2" s="1"/>
  <c r="B87" i="2" s="1"/>
  <c r="H11" i="2"/>
  <c r="H49" i="2" s="1"/>
  <c r="H87" i="2" s="1"/>
  <c r="H17" i="2"/>
  <c r="H55" i="2" s="1"/>
  <c r="H93" i="2" s="1"/>
  <c r="D11" i="2"/>
  <c r="D49" i="2" s="1"/>
  <c r="D87" i="2" s="1"/>
  <c r="J20" i="2"/>
  <c r="J58" i="2" s="1"/>
  <c r="J96" i="2" s="1"/>
  <c r="K16" i="2"/>
  <c r="K54" i="2" s="1"/>
  <c r="K92" i="2" s="1"/>
  <c r="K15" i="2"/>
  <c r="K53" i="2" s="1"/>
  <c r="K91" i="2" s="1"/>
  <c r="J25" i="2"/>
  <c r="J63" i="2" s="1"/>
  <c r="J101" i="2" s="1"/>
  <c r="H18" i="2"/>
  <c r="H56" i="2" s="1"/>
  <c r="H94" i="2" s="1"/>
  <c r="K19" i="2"/>
  <c r="K57" i="2" s="1"/>
  <c r="K95" i="2" s="1"/>
  <c r="I20" i="2"/>
  <c r="I58" i="2" s="1"/>
  <c r="I96" i="2" s="1"/>
  <c r="J11" i="2"/>
  <c r="J49" i="2" s="1"/>
  <c r="J87" i="2" s="1"/>
  <c r="C14" i="2"/>
  <c r="C52" i="2" s="1"/>
  <c r="C90" i="2" s="1"/>
  <c r="B16" i="2"/>
  <c r="B54" i="2" s="1"/>
  <c r="B92" i="2" s="1"/>
  <c r="K17" i="2"/>
  <c r="K55" i="2" s="1"/>
  <c r="K93" i="2" s="1"/>
  <c r="K24" i="2"/>
  <c r="K62" i="2" s="1"/>
  <c r="K100" i="2" s="1"/>
  <c r="I11" i="2"/>
  <c r="I49" i="2" s="1"/>
  <c r="I87" i="2" s="1"/>
  <c r="C23" i="2"/>
  <c r="C61" i="2" s="1"/>
  <c r="C99" i="2" s="1"/>
  <c r="D23" i="2"/>
  <c r="D61" i="2" s="1"/>
  <c r="D99" i="2" s="1"/>
  <c r="D26" i="2"/>
  <c r="D64" i="2" s="1"/>
  <c r="D102" i="2" s="1"/>
  <c r="J23" i="2"/>
  <c r="J61" i="2" s="1"/>
  <c r="J99" i="2" s="1"/>
  <c r="J18" i="2"/>
  <c r="J56" i="2" s="1"/>
  <c r="J94" i="2" s="1"/>
  <c r="D21" i="2"/>
  <c r="D59" i="2" s="1"/>
  <c r="D97" i="2" s="1"/>
  <c r="H14" i="2"/>
  <c r="H52" i="2" s="1"/>
  <c r="H90" i="2" s="1"/>
  <c r="B22" i="2"/>
  <c r="B60" i="2" s="1"/>
  <c r="B98" i="2" s="1"/>
  <c r="I15" i="2"/>
  <c r="I53" i="2" s="1"/>
  <c r="I91" i="2" s="1"/>
  <c r="J21" i="2"/>
  <c r="J59" i="2" s="1"/>
  <c r="J97" i="2" s="1"/>
  <c r="C26" i="2"/>
  <c r="C64" i="2" s="1"/>
  <c r="C102" i="2" s="1"/>
  <c r="C25" i="2"/>
  <c r="C63" i="2" s="1"/>
  <c r="C101" i="2" s="1"/>
  <c r="K14" i="2"/>
  <c r="K52" i="2" s="1"/>
  <c r="K90" i="2" s="1"/>
  <c r="T31" i="4"/>
  <c r="T6" i="4"/>
  <c r="T32" i="4"/>
  <c r="T20" i="4"/>
  <c r="T35" i="4"/>
  <c r="K46" i="4"/>
  <c r="E13" i="2"/>
  <c r="E51" i="2" s="1"/>
  <c r="E89" i="2" s="1"/>
  <c r="E14" i="2"/>
  <c r="E52" i="2" s="1"/>
  <c r="E90" i="2" s="1"/>
  <c r="J37" i="2"/>
  <c r="J75" i="2" s="1"/>
  <c r="J113" i="2" s="1"/>
  <c r="K45" i="4"/>
  <c r="K27" i="4"/>
  <c r="K42" i="4"/>
  <c r="K35" i="2"/>
  <c r="K73" i="2" s="1"/>
  <c r="K111" i="2" s="1"/>
  <c r="T33" i="4"/>
  <c r="K32" i="4"/>
  <c r="K24" i="4"/>
  <c r="K8" i="4"/>
  <c r="K28" i="4"/>
  <c r="J29" i="2"/>
  <c r="J67" i="2" s="1"/>
  <c r="J105" i="2" s="1"/>
  <c r="T39" i="4"/>
  <c r="T11" i="4"/>
  <c r="T25" i="4"/>
  <c r="T13" i="4"/>
  <c r="T26" i="4"/>
  <c r="T16" i="4"/>
  <c r="T34" i="4"/>
  <c r="T22" i="4"/>
  <c r="T21" i="4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T18" i="4"/>
  <c r="K11" i="4"/>
  <c r="K6" i="4"/>
  <c r="K16" i="4"/>
  <c r="K39" i="4"/>
  <c r="T44" i="4"/>
  <c r="R44" i="4"/>
  <c r="R51" i="4"/>
  <c r="T51" i="4"/>
  <c r="U51" i="4"/>
  <c r="Q51" i="4"/>
  <c r="S51" i="4"/>
  <c r="U38" i="4"/>
  <c r="R38" i="4"/>
  <c r="Q38" i="4"/>
  <c r="S38" i="4"/>
  <c r="R52" i="4"/>
  <c r="U52" i="4"/>
  <c r="T52" i="4"/>
  <c r="S52" i="4"/>
  <c r="Q52" i="4"/>
  <c r="S33" i="4"/>
  <c r="R33" i="4"/>
  <c r="U33" i="4"/>
  <c r="Q33" i="4"/>
  <c r="T38" i="4"/>
  <c r="T36" i="4"/>
  <c r="T30" i="4"/>
  <c r="R26" i="4"/>
  <c r="Q26" i="4"/>
  <c r="U26" i="4"/>
  <c r="S26" i="4"/>
  <c r="Q22" i="4"/>
  <c r="U22" i="4"/>
  <c r="S22" i="4"/>
  <c r="R22" i="4"/>
  <c r="Q18" i="4"/>
  <c r="U18" i="4"/>
  <c r="S18" i="4"/>
  <c r="R18" i="4"/>
  <c r="R11" i="4"/>
  <c r="U11" i="4"/>
  <c r="S11" i="4"/>
  <c r="Q11" i="4"/>
  <c r="S6" i="4"/>
  <c r="U6" i="4"/>
  <c r="Q6" i="4"/>
  <c r="R6" i="4"/>
  <c r="Q16" i="4"/>
  <c r="U16" i="4"/>
  <c r="S16" i="4"/>
  <c r="R16" i="4"/>
  <c r="U54" i="4"/>
  <c r="Q54" i="4"/>
  <c r="R54" i="4"/>
  <c r="S54" i="4"/>
  <c r="T54" i="4"/>
  <c r="T55" i="4"/>
  <c r="U55" i="4"/>
  <c r="R55" i="4"/>
  <c r="Q55" i="4"/>
  <c r="S55" i="4"/>
  <c r="R39" i="4"/>
  <c r="U39" i="4"/>
  <c r="Q39" i="4"/>
  <c r="S39" i="4"/>
  <c r="T49" i="4"/>
  <c r="S49" i="4"/>
  <c r="R49" i="4"/>
  <c r="Q49" i="4"/>
  <c r="U49" i="4"/>
  <c r="Q34" i="4"/>
  <c r="S34" i="4"/>
  <c r="R34" i="4"/>
  <c r="U34" i="4"/>
  <c r="T40" i="4"/>
  <c r="T29" i="4"/>
  <c r="R25" i="4"/>
  <c r="Q25" i="4"/>
  <c r="U25" i="4"/>
  <c r="S25" i="4"/>
  <c r="Q21" i="4"/>
  <c r="U21" i="4"/>
  <c r="S21" i="4"/>
  <c r="R21" i="4"/>
  <c r="U13" i="4"/>
  <c r="S13" i="4"/>
  <c r="R13" i="4"/>
  <c r="Q13" i="4"/>
  <c r="S7" i="4"/>
  <c r="U7" i="4"/>
  <c r="Q7" i="4"/>
  <c r="R7" i="4"/>
  <c r="I56" i="4"/>
  <c r="H56" i="4"/>
  <c r="S3" i="4"/>
  <c r="U3" i="4"/>
  <c r="Q3" i="4"/>
  <c r="R3" i="4"/>
  <c r="U10" i="4"/>
  <c r="S10" i="4"/>
  <c r="R10" i="4"/>
  <c r="Q10" i="4"/>
  <c r="T19" i="4"/>
  <c r="R48" i="4"/>
  <c r="U48" i="4"/>
  <c r="T48" i="4"/>
  <c r="S48" i="4"/>
  <c r="Q48" i="4"/>
  <c r="U45" i="4"/>
  <c r="Q45" i="4"/>
  <c r="R45" i="4"/>
  <c r="S45" i="4"/>
  <c r="T45" i="4"/>
  <c r="K37" i="4"/>
  <c r="R53" i="4"/>
  <c r="Q32" i="4"/>
  <c r="U32" i="4"/>
  <c r="R32" i="4"/>
  <c r="S32" i="4"/>
  <c r="R28" i="4"/>
  <c r="Q28" i="4"/>
  <c r="U28" i="4"/>
  <c r="S28" i="4"/>
  <c r="T24" i="4"/>
  <c r="K20" i="4"/>
  <c r="T15" i="4"/>
  <c r="T8" i="4"/>
  <c r="K4" i="4"/>
  <c r="K12" i="4"/>
  <c r="K43" i="4"/>
  <c r="K35" i="4"/>
  <c r="R42" i="4"/>
  <c r="Q42" i="4"/>
  <c r="S42" i="4"/>
  <c r="U42" i="4"/>
  <c r="T42" i="4"/>
  <c r="K44" i="4"/>
  <c r="S44" i="4"/>
  <c r="Q44" i="4"/>
  <c r="U44" i="4"/>
  <c r="K31" i="4"/>
  <c r="T27" i="4"/>
  <c r="K23" i="4"/>
  <c r="K17" i="4"/>
  <c r="K9" i="4"/>
  <c r="K5" i="4"/>
  <c r="T14" i="4"/>
  <c r="R47" i="4"/>
  <c r="T47" i="4"/>
  <c r="U47" i="4"/>
  <c r="Q47" i="4"/>
  <c r="S47" i="4"/>
  <c r="S41" i="4"/>
  <c r="R41" i="4"/>
  <c r="U41" i="4"/>
  <c r="Q41" i="4"/>
  <c r="T41" i="4"/>
  <c r="R36" i="4"/>
  <c r="Q36" i="4"/>
  <c r="U36" i="4"/>
  <c r="S36" i="4"/>
  <c r="R30" i="4"/>
  <c r="Q30" i="4"/>
  <c r="U30" i="4"/>
  <c r="S30" i="4"/>
  <c r="R40" i="4"/>
  <c r="S40" i="4"/>
  <c r="Q40" i="4"/>
  <c r="U40" i="4"/>
  <c r="R29" i="4"/>
  <c r="Q29" i="4"/>
  <c r="U29" i="4"/>
  <c r="S29" i="4"/>
  <c r="J56" i="4"/>
  <c r="L3" i="4"/>
  <c r="Q19" i="4"/>
  <c r="U19" i="4"/>
  <c r="S19" i="4"/>
  <c r="R19" i="4"/>
  <c r="S37" i="4"/>
  <c r="R37" i="4"/>
  <c r="U37" i="4"/>
  <c r="Q37" i="4"/>
  <c r="R46" i="4"/>
  <c r="T46" i="4"/>
  <c r="U46" i="4"/>
  <c r="Q46" i="4"/>
  <c r="S46" i="4"/>
  <c r="Q53" i="4"/>
  <c r="U53" i="4"/>
  <c r="T53" i="4"/>
  <c r="S53" i="4"/>
  <c r="R24" i="4"/>
  <c r="Q24" i="4"/>
  <c r="U24" i="4"/>
  <c r="S24" i="4"/>
  <c r="Q20" i="4"/>
  <c r="U20" i="4"/>
  <c r="S20" i="4"/>
  <c r="R20" i="4"/>
  <c r="Q15" i="4"/>
  <c r="U15" i="4"/>
  <c r="S15" i="4"/>
  <c r="R15" i="4"/>
  <c r="Q8" i="4"/>
  <c r="U8" i="4"/>
  <c r="S8" i="4"/>
  <c r="R8" i="4"/>
  <c r="S4" i="4"/>
  <c r="U4" i="4"/>
  <c r="Q4" i="4"/>
  <c r="R4" i="4"/>
  <c r="Q12" i="4"/>
  <c r="U12" i="4"/>
  <c r="S12" i="4"/>
  <c r="R12" i="4"/>
  <c r="U50" i="4"/>
  <c r="Q50" i="4"/>
  <c r="R50" i="4"/>
  <c r="S50" i="4"/>
  <c r="T50" i="4"/>
  <c r="R43" i="4"/>
  <c r="U43" i="4"/>
  <c r="Q43" i="4"/>
  <c r="S43" i="4"/>
  <c r="R35" i="4"/>
  <c r="U35" i="4"/>
  <c r="Q35" i="4"/>
  <c r="S35" i="4"/>
  <c r="R31" i="4"/>
  <c r="Q31" i="4"/>
  <c r="U31" i="4"/>
  <c r="S31" i="4"/>
  <c r="R27" i="4"/>
  <c r="Q27" i="4"/>
  <c r="U27" i="4"/>
  <c r="S27" i="4"/>
  <c r="Q23" i="4"/>
  <c r="U23" i="4"/>
  <c r="S23" i="4"/>
  <c r="R23" i="4"/>
  <c r="Q17" i="4"/>
  <c r="U17" i="4"/>
  <c r="S17" i="4"/>
  <c r="R17" i="4"/>
  <c r="Q9" i="4"/>
  <c r="U9" i="4"/>
  <c r="S9" i="4"/>
  <c r="R9" i="4"/>
  <c r="S5" i="4"/>
  <c r="U5" i="4"/>
  <c r="Q5" i="4"/>
  <c r="R5" i="4"/>
  <c r="Q14" i="4"/>
  <c r="U14" i="4"/>
  <c r="S14" i="4"/>
  <c r="R14" i="4"/>
  <c r="K31" i="2" l="1"/>
  <c r="K69" i="2" s="1"/>
  <c r="K107" i="2" s="1"/>
  <c r="J33" i="2"/>
  <c r="J71" i="2" s="1"/>
  <c r="J109" i="2" s="1"/>
  <c r="K56" i="4"/>
  <c r="X3" i="4"/>
  <c r="X2" i="4"/>
  <c r="X4" i="4" s="1"/>
  <c r="L56" i="4"/>
  <c r="T3" i="4"/>
</calcChain>
</file>

<file path=xl/sharedStrings.xml><?xml version="1.0" encoding="utf-8"?>
<sst xmlns="http://schemas.openxmlformats.org/spreadsheetml/2006/main" count="838" uniqueCount="473">
  <si>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</si>
  <si>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</si>
  <si>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</si>
  <si>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</si>
  <si>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</si>
  <si>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</si>
  <si>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</si>
  <si>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</si>
  <si>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</si>
  <si>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</si>
  <si>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</si>
  <si>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</si>
  <si>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</si>
  <si>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</si>
  <si>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</si>
  <si>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</si>
  <si>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</si>
  <si>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</si>
  <si>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</si>
  <si>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</si>
  <si>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</si>
  <si>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</si>
  <si>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</si>
  <si>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</si>
  <si>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</si>
  <si>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</si>
  <si>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</si>
  <si>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</si>
  <si>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</si>
  <si>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</si>
  <si>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</si>
  <si>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</si>
  <si>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</si>
  <si>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</si>
  <si>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</si>
  <si>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</si>
  <si>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</si>
  <si>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</si>
  <si>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</si>
  <si>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</si>
  <si>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</si>
  <si>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</si>
  <si>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</si>
  <si>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</si>
  <si>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</si>
  <si>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</si>
  <si>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</si>
  <si>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</si>
  <si>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</si>
  <si>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</si>
  <si>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</si>
  <si>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</si>
  <si>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</si>
  <si>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</si>
  <si>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</si>
  <si>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</si>
  <si>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</si>
  <si>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</si>
  <si>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</si>
  <si>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</si>
  <si>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</si>
  <si>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</si>
  <si>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</si>
  <si>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</si>
  <si>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</si>
  <si>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</si>
  <si>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</si>
  <si>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</si>
  <si>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</si>
  <si>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</si>
  <si>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</si>
  <si>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</si>
  <si>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</si>
  <si>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</si>
  <si>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</si>
  <si>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</si>
  <si>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</si>
  <si>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</si>
  <si>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</si>
  <si>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</si>
  <si>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</si>
  <si>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</si>
  <si>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</si>
  <si>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</si>
  <si>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</si>
  <si>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</si>
  <si>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</si>
  <si>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</si>
  <si>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</si>
  <si>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</si>
  <si>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</si>
  <si>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</si>
  <si>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</si>
  <si>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</si>
  <si>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</si>
  <si>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</si>
  <si>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</si>
  <si>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</si>
  <si>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</si>
  <si>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</si>
  <si>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</si>
  <si>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</si>
  <si>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</si>
  <si>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</si>
  <si>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</si>
  <si>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</si>
  <si>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</si>
  <si>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</si>
  <si>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</si>
  <si>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</si>
  <si>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</si>
  <si>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</si>
  <si>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</si>
  <si>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</si>
  <si>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</si>
  <si>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</si>
  <si>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</si>
  <si>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BINDER NOTE JOYKO A5 (CAMPUS/CLASSIC)</t>
  </si>
  <si>
    <t>KO</t>
  </si>
  <si>
    <t>1182</t>
  </si>
  <si>
    <t>LSN</t>
  </si>
  <si>
    <t>STAKENHD10</t>
  </si>
  <si>
    <t>STAPLER KENKO HD-10</t>
  </si>
  <si>
    <t>NOVI / CONDRO</t>
  </si>
  <si>
    <t>1097</t>
  </si>
  <si>
    <t>PCS</t>
  </si>
  <si>
    <t>OPJK72W</t>
  </si>
  <si>
    <t>GRS</t>
  </si>
  <si>
    <t>PLAKBAND KAIN HITAM KENKO 48 MM (2") BLUE CORE</t>
  </si>
  <si>
    <t>CRAYON / OIL PASTEL JOYKO OP-72S PP CASE SEA WORLD</t>
  </si>
  <si>
    <t>G</t>
  </si>
  <si>
    <t>1012</t>
  </si>
  <si>
    <t>ISIKENBESAR</t>
  </si>
  <si>
    <t>ISI CUTTER 18 MM KENKO L-150 (BESAR)</t>
  </si>
  <si>
    <t>CRAYON / OIL PASTEL JOYKO OP-72S PP CASE SEA WORLDPCS96000</t>
  </si>
  <si>
    <t>ISI CUTTER 18 MM KENKO L-150 (BESAR)LSN64800</t>
  </si>
  <si>
    <t>PLAKBAND KAIN HITAM KENKO 48 MM (2") BLUE COREPCS12200</t>
  </si>
  <si>
    <t>STAPLER KENKO HD-10LSN93000</t>
  </si>
  <si>
    <t>1192</t>
  </si>
  <si>
    <t>CLIJK105</t>
  </si>
  <si>
    <t>PWKEN12WPANJANG</t>
  </si>
  <si>
    <t>PENSIL WARNA KENKO CP-12F CLASSIC (PANJANG)</t>
  </si>
  <si>
    <t>BINDER CLIP JOYKO 105</t>
  </si>
  <si>
    <t>BINDER CLIP JOYKO 105GRS27600</t>
  </si>
  <si>
    <t>PENSIL WARNA KENKO CP-12F CLASSIC (PANJANG)LSN124200</t>
  </si>
  <si>
    <t>2906</t>
  </si>
  <si>
    <t>BOX</t>
  </si>
  <si>
    <t>LEMKEN8GR</t>
  </si>
  <si>
    <t>LEMKEN15GR</t>
  </si>
  <si>
    <t>LEM STICK KENKO 8 GR (KECIL) isi 30 pc</t>
  </si>
  <si>
    <t>LEM STICK KENKO 15 GR (TANGGUNG) isi 20 pc</t>
  </si>
  <si>
    <t>LEM STICK KENKO 15 GR (TANGGUNG) isi 20 pcBOX72000</t>
  </si>
  <si>
    <t>LEM STICK KENKO 8 GR (KECIL) isi 30 pcBOX66000</t>
  </si>
  <si>
    <t>2907</t>
  </si>
  <si>
    <t>PENKENKE303HITAM</t>
  </si>
  <si>
    <t>GEL PEN KENKO KE-303 T-GEL TRIANGULAR HITAM</t>
  </si>
  <si>
    <t>GEL PEN KENKO KE-303 T-GEL TRIANGULAR HITAMLSN21600</t>
  </si>
  <si>
    <t>ko</t>
  </si>
  <si>
    <t>2909</t>
  </si>
  <si>
    <t>bendan</t>
  </si>
  <si>
    <t>ISIGWNO10</t>
  </si>
  <si>
    <t>PAK</t>
  </si>
  <si>
    <t>ISI STAPLER (STAPLES) GREATWALL GW-NO. 10 (KECIL)</t>
  </si>
  <si>
    <t>ISI STAPLER (STAPLES) GREATWALL GW-NO. 10 (KECIL)PAK13250</t>
  </si>
  <si>
    <t>1009</t>
  </si>
  <si>
    <t>SET</t>
  </si>
  <si>
    <t>PWJK12WPANJANG</t>
  </si>
  <si>
    <t>PENSIL WARNA JOYKO CP-12PB (PANJANG)</t>
  </si>
  <si>
    <t>PENSIL WARNA JOYKO CP-12PB (PANJANG)SET10600</t>
  </si>
  <si>
    <t>0734</t>
  </si>
  <si>
    <t>TIPJKCT533</t>
  </si>
  <si>
    <t>CORRECTION TAPE JOYKO CT-533</t>
  </si>
  <si>
    <t>PUNJK30XL</t>
  </si>
  <si>
    <t>PUNCH JOYKO 30XL</t>
  </si>
  <si>
    <t>CORRECTION TAPE JOYKO CT-533LSN102000</t>
  </si>
  <si>
    <t>PUNCH JOYKO 30XLLSN155400</t>
  </si>
  <si>
    <t>CLIjk260</t>
  </si>
  <si>
    <t>BINDER CLIP JOYKO 260</t>
  </si>
  <si>
    <t>1224</t>
  </si>
  <si>
    <t>PENKENEASYGEL</t>
  </si>
  <si>
    <t>GEL PEN KENKO EASY GEL</t>
  </si>
  <si>
    <t>BINDER CLIP JOYKO 260GRS177000</t>
  </si>
  <si>
    <t>GEL PEN KENKO EASY GELLSN26100</t>
  </si>
  <si>
    <t>2966</t>
  </si>
  <si>
    <t>penkenhitech028funcolorbiru</t>
  </si>
  <si>
    <t>GEL PEN KENKO HI-TECH-H 0.28 MM FUN COLOR BIRU</t>
  </si>
  <si>
    <t>GEL PEN KENKO HI-TECH-H 0.28 MM FUN COLOR BIRULSN39000</t>
  </si>
  <si>
    <t>2970</t>
  </si>
  <si>
    <t>STAKENHD50</t>
  </si>
  <si>
    <t>ISIJK2BARIS</t>
  </si>
  <si>
    <t>LABEL HARGA JOYKO LB-P2CC (2 LINE, CAH-CAH)</t>
  </si>
  <si>
    <t>STAPLER KENKO HD-50</t>
  </si>
  <si>
    <t>LABEL HARGA JOYKO LB-P2CC (2 LINE, CAH-CAH)PCS3300</t>
  </si>
  <si>
    <t>STAPLER KENKO HD-50LSN228000</t>
  </si>
  <si>
    <t>2977</t>
  </si>
  <si>
    <t>OPJK48W</t>
  </si>
  <si>
    <t>CRAYON / OIL PASTEL JOYKO OP-48S PP CASE SEA WORLD</t>
  </si>
  <si>
    <t>CRAYON / OIL PASTEL JOYKO OP-48S PP CASE SEA WORLDPCS58900</t>
  </si>
  <si>
    <t>2981</t>
  </si>
  <si>
    <t>CLIKEN1</t>
  </si>
  <si>
    <t>PUSKENPN30</t>
  </si>
  <si>
    <t>PAPER TRIGONAL CLIP KENKO NO. 1</t>
  </si>
  <si>
    <t>PUSH PIN KENKO PN-30</t>
  </si>
  <si>
    <t>PAPER TRIGONAL CLIP KENKO NO. 1PCS1700</t>
  </si>
  <si>
    <t>PUSH PIN KENKO PN-30LSN33000</t>
  </si>
  <si>
    <t>2985</t>
  </si>
  <si>
    <t>PENTG340HITAM</t>
  </si>
  <si>
    <t>STATF616</t>
  </si>
  <si>
    <t>GEL PEN TIZO 1.0 MM TG-340 HITAM</t>
  </si>
  <si>
    <t>HIGHLIGHTER / STABILLO TIZO TF-616 (isi 24 pc)</t>
  </si>
  <si>
    <t>GEL PEN TIZO 1.0 MM TG-340 HITAMLSN33000</t>
  </si>
  <si>
    <t>HIGHLIGHTER / STABILLO TIZO TF-616 (isi 24 pc)BOX53500</t>
  </si>
  <si>
    <t>0748</t>
  </si>
  <si>
    <t>STAJKHD10CL</t>
  </si>
  <si>
    <t>STIJK40PUTIH</t>
  </si>
  <si>
    <t>STIJK20PUTIH</t>
  </si>
  <si>
    <t>GUNJKSC828</t>
  </si>
  <si>
    <t>GUNJKSC838</t>
  </si>
  <si>
    <t>GUNJKSC848</t>
  </si>
  <si>
    <t>PWJK12WPENDEK</t>
  </si>
  <si>
    <t>PWJK24WPANJANG</t>
  </si>
  <si>
    <t>CLIJKBULLDOG6</t>
  </si>
  <si>
    <t>STAPLER JOYKO HD-10CL</t>
  </si>
  <si>
    <t>STIP / PENGHAPUS JOYKO 526-B40P PUTIH</t>
  </si>
  <si>
    <t>STIP / PENGHAPUS JOYKO 526-B20 PUTIH</t>
  </si>
  <si>
    <t>CLIP BULLDOG JOYKO 6-145</t>
  </si>
  <si>
    <t>GUNTING JOYKO SC-828</t>
  </si>
  <si>
    <t>GUNTING JOYKO SC-838</t>
  </si>
  <si>
    <t>GUNTING JOYKO SC-848</t>
  </si>
  <si>
    <t>PENSIL WARNA JOYKO CP-S12 MINI (PENDEK)</t>
  </si>
  <si>
    <t>PENSIL WARNA JOYKO CP-24PB (PANJANG)</t>
  </si>
  <si>
    <t>CLIP BULLDOG JOYKO 6-145LSN108900</t>
  </si>
  <si>
    <t>GUNTING JOYKO SC-828PCS4350</t>
  </si>
  <si>
    <t>GUNTING JOYKO SC-838PCS6500</t>
  </si>
  <si>
    <t>GUNTING JOYKO SC-848PCS9750</t>
  </si>
  <si>
    <t>PENSIL WARNA JOYKO CP-12PB (PANJANG)PCS10600</t>
  </si>
  <si>
    <t>PENSIL WARNA JOYKO CP-24PB (PANJANG)PCS21200</t>
  </si>
  <si>
    <t>PENSIL WARNA JOYKO CP-S12 MINI (PENDEK)PCS6700</t>
  </si>
  <si>
    <t>STAPLER JOYKO HD-10CLLSN84000</t>
  </si>
  <si>
    <t>STIP / PENGHAPUS JOYKO 526-B20 PUTIHBOX34100</t>
  </si>
  <si>
    <t>STIP / PENGHAPUS JOYKO 526-B40P PUTIHBOX28300</t>
  </si>
  <si>
    <t>2991</t>
  </si>
  <si>
    <t>CALJKDTC1313CH</t>
  </si>
  <si>
    <t>CALCULATOR JOYKO DTC-1313CH</t>
  </si>
  <si>
    <t>CALCULATOR JOYKO DTC-1313CHPCS40000</t>
  </si>
  <si>
    <t>g</t>
  </si>
  <si>
    <t>2998</t>
  </si>
  <si>
    <t>PENTG340biru</t>
  </si>
  <si>
    <t>GEL PEN TIZO 1.0 MM TG-340BI BIRU</t>
  </si>
  <si>
    <t>GEL PEN TIZO 1.0 MM TG-340BI BIRULSN33000</t>
  </si>
  <si>
    <t>RENI</t>
  </si>
  <si>
    <t>(JATI MULYO)</t>
  </si>
  <si>
    <t>KEBUMEN</t>
  </si>
  <si>
    <t>N</t>
  </si>
  <si>
    <t>1302</t>
  </si>
  <si>
    <t>GEL PEN TIZO TG31035-E FANCY</t>
  </si>
  <si>
    <t>GEL PEN TIZO TG30802-E FANCY</t>
  </si>
  <si>
    <t>GEL PEN TIZO TG30801-E FANCY</t>
  </si>
  <si>
    <t>GEL PEN TIZO TG31590-E FANCY</t>
  </si>
  <si>
    <t>GEL PEN TIZO TG31762-E FANCY</t>
  </si>
  <si>
    <t>GEL PEN TIZO TG30801-E FANCYLSN18000</t>
  </si>
  <si>
    <t>GEL PEN TIZO TG30802-E FANCYLSN18000</t>
  </si>
  <si>
    <t>GEL PEN TIZO TG31035-E FANCYLSN18000</t>
  </si>
  <si>
    <t>GEL PEN TIZO TG31590-E FANCYLSN18000</t>
  </si>
  <si>
    <t>GEL PEN TIZO TG31762-E FANCYLSN18000</t>
  </si>
  <si>
    <t>GEL PEN TIZO TG31763-EL FANCY</t>
  </si>
  <si>
    <t>GEL PEN TIZO TG31763-EL FANCYLSN18000</t>
  </si>
  <si>
    <t>1307</t>
  </si>
  <si>
    <t>CLIKEN260</t>
  </si>
  <si>
    <t>BINDER CLIP KENKO NO. 260</t>
  </si>
  <si>
    <t>BINDER CLIP KENKO NO. 260GRS180000</t>
  </si>
  <si>
    <t>1232</t>
  </si>
  <si>
    <t>PENKENSTP300SG</t>
  </si>
  <si>
    <t>penkenhitech028HITAM</t>
  </si>
  <si>
    <t>TIPKENKE01</t>
  </si>
  <si>
    <t>PENKEN6800</t>
  </si>
  <si>
    <t>STAND PEN SPIRAL KENKO STP-300SG</t>
  </si>
  <si>
    <t>GEL PEN KENKO HI-TECH-H 0.28 MM HITAM</t>
  </si>
  <si>
    <t>CORRECTION FLUID KENKO KE-01</t>
  </si>
  <si>
    <t>PENSIL KENKO 2B-6800 PLATINUM</t>
  </si>
  <si>
    <t>PUSH PIN KENKO PN-30 WARNA</t>
  </si>
  <si>
    <t>CORRECTION FLUID KENKO KE-01LSN54300</t>
  </si>
  <si>
    <t>GEL PEN KENKO HI-TECH-H 0.28 MM HITAMLSN39000</t>
  </si>
  <si>
    <t>PENSIL KENKO 2B-6800 PLATINUMLSN8800</t>
  </si>
  <si>
    <t>PUSH PIN KENKO PN-30 WARNALSN33000</t>
  </si>
  <si>
    <t>STAND PEN SPIRAL KENKO STP-300SGLSN49200</t>
  </si>
  <si>
    <t>1318</t>
  </si>
  <si>
    <t>1324</t>
  </si>
  <si>
    <t>PUNKEN30XL</t>
  </si>
  <si>
    <t>PUNCH KENKO NO. 30XL</t>
  </si>
  <si>
    <t>PUNCH KENKO NO. 30XLPCS15000</t>
  </si>
  <si>
    <t>1330</t>
  </si>
  <si>
    <t>1332</t>
  </si>
  <si>
    <t>CUTJKL500</t>
  </si>
  <si>
    <t>CLIKEN200</t>
  </si>
  <si>
    <t>PENTG340BIRU</t>
  </si>
  <si>
    <t>CUTTER 18 MM JOYKO L-500 + ISI (BESAR)</t>
  </si>
  <si>
    <t>BINDER CLIP KENKO NO. 200</t>
  </si>
  <si>
    <t>BINDER CLIP KENKO NO. 200GRS120000</t>
  </si>
  <si>
    <t>BINDER CLIP KENKO NO. 260LSN15000</t>
  </si>
  <si>
    <t>CUTTER 18 MM JOYKO L-500 + ISI (BESAR)LSN162000</t>
  </si>
  <si>
    <t>GEL PEN TIZO 1.0 MM TG-340 HITAMLSN35000</t>
  </si>
  <si>
    <t>GEL PEN TIZO 1.0 MM TG-340BI BIRULSN35000</t>
  </si>
  <si>
    <t>1333</t>
  </si>
  <si>
    <t>PENKENNK7HITAM</t>
  </si>
  <si>
    <t>BALLPEN KENKO NK-7 / 7B HITAM</t>
  </si>
  <si>
    <t>BALLPEN KENKO NK-7 / 7B HITAMLSN12000</t>
  </si>
  <si>
    <t>1338</t>
  </si>
  <si>
    <t>LEMJKGS104</t>
  </si>
  <si>
    <t>STIJK20HITAM</t>
  </si>
  <si>
    <t>BNJKA5CAMPUS</t>
  </si>
  <si>
    <t>PCJKPC0719FANCY</t>
  </si>
  <si>
    <t>CALJKCC8A</t>
  </si>
  <si>
    <t>KUAJKBR1</t>
  </si>
  <si>
    <t>LEMJKGS09</t>
  </si>
  <si>
    <t>JANJKMS402</t>
  </si>
  <si>
    <t>PCJKPC0719POLOS</t>
  </si>
  <si>
    <t>PENCIL CASE KENKO PC-0719 POLOS</t>
  </si>
  <si>
    <t>LEM STICK JOYKO 8 GR GS-09 isi 12 pc</t>
  </si>
  <si>
    <t>LEM STICK JOYKO 15 GR GS-104 TG (ANIMAL KINGDOM) isi 24 pc</t>
  </si>
  <si>
    <t>STIP / PENGHAPUS JOYKO ER-B20BL HITAM</t>
  </si>
  <si>
    <t>JANGKA (MATH SET) JOYKO MS-402</t>
  </si>
  <si>
    <t>CALCULATOR JOYKO CC-8A</t>
  </si>
  <si>
    <t>KUAS SET JOYKO BR-1</t>
  </si>
  <si>
    <t>BINDER NOTE JOYKO A5 (CAMPUS/CLASSIC)PCS15800</t>
  </si>
  <si>
    <t>CALCULATOR JOYKO CC-8APCS47000</t>
  </si>
  <si>
    <t>JANGKA (MATH SET) JOYKO MS-402SET12000</t>
  </si>
  <si>
    <t>KUAS SET JOYKO BR-1SET8800</t>
  </si>
  <si>
    <t>LEM STICK JOYKO 15 GR GS-104 TG (ANIMAL KINGDOM) isi 24 pcBOX58800</t>
  </si>
  <si>
    <t>LEM STICK JOYKO 8 GR GS-09 isi 12 pcBOX25200</t>
  </si>
  <si>
    <t>PENCIL CASE KENKO PC-0719 POLOSLSN57600</t>
  </si>
  <si>
    <t>STIP / PENGHAPUS JOYKO ER-B20BL HITAMBOX34100</t>
  </si>
  <si>
    <t>STAJKHD10</t>
  </si>
  <si>
    <t>STAPLER JOYKO HD-10</t>
  </si>
  <si>
    <t>PENCIL CASE KENKO PC-0719 FANCY</t>
  </si>
  <si>
    <t>PENCIL CASE KENKO PC-0719 FANCYLSN57600</t>
  </si>
  <si>
    <t>STAPLER JOYKO HD-10LSN85200</t>
  </si>
  <si>
    <t>NO INVOICE</t>
  </si>
  <si>
    <t>TGL INVOICE</t>
  </si>
  <si>
    <t>KODE SALES</t>
  </si>
  <si>
    <t>TOTAL INVOICE</t>
  </si>
  <si>
    <t>PEMBUAT NOTA</t>
  </si>
  <si>
    <t>1339</t>
  </si>
  <si>
    <t>ACCKENWARNA</t>
  </si>
  <si>
    <t>CLIKEN3</t>
  </si>
  <si>
    <t>CLIKEN5</t>
  </si>
  <si>
    <t>PAPER FASTENER (ACCO) KENKO PF-508 ISI 50 PC WARNA</t>
  </si>
  <si>
    <t>PAPER TRIGONAL CLIP KENKO NO. 3</t>
  </si>
  <si>
    <t>PAPER JUMBO CLIP KENKO NO. 5</t>
  </si>
  <si>
    <t>PAPER FASTENER (ACCO) KENKO PF-508 ISI 50 PC WARNAPAK9800</t>
  </si>
  <si>
    <t>PAPER JUMBO CLIP KENKO NO. 5PAK4300</t>
  </si>
  <si>
    <t>PAPER TRIGONAL CLIP KENKO NO. 3PAK1600</t>
  </si>
  <si>
    <t>1342</t>
  </si>
  <si>
    <t>PENSIL WARNA JOYKO CP-S12 MINI (PENDEK)LSN80400</t>
  </si>
  <si>
    <t>1345</t>
  </si>
  <si>
    <t>PUNKEN30</t>
  </si>
  <si>
    <t>STAKENKECIL</t>
  </si>
  <si>
    <t>STAKENH5</t>
  </si>
  <si>
    <t>CLIKEN3100</t>
  </si>
  <si>
    <t>PUNCH KENKO NO. 30</t>
  </si>
  <si>
    <t>PAPER CLIP WARNA KENKO 3100</t>
  </si>
  <si>
    <t>PAPER CLIP WARNA KENKO 3100LSN41400</t>
  </si>
  <si>
    <t>PUNCH KENKO NO. 30PCS13000</t>
  </si>
  <si>
    <t>1346</t>
  </si>
  <si>
    <t>GEL PEN ZHIXIN G-5001 + REFILL</t>
  </si>
  <si>
    <t>GEL PEN ZHIXIN G-3132 + REFILL</t>
  </si>
  <si>
    <t>GEL PEN ZHIXIN G-3136 + REFILL</t>
  </si>
  <si>
    <t>GEL PEN ZHIXIN G-5004 + REFILL</t>
  </si>
  <si>
    <t>GEL PEN ZHIXIN G-3132 + REFILLLSN18000</t>
  </si>
  <si>
    <t>GEL PEN ZHIXIN G-3136 + REFILLLSN18000</t>
  </si>
  <si>
    <t>GEL PEN ZHIXIN G-5001 + REFILLLSN18000</t>
  </si>
  <si>
    <t>GEL PEN ZHIXIN G-5004 + REFILLLSN18000</t>
  </si>
  <si>
    <t>KENKO HIGHLIGHTER HL-100 HIJAU</t>
  </si>
  <si>
    <t>KENKO HIGHLIGHTER HL-100 PINK</t>
  </si>
  <si>
    <t>1243</t>
  </si>
  <si>
    <t>PENJKGP266HT</t>
  </si>
  <si>
    <t>BENLT1132</t>
  </si>
  <si>
    <t>PWKEN24WPANJANG</t>
  </si>
  <si>
    <t>PENVANGP559</t>
  </si>
  <si>
    <t>BKKASKWARTO</t>
  </si>
  <si>
    <t>LLJKA550</t>
  </si>
  <si>
    <t>STIKEN40HITAM</t>
  </si>
  <si>
    <t>ISIKENKECIL</t>
  </si>
  <si>
    <t>CLIKEN105</t>
  </si>
  <si>
    <t>CLIKEN111</t>
  </si>
  <si>
    <t>GEL PEN JOYKO GP-266 ITECH 2 HITAM</t>
  </si>
  <si>
    <t>ISI BENSIA LANTU LT 11-32 (40 SET)</t>
  </si>
  <si>
    <t>PENSIL WARNA KENKO CP-24F CLASSIC (PANJANG)</t>
  </si>
  <si>
    <t>BUKU KAS KWARTO</t>
  </si>
  <si>
    <t>LOOSE LEAF JOYKO A5-7020 (50S)</t>
  </si>
  <si>
    <t>STIP / PENGHAPUS KENKO ERB-40SQ HITAM</t>
  </si>
  <si>
    <t>ISI CUTTER 9 MM KENKO A-100 (KECIL)</t>
  </si>
  <si>
    <t>BINDER CLIP KENKO NO. 105</t>
  </si>
  <si>
    <t>BINDER CLIP KENKO NO. 111</t>
  </si>
  <si>
    <t>RISMA / CONDRO</t>
  </si>
  <si>
    <t>BINDER CLIP KENKO NO. 105GRS28800</t>
  </si>
  <si>
    <t>BINDER CLIP KENKO NO. 111GRS49200</t>
  </si>
  <si>
    <t>BUKU KAS KWARTOPCS9500</t>
  </si>
  <si>
    <t>GEL PEN JOYKO GP-266 ITECH 2 HITAMLSN27600</t>
  </si>
  <si>
    <t>ISI BENSIA LANTU LT 11-32 (40 SET)PCS2750</t>
  </si>
  <si>
    <t>ISI CUTTER 9 MM KENKO A-100 (KECIL)LSN32400</t>
  </si>
  <si>
    <t>KENKO HIGHLIGHTER HL-100 HIJAUPCS3050</t>
  </si>
  <si>
    <t>KENKO HIGHLIGHTER HL-100 PINKPCS3050</t>
  </si>
  <si>
    <t>LOOSE LEAF JOYKO A5-7020 (50S)PAK3600</t>
  </si>
  <si>
    <t>PENSIL WARNA KENKO CP-24F CLASSIC (PANJANG)SET20700</t>
  </si>
  <si>
    <t>STIP / PENGHAPUS KENKO ERB-40SQ HITAMPAK27500</t>
  </si>
  <si>
    <t>GEL PEN VANCO GP-559 HI-TOUCH HITAM</t>
  </si>
  <si>
    <t>GEL PEN VANCO GP-559 HI-TOUCH HITAMLSN26000</t>
  </si>
  <si>
    <t>1364</t>
  </si>
  <si>
    <t>PENSIL WARNA JOYKO CP-12PB (PANJANG)LSN127200</t>
  </si>
  <si>
    <t>1371</t>
  </si>
  <si>
    <t>`</t>
  </si>
  <si>
    <t>1370</t>
  </si>
  <si>
    <t>PUNKEN85XL</t>
  </si>
  <si>
    <t xml:space="preserve">BOX </t>
  </si>
  <si>
    <t>ISIKEN1210</t>
  </si>
  <si>
    <t>PUNCH KENKO NO. 85XL</t>
  </si>
  <si>
    <t>ISI STAPLER (STAPLES) KENKO 1210 PREMIUM (23/10)</t>
  </si>
  <si>
    <t>ISI STAPLER (STAPLES) KENKO 1210 PREMIUM (23/10)BOX 4200</t>
  </si>
  <si>
    <t>PUNCH KENKO NO. 85XLPCS59000</t>
  </si>
  <si>
    <t>1249</t>
  </si>
  <si>
    <t>1376</t>
  </si>
  <si>
    <t>1250</t>
  </si>
  <si>
    <t>STAKENS68</t>
  </si>
  <si>
    <t>STAMP PLATE DATER KENKO S-68 (Cap Lunas)</t>
  </si>
  <si>
    <t>STAMP PLATE DATER KENKO S-68 (Cap Lunas)LSN99600</t>
  </si>
  <si>
    <t>c2</t>
  </si>
  <si>
    <t>2916</t>
  </si>
  <si>
    <t>CALJKCC15A</t>
  </si>
  <si>
    <t>CALJKCC8CO</t>
  </si>
  <si>
    <t>CALJKCC47CO</t>
  </si>
  <si>
    <t>CALCULATOR JOYKO CC-15A</t>
  </si>
  <si>
    <t>CALCULATOR JOYKO CC-8CO WARNA</t>
  </si>
  <si>
    <t>CALCULATOR JOYKO CC-47CO WARNA</t>
  </si>
  <si>
    <t>CALCULATOR JOYKO CC-15APCS47000</t>
  </si>
  <si>
    <t>CALCULATOR JOYKO CC-47CO WARNAPCS32500</t>
  </si>
  <si>
    <t>CALCULATOR JOYKO CC-8CO WARNAPCS46000</t>
  </si>
  <si>
    <t>2917</t>
  </si>
  <si>
    <t>CLIKEN155</t>
  </si>
  <si>
    <t>BINDER CLIP KENKO NO. 155</t>
  </si>
  <si>
    <t>BINDER CLIP KENKO NO. 155GRS69000</t>
  </si>
  <si>
    <t>1380</t>
  </si>
  <si>
    <t>BENSIA SF-9939 A ISI 32 PC (LOVE DADU)</t>
  </si>
  <si>
    <t/>
  </si>
  <si>
    <t>PENKENK1HITAM</t>
  </si>
  <si>
    <t>GEL PEN KENKO K-1 HITAM</t>
  </si>
  <si>
    <t>BENSIA SF-9939 A ISI 32 PC (LOVE DADU)BOX56000</t>
  </si>
  <si>
    <t>GEL PEN KENKO K-1 HITAMLSN39600</t>
  </si>
  <si>
    <t>h_disc 1</t>
  </si>
  <si>
    <t>h_disc 2</t>
  </si>
  <si>
    <t>1388</t>
  </si>
  <si>
    <t>PUNKEN85N</t>
  </si>
  <si>
    <t>CUTKENL500</t>
  </si>
  <si>
    <t>PUNCH KENKO NO. 85N</t>
  </si>
  <si>
    <t>CUTTER 18 MM KENKO L-500 (BESAR)</t>
  </si>
  <si>
    <t>CUTTER 18 MM KENKO L-500 (BESAR)LSN147600</t>
  </si>
  <si>
    <t>PUNCH KENKO NO. 85NPCS42500</t>
  </si>
  <si>
    <t>PWKEN12WPENDEK</t>
  </si>
  <si>
    <t>PENSIL WARNA KENKO CP-12HALF CLASSIC (PENDEK)</t>
  </si>
  <si>
    <t>1019</t>
  </si>
  <si>
    <t>TIPKENCT919</t>
  </si>
  <si>
    <t>JANJKMS75</t>
  </si>
  <si>
    <t>JANJKMS25</t>
  </si>
  <si>
    <t>JANJKMS55</t>
  </si>
  <si>
    <t>CORRECTION TAPE KENKO CT-919 (12M x 5MM)</t>
  </si>
  <si>
    <t>JANGKA (MATH SET) JOYKO MS-75</t>
  </si>
  <si>
    <t>JANGKA (MATH SET) JOYKO MS-25</t>
  </si>
  <si>
    <t>JANGKA (MATH SET) JOYKO MS-55</t>
  </si>
  <si>
    <t>CORRECTION TAPE KENKO CT-919 (12M x 5MM)LSN55800</t>
  </si>
  <si>
    <t>JANGKA (MATH SET) JOYKO MS-25LSN89400</t>
  </si>
  <si>
    <t>JANGKA (MATH SET) JOYKO MS-55LSN89400</t>
  </si>
  <si>
    <t>JANGKA (MATH SET) JOYKO MS-75LSN90600</t>
  </si>
  <si>
    <t>PENSIL WARNA KENKO CP-12HALF CLASSIC (PENDEK)SET6600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</si>
</sst>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7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3-Hitung%20FP%20Keluar%20Maret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  <cell r="J1"/>
        </row>
        <row r="2">
          <cell r="D2" t="str">
            <v>AM</v>
          </cell>
          <cell r="E2">
            <v>23030001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44988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KO 1182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>
            <v>5</v>
          </cell>
          <cell r="E10" t="str">
            <v>STAPLER KENKO HD-10</v>
          </cell>
          <cell r="J10"/>
          <cell r="K10">
            <v>8044500</v>
          </cell>
        </row>
        <row r="11">
          <cell r="D11"/>
          <cell r="E11"/>
          <cell r="J11"/>
          <cell r="K11">
            <v>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8044500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797202.70270270272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8044500</v>
          </cell>
        </row>
        <row r="35">
          <cell r="D35"/>
          <cell r="E35"/>
          <cell r="J35"/>
          <cell r="K35"/>
        </row>
        <row r="36">
          <cell r="D36"/>
          <cell r="J36" t="str">
            <v>NOVI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23030001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44988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KO 1182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>
            <v>5</v>
          </cell>
          <cell r="E48" t="str">
            <v>STAPLER KENKO HD-10</v>
          </cell>
          <cell r="J48">
            <v>0</v>
          </cell>
          <cell r="K48">
            <v>8044500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8044500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797202.70270270272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8044500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NOVI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23030001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44988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KO 1182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>
            <v>5</v>
          </cell>
          <cell r="E86" t="str">
            <v>STAPLER KENKO HD-10</v>
          </cell>
          <cell r="J86">
            <v>0</v>
          </cell>
          <cell r="K86">
            <v>8044500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8044500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797202.70270270272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8044500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NOVI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23030002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44988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1097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>
            <v>1</v>
          </cell>
          <cell r="E124" t="str">
            <v>CRAYON / OIL PASTEL JOYKO OP-72S PP CASE SEA WORLD</v>
          </cell>
          <cell r="J124"/>
          <cell r="K124">
            <v>2004480</v>
          </cell>
        </row>
        <row r="125">
          <cell r="D125">
            <v>1</v>
          </cell>
          <cell r="E125" t="str">
            <v>BINDER CLIP KENKO NO. 260</v>
          </cell>
          <cell r="J125"/>
          <cell r="K125">
            <v>769950</v>
          </cell>
        </row>
        <row r="126">
          <cell r="D126">
            <v>1</v>
          </cell>
          <cell r="E126" t="str">
            <v>PLAKBAND KAIN HITAM KENKO 48 MM (2") BLUE CORE</v>
          </cell>
          <cell r="J126"/>
          <cell r="K126">
            <v>1273680</v>
          </cell>
        </row>
        <row r="127">
          <cell r="D127"/>
          <cell r="E127"/>
          <cell r="J127"/>
          <cell r="K127">
            <v>0</v>
          </cell>
        </row>
        <row r="128">
          <cell r="D128"/>
          <cell r="E128"/>
          <cell r="J128"/>
          <cell r="K128">
            <v>0</v>
          </cell>
        </row>
        <row r="129">
          <cell r="D129"/>
          <cell r="E129"/>
          <cell r="J129"/>
          <cell r="K129">
            <v>0</v>
          </cell>
        </row>
        <row r="130">
          <cell r="D130"/>
          <cell r="E130"/>
          <cell r="J130"/>
          <cell r="K130">
            <v>0</v>
          </cell>
        </row>
        <row r="131">
          <cell r="D131"/>
          <cell r="E131"/>
          <cell r="J131"/>
          <cell r="K131">
            <v>0</v>
          </cell>
        </row>
        <row r="132">
          <cell r="D132"/>
          <cell r="E132"/>
          <cell r="J132"/>
          <cell r="K132">
            <v>0</v>
          </cell>
        </row>
        <row r="133">
          <cell r="D133"/>
          <cell r="E133"/>
          <cell r="J133"/>
          <cell r="K133">
            <v>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4048110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401164.05405405402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4048110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NOVI / CONDRO</v>
          </cell>
          <cell r="K150"/>
        </row>
        <row r="151">
          <cell r="D151"/>
          <cell r="J151"/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23030002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44988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1097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>
            <v>1</v>
          </cell>
          <cell r="E162" t="str">
            <v>CRAYON / OIL PASTEL JOYKO OP-72S PP CASE SEA WORLD</v>
          </cell>
          <cell r="J162">
            <v>0</v>
          </cell>
          <cell r="K162">
            <v>2004480</v>
          </cell>
        </row>
        <row r="163">
          <cell r="D163">
            <v>1</v>
          </cell>
          <cell r="E163" t="str">
            <v>BINDER CLIP KENKO NO. 260</v>
          </cell>
          <cell r="J163">
            <v>0</v>
          </cell>
          <cell r="K163">
            <v>769950</v>
          </cell>
        </row>
        <row r="164">
          <cell r="D164">
            <v>1</v>
          </cell>
          <cell r="E164" t="str">
            <v>PLAKBAND KAIN HITAM KENKO 48 MM (2") BLUE CORE</v>
          </cell>
          <cell r="J164">
            <v>0</v>
          </cell>
          <cell r="K164">
            <v>1273680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4048110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401164.05405405402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4048110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NOVI / CONDRO</v>
          </cell>
          <cell r="K188"/>
        </row>
        <row r="189">
          <cell r="D189"/>
          <cell r="E189"/>
          <cell r="J189">
            <v>0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23030002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44988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1097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>
            <v>1</v>
          </cell>
          <cell r="E200" t="str">
            <v>CRAYON / OIL PASTEL JOYKO OP-72S PP CASE SEA WORLD</v>
          </cell>
          <cell r="J200">
            <v>0</v>
          </cell>
          <cell r="K200">
            <v>2004480</v>
          </cell>
        </row>
        <row r="201">
          <cell r="D201">
            <v>1</v>
          </cell>
          <cell r="E201" t="str">
            <v>BINDER CLIP KENKO NO. 260</v>
          </cell>
          <cell r="J201">
            <v>0</v>
          </cell>
          <cell r="K201">
            <v>769950</v>
          </cell>
        </row>
        <row r="202">
          <cell r="D202">
            <v>1</v>
          </cell>
          <cell r="E202" t="str">
            <v>PLAKBAND KAIN HITAM KENKO 48 MM (2") BLUE CORE</v>
          </cell>
          <cell r="J202">
            <v>0</v>
          </cell>
          <cell r="K202">
            <v>1273680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4048110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401164.05405405402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4048110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NOVI / CONDRO</v>
          </cell>
          <cell r="K226"/>
        </row>
        <row r="227">
          <cell r="D227"/>
          <cell r="E227"/>
          <cell r="J227">
            <v>0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23030003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44988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G 1012</v>
          </cell>
          <cell r="E234"/>
          <cell r="J234"/>
          <cell r="K234"/>
        </row>
        <row r="235">
          <cell r="D235"/>
          <cell r="J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3</v>
          </cell>
          <cell r="E238" t="str">
            <v>ISI CUTTER 18 MM KENKO L-150 (BESAR)</v>
          </cell>
          <cell r="J238"/>
          <cell r="K238">
            <v>10206000</v>
          </cell>
        </row>
        <row r="239">
          <cell r="D239"/>
          <cell r="E239"/>
          <cell r="J239"/>
          <cell r="K239">
            <v>0</v>
          </cell>
        </row>
        <row r="240">
          <cell r="D240"/>
          <cell r="E240"/>
          <cell r="J240"/>
          <cell r="K240">
            <v>0</v>
          </cell>
        </row>
        <row r="241">
          <cell r="D241"/>
          <cell r="E241"/>
          <cell r="J241"/>
          <cell r="K241">
            <v>0</v>
          </cell>
        </row>
        <row r="242">
          <cell r="D242"/>
          <cell r="E242"/>
          <cell r="J242"/>
          <cell r="K242">
            <v>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10206000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1011405.4054054053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10206000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/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23030003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44988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G 1012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3</v>
          </cell>
          <cell r="E276" t="str">
            <v>ISI CUTTER 18 MM KENKO L-150 (BESAR)</v>
          </cell>
          <cell r="J276">
            <v>0</v>
          </cell>
          <cell r="K276">
            <v>10206000</v>
          </cell>
        </row>
        <row r="277">
          <cell r="D277">
            <v>0</v>
          </cell>
          <cell r="E277">
            <v>0</v>
          </cell>
          <cell r="J277">
            <v>0</v>
          </cell>
          <cell r="K277">
            <v>0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10206000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1011405.4054054053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10206000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>
            <v>0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23030003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44988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G 1012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3</v>
          </cell>
          <cell r="E314" t="str">
            <v>ISI CUTTER 18 MM KENKO L-150 (BESAR)</v>
          </cell>
          <cell r="J314">
            <v>0</v>
          </cell>
          <cell r="K314">
            <v>10206000</v>
          </cell>
        </row>
        <row r="315">
          <cell r="D315">
            <v>0</v>
          </cell>
          <cell r="E315">
            <v>0</v>
          </cell>
          <cell r="J315">
            <v>0</v>
          </cell>
          <cell r="K315">
            <v>0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10206000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1011405.4054054053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10206000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>
            <v>0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23030004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44991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KO 1192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 t="str">
            <v/>
          </cell>
          <cell r="E352" t="str">
            <v>BINDER CLIP JOYKO 105</v>
          </cell>
          <cell r="J352"/>
          <cell r="K352">
            <v>496800</v>
          </cell>
        </row>
        <row r="353">
          <cell r="D353" t="str">
            <v/>
          </cell>
          <cell r="E353" t="str">
            <v>PENSIL WARNA KENKO CP-12F CLASSIC (PANJANG)</v>
          </cell>
          <cell r="J353"/>
          <cell r="K353">
            <v>335340</v>
          </cell>
        </row>
        <row r="354">
          <cell r="D354"/>
          <cell r="E354"/>
          <cell r="J354"/>
          <cell r="K354">
            <v>0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832140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82464.32432432432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832140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CONDRO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23030004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44991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KO 1192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 t="str">
            <v/>
          </cell>
          <cell r="E390" t="str">
            <v>BINDER CLIP JOYKO 105</v>
          </cell>
          <cell r="J390">
            <v>0</v>
          </cell>
          <cell r="K390">
            <v>496800</v>
          </cell>
        </row>
        <row r="391">
          <cell r="D391" t="str">
            <v/>
          </cell>
          <cell r="E391" t="str">
            <v>PENSIL WARNA KENKO CP-12F CLASSIC (PANJANG)</v>
          </cell>
          <cell r="J391">
            <v>0</v>
          </cell>
          <cell r="K391">
            <v>335340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832140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82464.32432432432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832140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CONDRO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23030004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44991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KO 1192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 t="str">
            <v/>
          </cell>
          <cell r="E428" t="str">
            <v>BINDER CLIP JOYKO 105</v>
          </cell>
          <cell r="J428">
            <v>0</v>
          </cell>
          <cell r="K428">
            <v>496800</v>
          </cell>
        </row>
        <row r="429">
          <cell r="D429" t="str">
            <v/>
          </cell>
          <cell r="E429" t="str">
            <v>PENSIL WARNA KENKO CP-12F CLASSIC (PANJANG)</v>
          </cell>
          <cell r="J429">
            <v>0</v>
          </cell>
          <cell r="K429">
            <v>335340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832140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82464.32432432432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832140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CONDRO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23030005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44991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>KO 2906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>
            <v>1</v>
          </cell>
          <cell r="E466" t="str">
            <v>LEM STICK KENKO 8 GR (KECIL) isi 30 pc</v>
          </cell>
          <cell r="J466"/>
          <cell r="K466">
            <v>2067120</v>
          </cell>
        </row>
        <row r="467">
          <cell r="D467">
            <v>1</v>
          </cell>
          <cell r="E467" t="str">
            <v>LEM STICK KENKO 15 GR (TANGGUNG) isi 20 pc</v>
          </cell>
          <cell r="J467"/>
          <cell r="K467">
            <v>2255040</v>
          </cell>
        </row>
        <row r="468">
          <cell r="D468"/>
          <cell r="E468"/>
          <cell r="J468"/>
          <cell r="K468">
            <v>0</v>
          </cell>
        </row>
        <row r="469">
          <cell r="D469"/>
          <cell r="E469"/>
          <cell r="J469"/>
          <cell r="K469">
            <v>0</v>
          </cell>
        </row>
        <row r="470">
          <cell r="D470"/>
          <cell r="E470"/>
          <cell r="J470"/>
          <cell r="K470">
            <v>0</v>
          </cell>
        </row>
        <row r="471">
          <cell r="D471"/>
          <cell r="E471"/>
          <cell r="J471"/>
          <cell r="K471">
            <v>0</v>
          </cell>
        </row>
        <row r="472">
          <cell r="D472"/>
          <cell r="E472"/>
          <cell r="J472"/>
          <cell r="K472">
            <v>0</v>
          </cell>
        </row>
        <row r="473">
          <cell r="D473"/>
          <cell r="E473"/>
          <cell r="J473"/>
          <cell r="K473">
            <v>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4322160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428322.16216216213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4322160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CONDRO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23030005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44991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>KO 2906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>
            <v>1</v>
          </cell>
          <cell r="E504" t="str">
            <v>LEM STICK KENKO 8 GR (KECIL) isi 30 pc</v>
          </cell>
          <cell r="J504">
            <v>0</v>
          </cell>
          <cell r="K504">
            <v>2067120</v>
          </cell>
        </row>
        <row r="505">
          <cell r="D505">
            <v>1</v>
          </cell>
          <cell r="E505" t="str">
            <v>LEM STICK KENKO 15 GR (TANGGUNG) isi 20 pc</v>
          </cell>
          <cell r="J505">
            <v>0</v>
          </cell>
          <cell r="K505">
            <v>2255040</v>
          </cell>
        </row>
        <row r="506">
          <cell r="D506">
            <v>0</v>
          </cell>
          <cell r="E506">
            <v>0</v>
          </cell>
          <cell r="J506">
            <v>0</v>
          </cell>
          <cell r="K506">
            <v>0</v>
          </cell>
        </row>
        <row r="507">
          <cell r="D507">
            <v>0</v>
          </cell>
          <cell r="E507">
            <v>0</v>
          </cell>
          <cell r="J507">
            <v>0</v>
          </cell>
          <cell r="K507">
            <v>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4322160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428322.16216216213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4322160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CONDRO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23030005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44991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>KO 2906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>
            <v>1</v>
          </cell>
          <cell r="E542" t="str">
            <v>LEM STICK KENKO 8 GR (KECIL) isi 30 pc</v>
          </cell>
          <cell r="J542">
            <v>0</v>
          </cell>
          <cell r="K542">
            <v>2067120</v>
          </cell>
        </row>
        <row r="543">
          <cell r="D543">
            <v>1</v>
          </cell>
          <cell r="E543" t="str">
            <v>LEM STICK KENKO 15 GR (TANGGUNG) isi 20 pc</v>
          </cell>
          <cell r="J543">
            <v>0</v>
          </cell>
          <cell r="K543">
            <v>2255040</v>
          </cell>
        </row>
        <row r="544">
          <cell r="D544">
            <v>0</v>
          </cell>
          <cell r="E544">
            <v>0</v>
          </cell>
          <cell r="J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J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4322160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428322.16216216213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4322160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CONDRO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23030006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44991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KO 2907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>
            <v>1</v>
          </cell>
          <cell r="E580" t="str">
            <v>LEM STICK KENKO 8 GR (KECIL) isi 30 pc</v>
          </cell>
          <cell r="J580"/>
          <cell r="K580">
            <v>2055240</v>
          </cell>
        </row>
        <row r="581">
          <cell r="D581">
            <v>3</v>
          </cell>
          <cell r="E581" t="str">
            <v>GEL PEN KENKO KE-303 T-GEL TRIANGULAR HITAM</v>
          </cell>
          <cell r="J581"/>
          <cell r="K581">
            <v>8071488</v>
          </cell>
        </row>
        <row r="582">
          <cell r="D582"/>
          <cell r="E582"/>
          <cell r="J582"/>
          <cell r="K582">
            <v>0</v>
          </cell>
        </row>
        <row r="583">
          <cell r="D583"/>
          <cell r="E583"/>
          <cell r="J583"/>
          <cell r="K583">
            <v>0</v>
          </cell>
        </row>
        <row r="584">
          <cell r="D584"/>
          <cell r="E584"/>
          <cell r="J584"/>
          <cell r="K584">
            <v>0</v>
          </cell>
        </row>
        <row r="585">
          <cell r="D585"/>
          <cell r="E585"/>
          <cell r="J585"/>
          <cell r="K585">
            <v>0</v>
          </cell>
        </row>
        <row r="586">
          <cell r="D586"/>
          <cell r="E586"/>
          <cell r="J586"/>
          <cell r="K586">
            <v>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10126728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1003549.6216216217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10126728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NOVI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23030006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44991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KO 2907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>
            <v>1</v>
          </cell>
          <cell r="E618" t="str">
            <v>LEM STICK KENKO 8 GR (KECIL) isi 30 pc</v>
          </cell>
          <cell r="J618">
            <v>0</v>
          </cell>
          <cell r="K618">
            <v>2055240</v>
          </cell>
        </row>
        <row r="619">
          <cell r="D619">
            <v>3</v>
          </cell>
          <cell r="E619" t="str">
            <v>GEL PEN KENKO KE-303 T-GEL TRIANGULAR HITAM</v>
          </cell>
          <cell r="J619">
            <v>0</v>
          </cell>
          <cell r="K619">
            <v>8071488</v>
          </cell>
        </row>
        <row r="620">
          <cell r="D620">
            <v>0</v>
          </cell>
          <cell r="E620">
            <v>0</v>
          </cell>
          <cell r="J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10126728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1003549.6216216217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10126728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NOVI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23030006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44991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KO 2907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>
            <v>1</v>
          </cell>
          <cell r="E656" t="str">
            <v>LEM STICK KENKO 8 GR (KECIL) isi 30 pc</v>
          </cell>
          <cell r="J656">
            <v>0</v>
          </cell>
          <cell r="K656">
            <v>2055240</v>
          </cell>
        </row>
        <row r="657">
          <cell r="D657">
            <v>3</v>
          </cell>
          <cell r="E657" t="str">
            <v>GEL PEN KENKO KE-303 T-GEL TRIANGULAR HITAM</v>
          </cell>
          <cell r="J657">
            <v>0</v>
          </cell>
          <cell r="K657">
            <v>8071488</v>
          </cell>
        </row>
        <row r="658">
          <cell r="D658">
            <v>0</v>
          </cell>
          <cell r="E658">
            <v>0</v>
          </cell>
          <cell r="J658">
            <v>0</v>
          </cell>
          <cell r="K658">
            <v>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10126728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1003549.6216216217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10126728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NOVI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23030007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44992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KO 2909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>
            <v>6</v>
          </cell>
          <cell r="E694" t="str">
            <v>ISI STAPLER (STAPLES) GREATWALL GW-NO. 10 (KECIL)</v>
          </cell>
          <cell r="J694"/>
          <cell r="K694">
            <v>7950000</v>
          </cell>
        </row>
        <row r="695">
          <cell r="D695"/>
          <cell r="E695"/>
          <cell r="J695"/>
          <cell r="K695">
            <v>0</v>
          </cell>
        </row>
        <row r="696">
          <cell r="D696"/>
          <cell r="E696"/>
          <cell r="J696"/>
          <cell r="K696">
            <v>0</v>
          </cell>
        </row>
        <row r="697">
          <cell r="D697"/>
          <cell r="E697"/>
          <cell r="J697"/>
          <cell r="K697">
            <v>0</v>
          </cell>
        </row>
        <row r="698">
          <cell r="D698"/>
          <cell r="E698"/>
          <cell r="J698"/>
          <cell r="K698">
            <v>0</v>
          </cell>
        </row>
        <row r="699">
          <cell r="D699"/>
          <cell r="E699"/>
          <cell r="J699"/>
          <cell r="K699">
            <v>0</v>
          </cell>
        </row>
        <row r="700">
          <cell r="D700"/>
          <cell r="E700"/>
          <cell r="J700"/>
          <cell r="K700">
            <v>0</v>
          </cell>
        </row>
        <row r="701">
          <cell r="D701"/>
          <cell r="E701"/>
          <cell r="J701"/>
          <cell r="K701">
            <v>0</v>
          </cell>
        </row>
        <row r="702">
          <cell r="D702"/>
          <cell r="E702"/>
          <cell r="J702"/>
          <cell r="K702">
            <v>0</v>
          </cell>
        </row>
        <row r="703">
          <cell r="D703"/>
          <cell r="E703"/>
          <cell r="J703"/>
          <cell r="K703">
            <v>0</v>
          </cell>
        </row>
        <row r="704">
          <cell r="D704"/>
          <cell r="E704"/>
          <cell r="J704"/>
          <cell r="K704">
            <v>0</v>
          </cell>
        </row>
        <row r="705">
          <cell r="D705"/>
          <cell r="E705"/>
          <cell r="J705"/>
          <cell r="K705">
            <v>0</v>
          </cell>
        </row>
        <row r="706">
          <cell r="D706"/>
          <cell r="E706"/>
          <cell r="J706"/>
          <cell r="K706">
            <v>0</v>
          </cell>
        </row>
        <row r="707">
          <cell r="D707"/>
          <cell r="E707"/>
          <cell r="J707"/>
          <cell r="K707">
            <v>0</v>
          </cell>
        </row>
        <row r="708">
          <cell r="D708"/>
          <cell r="E708"/>
          <cell r="J708"/>
          <cell r="K708">
            <v>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7950000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787837.83783783775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7950000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NOVI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23030007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44992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KO 2909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>
            <v>6</v>
          </cell>
          <cell r="E732" t="str">
            <v>ISI STAPLER (STAPLES) GREATWALL GW-NO. 10 (KECIL)</v>
          </cell>
          <cell r="J732">
            <v>0</v>
          </cell>
          <cell r="K732">
            <v>7950000</v>
          </cell>
        </row>
        <row r="733">
          <cell r="D733">
            <v>0</v>
          </cell>
          <cell r="E733">
            <v>0</v>
          </cell>
          <cell r="J733">
            <v>0</v>
          </cell>
          <cell r="K733">
            <v>0</v>
          </cell>
        </row>
        <row r="734">
          <cell r="D734">
            <v>0</v>
          </cell>
          <cell r="E734">
            <v>0</v>
          </cell>
          <cell r="J734">
            <v>0</v>
          </cell>
          <cell r="K734">
            <v>0</v>
          </cell>
        </row>
        <row r="735">
          <cell r="D735">
            <v>0</v>
          </cell>
          <cell r="E735">
            <v>0</v>
          </cell>
          <cell r="J735">
            <v>0</v>
          </cell>
          <cell r="K735">
            <v>0</v>
          </cell>
        </row>
        <row r="736">
          <cell r="D736">
            <v>0</v>
          </cell>
          <cell r="E736">
            <v>0</v>
          </cell>
          <cell r="J736">
            <v>0</v>
          </cell>
          <cell r="K736">
            <v>0</v>
          </cell>
        </row>
        <row r="737">
          <cell r="D737">
            <v>0</v>
          </cell>
          <cell r="E737">
            <v>0</v>
          </cell>
          <cell r="J737">
            <v>0</v>
          </cell>
          <cell r="K737">
            <v>0</v>
          </cell>
        </row>
        <row r="738">
          <cell r="D738">
            <v>0</v>
          </cell>
          <cell r="E738">
            <v>0</v>
          </cell>
          <cell r="J738">
            <v>0</v>
          </cell>
          <cell r="K738">
            <v>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7950000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787837.83783783775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7950000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NOVI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23030007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44992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KO 2909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>
            <v>6</v>
          </cell>
          <cell r="E770" t="str">
            <v>ISI STAPLER (STAPLES) GREATWALL GW-NO. 10 (KECIL)</v>
          </cell>
          <cell r="J770">
            <v>0</v>
          </cell>
          <cell r="K770">
            <v>7950000</v>
          </cell>
        </row>
        <row r="771">
          <cell r="D771">
            <v>0</v>
          </cell>
          <cell r="E771">
            <v>0</v>
          </cell>
          <cell r="J771">
            <v>0</v>
          </cell>
          <cell r="K771">
            <v>0</v>
          </cell>
        </row>
        <row r="772">
          <cell r="D772">
            <v>0</v>
          </cell>
          <cell r="E772">
            <v>0</v>
          </cell>
          <cell r="J772">
            <v>0</v>
          </cell>
          <cell r="K772">
            <v>0</v>
          </cell>
        </row>
        <row r="773">
          <cell r="D773">
            <v>0</v>
          </cell>
          <cell r="E773">
            <v>0</v>
          </cell>
          <cell r="J773">
            <v>0</v>
          </cell>
          <cell r="K773">
            <v>0</v>
          </cell>
        </row>
        <row r="774">
          <cell r="D774">
            <v>0</v>
          </cell>
          <cell r="E774">
            <v>0</v>
          </cell>
          <cell r="J774">
            <v>0</v>
          </cell>
          <cell r="K774">
            <v>0</v>
          </cell>
        </row>
        <row r="775">
          <cell r="D775">
            <v>0</v>
          </cell>
          <cell r="E775">
            <v>0</v>
          </cell>
          <cell r="J775">
            <v>0</v>
          </cell>
          <cell r="K775">
            <v>0</v>
          </cell>
        </row>
        <row r="776">
          <cell r="D776">
            <v>0</v>
          </cell>
          <cell r="E776">
            <v>0</v>
          </cell>
          <cell r="J776">
            <v>0</v>
          </cell>
          <cell r="K776">
            <v>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7950000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787837.83783783775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7950000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NOVI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23030008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44993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1009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>
            <v>2</v>
          </cell>
          <cell r="E808" t="str">
            <v>PENSIL WARNA JOYKO CP-12PB (PANJANG)</v>
          </cell>
          <cell r="J808"/>
          <cell r="K808">
            <v>2671200</v>
          </cell>
        </row>
        <row r="809">
          <cell r="D809"/>
          <cell r="E809"/>
          <cell r="J809"/>
          <cell r="K809">
            <v>0</v>
          </cell>
        </row>
        <row r="810">
          <cell r="D810"/>
          <cell r="E810"/>
          <cell r="J810"/>
          <cell r="K810">
            <v>0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2671200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264713.51351351349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2671200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23030008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44993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1009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>
            <v>2</v>
          </cell>
          <cell r="E846" t="str">
            <v>PENSIL WARNA JOYKO CP-12PB (PANJANG)</v>
          </cell>
          <cell r="J846">
            <v>0</v>
          </cell>
          <cell r="K846">
            <v>2671200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2671200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264713.51351351349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2671200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23030008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44993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1009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>
            <v>2</v>
          </cell>
          <cell r="E884" t="str">
            <v>PENSIL WARNA JOYKO CP-12PB (PANJANG)</v>
          </cell>
          <cell r="J884">
            <v>0</v>
          </cell>
          <cell r="K884">
            <v>2671200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2671200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264713.51351351349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2671200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23030009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44994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0734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>
            <v>2</v>
          </cell>
          <cell r="E922" t="str">
            <v>CORRECTION TAPE JOYKO CT-533</v>
          </cell>
          <cell r="J922"/>
          <cell r="K922">
            <v>7140000</v>
          </cell>
        </row>
        <row r="923">
          <cell r="D923">
            <v>1</v>
          </cell>
          <cell r="E923" t="str">
            <v>PUNCH JOYKO 30XL</v>
          </cell>
          <cell r="J923"/>
          <cell r="K923">
            <v>1359750</v>
          </cell>
        </row>
        <row r="924">
          <cell r="D924"/>
          <cell r="E924"/>
          <cell r="J924"/>
          <cell r="K924">
            <v>0</v>
          </cell>
        </row>
        <row r="925">
          <cell r="D925"/>
          <cell r="E925"/>
          <cell r="J925"/>
          <cell r="K925">
            <v>0</v>
          </cell>
        </row>
        <row r="926">
          <cell r="D926"/>
          <cell r="E926"/>
          <cell r="J926"/>
          <cell r="K926">
            <v>0</v>
          </cell>
        </row>
        <row r="927">
          <cell r="D927"/>
          <cell r="E927"/>
          <cell r="J927"/>
          <cell r="K927">
            <v>0</v>
          </cell>
        </row>
        <row r="928">
          <cell r="D928"/>
          <cell r="E928"/>
          <cell r="J928"/>
          <cell r="K928">
            <v>0</v>
          </cell>
        </row>
        <row r="929">
          <cell r="D929"/>
          <cell r="E929"/>
          <cell r="J929"/>
          <cell r="K929">
            <v>0</v>
          </cell>
        </row>
        <row r="930">
          <cell r="D930"/>
          <cell r="E930"/>
          <cell r="J930"/>
          <cell r="K930">
            <v>0</v>
          </cell>
        </row>
        <row r="931">
          <cell r="D931"/>
          <cell r="E931"/>
          <cell r="J931"/>
          <cell r="K931">
            <v>0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8499750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842317.56756756746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8499750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CONDRO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23030009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44994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0734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>
            <v>2</v>
          </cell>
          <cell r="E960" t="str">
            <v>CORRECTION TAPE JOYKO CT-533</v>
          </cell>
          <cell r="J960">
            <v>0</v>
          </cell>
          <cell r="K960">
            <v>7140000</v>
          </cell>
        </row>
        <row r="961">
          <cell r="D961">
            <v>1</v>
          </cell>
          <cell r="E961" t="str">
            <v>PUNCH JOYKO 30XL</v>
          </cell>
          <cell r="J961">
            <v>0</v>
          </cell>
          <cell r="K961">
            <v>1359750</v>
          </cell>
        </row>
        <row r="962">
          <cell r="D962">
            <v>0</v>
          </cell>
          <cell r="E962">
            <v>0</v>
          </cell>
          <cell r="J962">
            <v>0</v>
          </cell>
          <cell r="K962">
            <v>0</v>
          </cell>
        </row>
        <row r="963">
          <cell r="D963">
            <v>0</v>
          </cell>
          <cell r="E963">
            <v>0</v>
          </cell>
          <cell r="J963">
            <v>0</v>
          </cell>
          <cell r="K963">
            <v>0</v>
          </cell>
        </row>
        <row r="964">
          <cell r="D964">
            <v>0</v>
          </cell>
          <cell r="E964">
            <v>0</v>
          </cell>
          <cell r="J964">
            <v>0</v>
          </cell>
          <cell r="K964">
            <v>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8499750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842317.56756756746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8499750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CONDRO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23030009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44994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0734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>
            <v>2</v>
          </cell>
          <cell r="E998" t="str">
            <v>CORRECTION TAPE JOYKO CT-533</v>
          </cell>
          <cell r="J998">
            <v>0</v>
          </cell>
          <cell r="K998">
            <v>7140000</v>
          </cell>
        </row>
        <row r="999">
          <cell r="D999">
            <v>1</v>
          </cell>
          <cell r="E999" t="str">
            <v>PUNCH JOYKO 30XL</v>
          </cell>
          <cell r="J999">
            <v>0</v>
          </cell>
          <cell r="K999">
            <v>1359750</v>
          </cell>
        </row>
        <row r="1000">
          <cell r="D1000">
            <v>0</v>
          </cell>
          <cell r="E1000">
            <v>0</v>
          </cell>
          <cell r="J1000">
            <v>0</v>
          </cell>
          <cell r="K1000">
            <v>0</v>
          </cell>
        </row>
        <row r="1001">
          <cell r="D1001">
            <v>0</v>
          </cell>
          <cell r="E1001">
            <v>0</v>
          </cell>
          <cell r="J1001">
            <v>0</v>
          </cell>
          <cell r="K1001">
            <v>0</v>
          </cell>
        </row>
        <row r="1002">
          <cell r="D1002">
            <v>0</v>
          </cell>
          <cell r="E1002">
            <v>0</v>
          </cell>
          <cell r="J1002">
            <v>0</v>
          </cell>
          <cell r="K1002">
            <v>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8499750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842317.56756756746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8499750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CONDRO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23030010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44995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KO 1224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 t="str">
            <v/>
          </cell>
          <cell r="E1036" t="str">
            <v>GEL PEN KENKO EASY GEL</v>
          </cell>
          <cell r="J1036"/>
          <cell r="K1036">
            <v>1089936</v>
          </cell>
        </row>
        <row r="1037">
          <cell r="D1037"/>
          <cell r="E1037"/>
          <cell r="J1037"/>
          <cell r="K1037">
            <v>0</v>
          </cell>
        </row>
        <row r="1038">
          <cell r="D1038"/>
          <cell r="E1038"/>
          <cell r="J1038"/>
          <cell r="K1038">
            <v>0</v>
          </cell>
        </row>
        <row r="1039">
          <cell r="D1039"/>
          <cell r="E1039"/>
          <cell r="J1039"/>
          <cell r="K1039">
            <v>0</v>
          </cell>
        </row>
        <row r="1040">
          <cell r="D1040"/>
          <cell r="E1040"/>
          <cell r="J1040"/>
          <cell r="K1040">
            <v>0</v>
          </cell>
        </row>
        <row r="1041">
          <cell r="D1041"/>
          <cell r="E1041"/>
          <cell r="J1041"/>
          <cell r="K1041">
            <v>0</v>
          </cell>
        </row>
        <row r="1042">
          <cell r="D1042"/>
          <cell r="E1042"/>
          <cell r="J1042"/>
          <cell r="K1042">
            <v>0</v>
          </cell>
        </row>
        <row r="1043">
          <cell r="D1043"/>
          <cell r="E1043"/>
          <cell r="J1043"/>
          <cell r="K1043">
            <v>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1089936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108011.67567567567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1089936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NOVI / CONDRO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23030010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44995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KO 1224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 t="str">
            <v/>
          </cell>
          <cell r="E1074" t="str">
            <v>GEL PEN KENKO EASY GEL</v>
          </cell>
          <cell r="J1074">
            <v>0</v>
          </cell>
          <cell r="K1074">
            <v>1089936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1089936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108011.67567567567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1089936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NOVI / CONDRO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23030010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44995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KO 1224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 t="str">
            <v/>
          </cell>
          <cell r="E1112" t="str">
            <v>GEL PEN KENKO EASY GEL</v>
          </cell>
          <cell r="J1112">
            <v>0</v>
          </cell>
          <cell r="K1112">
            <v>1089936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1089936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108011.67567567567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1089936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NOVI / CONDRO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23030011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44996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G 2966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GEL PEN KENKO HI-TECH-H 0.28 MM FUN COLOR BIRU</v>
          </cell>
          <cell r="J1150"/>
          <cell r="K1150">
            <v>1194375</v>
          </cell>
        </row>
        <row r="1151">
          <cell r="D1151"/>
          <cell r="E1151"/>
          <cell r="J1151"/>
          <cell r="K1151">
            <v>0</v>
          </cell>
        </row>
        <row r="1152">
          <cell r="D1152"/>
          <cell r="E1152"/>
          <cell r="J1152"/>
          <cell r="K1152">
            <v>0</v>
          </cell>
        </row>
        <row r="1153">
          <cell r="D1153"/>
          <cell r="E1153"/>
          <cell r="J1153"/>
          <cell r="K1153">
            <v>0</v>
          </cell>
        </row>
        <row r="1154">
          <cell r="D1154"/>
          <cell r="E1154"/>
          <cell r="J1154"/>
          <cell r="K1154">
            <v>0</v>
          </cell>
        </row>
        <row r="1155">
          <cell r="D1155"/>
          <cell r="E1155"/>
          <cell r="J1155"/>
          <cell r="K1155">
            <v>0</v>
          </cell>
        </row>
        <row r="1156">
          <cell r="D1156"/>
          <cell r="E1156"/>
          <cell r="J1156"/>
          <cell r="K1156">
            <v>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1194375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118361.48648648646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1194375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NOVI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23030011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44996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G 2966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GEL PEN KENKO HI-TECH-H 0.28 MM FUN COLOR BIRU</v>
          </cell>
          <cell r="J1188">
            <v>0</v>
          </cell>
          <cell r="K1188">
            <v>1194375</v>
          </cell>
        </row>
        <row r="1189">
          <cell r="D1189">
            <v>0</v>
          </cell>
          <cell r="E1189">
            <v>0</v>
          </cell>
          <cell r="J1189">
            <v>0</v>
          </cell>
          <cell r="K1189">
            <v>0</v>
          </cell>
        </row>
        <row r="1190">
          <cell r="D1190">
            <v>0</v>
          </cell>
          <cell r="E1190">
            <v>0</v>
          </cell>
          <cell r="J1190">
            <v>0</v>
          </cell>
          <cell r="K1190">
            <v>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1194375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118361.48648648646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1194375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NOVI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23030011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44996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G 2966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GEL PEN KENKO HI-TECH-H 0.28 MM FUN COLOR BIRU</v>
          </cell>
          <cell r="J1226">
            <v>0</v>
          </cell>
          <cell r="K1226">
            <v>1194375</v>
          </cell>
        </row>
        <row r="1227">
          <cell r="D1227">
            <v>0</v>
          </cell>
          <cell r="E1227">
            <v>0</v>
          </cell>
          <cell r="J1227">
            <v>0</v>
          </cell>
          <cell r="K1227">
            <v>0</v>
          </cell>
        </row>
        <row r="1228">
          <cell r="D1228">
            <v>0</v>
          </cell>
          <cell r="E1228">
            <v>0</v>
          </cell>
          <cell r="J1228">
            <v>0</v>
          </cell>
          <cell r="K1228">
            <v>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1194375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118361.48648648646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1194375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NOVI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23030012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>
            <v>44998</v>
          </cell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 t="str">
            <v>KO 2970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>
            <v>2</v>
          </cell>
          <cell r="E1264" t="str">
            <v>STAPLER KENKO HD-50</v>
          </cell>
          <cell r="J1264"/>
          <cell r="K1264">
            <v>3944400</v>
          </cell>
        </row>
        <row r="1265">
          <cell r="D1265">
            <v>1</v>
          </cell>
          <cell r="E1265" t="str">
            <v>LABEL HARGA JOYKO LB-P2CC (2 LINE, CAH-CAH)</v>
          </cell>
          <cell r="J1265"/>
          <cell r="K1265">
            <v>1427250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5371650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532325.67567567562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5371650</v>
          </cell>
        </row>
        <row r="1289">
          <cell r="D1289"/>
          <cell r="E1289"/>
          <cell r="J1289"/>
          <cell r="K1289"/>
        </row>
        <row r="1290">
          <cell r="D1290"/>
          <cell r="J1290" t="str">
            <v>NOVI / CONDRO</v>
          </cell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23030012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44998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 t="str">
            <v>KO 2970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2</v>
          </cell>
          <cell r="E1302" t="str">
            <v>STAPLER KENKO HD-50</v>
          </cell>
          <cell r="J1302">
            <v>0</v>
          </cell>
          <cell r="K1302">
            <v>3944400</v>
          </cell>
        </row>
        <row r="1303">
          <cell r="D1303">
            <v>1</v>
          </cell>
          <cell r="E1303" t="str">
            <v>LABEL HARGA JOYKO LB-P2CC (2 LINE, CAH-CAH)</v>
          </cell>
          <cell r="J1303">
            <v>0</v>
          </cell>
          <cell r="K1303">
            <v>1427250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5371650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532325.67567567562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5371650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 t="str">
            <v>NOVI / CONDRO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23030012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44998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 t="str">
            <v>KO 2970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2</v>
          </cell>
          <cell r="E1340" t="str">
            <v>STAPLER KENKO HD-50</v>
          </cell>
          <cell r="J1340">
            <v>0</v>
          </cell>
          <cell r="K1340">
            <v>3944400</v>
          </cell>
        </row>
        <row r="1341">
          <cell r="D1341">
            <v>1</v>
          </cell>
          <cell r="E1341" t="str">
            <v>LABEL HARGA JOYKO LB-P2CC (2 LINE, CAH-CAH)</v>
          </cell>
          <cell r="J1341">
            <v>0</v>
          </cell>
          <cell r="K1341">
            <v>1427250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5371650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532325.67567567562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5371650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 t="str">
            <v>NOVI / CONDRO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23030013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>
            <v>44998</v>
          </cell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 t="str">
            <v>KO 2977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>
            <v>1</v>
          </cell>
          <cell r="E1378" t="str">
            <v>CRAYON / OIL PASTEL JOYKO OP-48S PP CASE SEA WORLD</v>
          </cell>
          <cell r="J1378"/>
          <cell r="K1378">
            <v>1229832</v>
          </cell>
        </row>
        <row r="1379">
          <cell r="D1379"/>
          <cell r="E1379"/>
          <cell r="J1379"/>
          <cell r="K1379">
            <v>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1229832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121875.24324324324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1229832</v>
          </cell>
        </row>
        <row r="1403">
          <cell r="D1403"/>
          <cell r="E1403"/>
          <cell r="J1403"/>
          <cell r="K1403"/>
        </row>
        <row r="1404">
          <cell r="D1404"/>
          <cell r="J1404" t="str">
            <v>NOVI / CONDRO</v>
          </cell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23030013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44998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 t="str">
            <v>KO 2977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1</v>
          </cell>
          <cell r="E1416" t="str">
            <v>CRAYON / OIL PASTEL JOYKO OP-48S PP CASE SEA WORLD</v>
          </cell>
          <cell r="J1416">
            <v>0</v>
          </cell>
          <cell r="K1416">
            <v>1229832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1229832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121875.24324324324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1229832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 t="str">
            <v>NOVI / CONDRO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23030013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44998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 t="str">
            <v>KO 2977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1</v>
          </cell>
          <cell r="E1454" t="str">
            <v>CRAYON / OIL PASTEL JOYKO OP-48S PP CASE SEA WORLD</v>
          </cell>
          <cell r="J1454">
            <v>0</v>
          </cell>
          <cell r="K1454">
            <v>1229832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1229832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121875.24324324324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1229832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 t="str">
            <v>NOVI / CONDRO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23030014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>
            <v>44998</v>
          </cell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 t="str">
            <v>KO 2981</v>
          </cell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 t="str">
            <v/>
          </cell>
          <cell r="E1492" t="str">
            <v>PAPER TRIGONAL CLIP KENKO NO. 1</v>
          </cell>
          <cell r="J1492"/>
          <cell r="K1492">
            <v>731000</v>
          </cell>
        </row>
        <row r="1493">
          <cell r="D1493" t="str">
            <v/>
          </cell>
          <cell r="E1493" t="str">
            <v>PUSH PIN KENKO PN-30</v>
          </cell>
          <cell r="J1493"/>
          <cell r="K1493">
            <v>340560</v>
          </cell>
        </row>
        <row r="1494">
          <cell r="D1494"/>
          <cell r="E1494"/>
          <cell r="J1494"/>
          <cell r="K1494">
            <v>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1071560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106190.63063063062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1071560</v>
          </cell>
        </row>
        <row r="1517">
          <cell r="D1517"/>
          <cell r="E1517"/>
          <cell r="J1517"/>
          <cell r="K1517"/>
        </row>
        <row r="1518">
          <cell r="D1518"/>
          <cell r="J1518" t="str">
            <v>NOVI / CONDRO</v>
          </cell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23030014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44998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 t="str">
            <v>KO 2981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 t="str">
            <v/>
          </cell>
          <cell r="E1530" t="str">
            <v>PAPER TRIGONAL CLIP KENKO NO. 1</v>
          </cell>
          <cell r="J1530">
            <v>0</v>
          </cell>
          <cell r="K1530">
            <v>731000</v>
          </cell>
        </row>
        <row r="1531">
          <cell r="D1531" t="str">
            <v/>
          </cell>
          <cell r="E1531" t="str">
            <v>PUSH PIN KENKO PN-30</v>
          </cell>
          <cell r="J1531">
            <v>0</v>
          </cell>
          <cell r="K1531">
            <v>340560</v>
          </cell>
        </row>
        <row r="1532">
          <cell r="D1532">
            <v>0</v>
          </cell>
          <cell r="E1532">
            <v>0</v>
          </cell>
          <cell r="J1532">
            <v>0</v>
          </cell>
          <cell r="K1532">
            <v>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1071560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106190.63063063062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1071560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 t="str">
            <v>NOVI / CONDRO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23030014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44998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 t="str">
            <v>KO 2981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 t="str">
            <v/>
          </cell>
          <cell r="E1568" t="str">
            <v>PAPER TRIGONAL CLIP KENKO NO. 1</v>
          </cell>
          <cell r="J1568">
            <v>0</v>
          </cell>
          <cell r="K1568">
            <v>731000</v>
          </cell>
        </row>
        <row r="1569">
          <cell r="D1569" t="str">
            <v/>
          </cell>
          <cell r="E1569" t="str">
            <v>PUSH PIN KENKO PN-30</v>
          </cell>
          <cell r="J1569">
            <v>0</v>
          </cell>
          <cell r="K1569">
            <v>340560</v>
          </cell>
        </row>
        <row r="1570">
          <cell r="D1570">
            <v>0</v>
          </cell>
          <cell r="E1570">
            <v>0</v>
          </cell>
          <cell r="J1570">
            <v>0</v>
          </cell>
          <cell r="K1570">
            <v>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1071560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106190.63063063062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1071560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 t="str">
            <v>NOVI / CONDRO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23030015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>
            <v>44999</v>
          </cell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 t="str">
            <v>KO 2985</v>
          </cell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>
            <v>2</v>
          </cell>
          <cell r="E1606" t="str">
            <v>GEL PEN KENKO EASY GEL</v>
          </cell>
          <cell r="J1606"/>
          <cell r="K1606">
            <v>6502032</v>
          </cell>
        </row>
        <row r="1607">
          <cell r="D1607"/>
          <cell r="E1607"/>
          <cell r="J1607"/>
          <cell r="K1607">
            <v>0</v>
          </cell>
        </row>
        <row r="1608">
          <cell r="D1608"/>
          <cell r="E1608"/>
          <cell r="J1608"/>
          <cell r="K1608">
            <v>0</v>
          </cell>
        </row>
        <row r="1609">
          <cell r="D1609"/>
          <cell r="E1609"/>
          <cell r="J1609"/>
          <cell r="K1609">
            <v>0</v>
          </cell>
        </row>
        <row r="1610">
          <cell r="D1610"/>
          <cell r="E1610"/>
          <cell r="J1610"/>
          <cell r="K1610">
            <v>0</v>
          </cell>
        </row>
        <row r="1611">
          <cell r="D1611"/>
          <cell r="E1611"/>
          <cell r="J1611"/>
          <cell r="K1611">
            <v>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6502032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644345.51351351349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6502032</v>
          </cell>
        </row>
        <row r="1631">
          <cell r="D1631"/>
          <cell r="E1631"/>
          <cell r="J1631"/>
          <cell r="K1631"/>
        </row>
        <row r="1632">
          <cell r="D1632"/>
          <cell r="J1632" t="str">
            <v>NOVI / CONDRO</v>
          </cell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23030015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44999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 t="str">
            <v>KO 2985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>
            <v>2</v>
          </cell>
          <cell r="E1644" t="str">
            <v>GEL PEN KENKO EASY GEL</v>
          </cell>
          <cell r="J1644">
            <v>0</v>
          </cell>
          <cell r="K1644">
            <v>6502032</v>
          </cell>
        </row>
        <row r="1645">
          <cell r="D1645">
            <v>0</v>
          </cell>
          <cell r="E1645">
            <v>0</v>
          </cell>
          <cell r="J1645">
            <v>0</v>
          </cell>
          <cell r="K1645">
            <v>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6502032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644345.51351351349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6502032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 t="str">
            <v>NOVI / CONDRO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23030015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44999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 t="str">
            <v>KO 2985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>
            <v>2</v>
          </cell>
          <cell r="E1682" t="str">
            <v>GEL PEN KENKO EASY GEL</v>
          </cell>
          <cell r="J1682">
            <v>0</v>
          </cell>
          <cell r="K1682">
            <v>6502032</v>
          </cell>
        </row>
        <row r="1683">
          <cell r="D1683">
            <v>0</v>
          </cell>
          <cell r="E1683">
            <v>0</v>
          </cell>
          <cell r="J1683">
            <v>0</v>
          </cell>
          <cell r="K1683">
            <v>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6502032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644345.51351351349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6502032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 t="str">
            <v>NOVI / CONDRO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23030016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>
            <v>45000</v>
          </cell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 t="str">
            <v>G 2989</v>
          </cell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>
            <v>3</v>
          </cell>
          <cell r="E1720" t="str">
            <v>GEL PEN TIZO 1.0 MM TG-340 HITAM</v>
          </cell>
          <cell r="J1720"/>
          <cell r="K1720">
            <v>9504000</v>
          </cell>
        </row>
        <row r="1721">
          <cell r="D1721">
            <v>1</v>
          </cell>
          <cell r="E1721" t="str">
            <v>HIGHLIGHTER / STABILLO TIZO TF-616 (isi 24 pc)</v>
          </cell>
          <cell r="J1721"/>
          <cell r="K1721">
            <v>1712000</v>
          </cell>
        </row>
        <row r="1722">
          <cell r="D1722"/>
          <cell r="E1722"/>
          <cell r="J1722"/>
          <cell r="K1722">
            <v>0</v>
          </cell>
        </row>
        <row r="1723">
          <cell r="D1723"/>
          <cell r="E1723"/>
          <cell r="J1723"/>
          <cell r="K1723">
            <v>0</v>
          </cell>
        </row>
        <row r="1724">
          <cell r="D1724"/>
          <cell r="E1724"/>
          <cell r="J1724"/>
          <cell r="K1724">
            <v>0</v>
          </cell>
        </row>
        <row r="1725">
          <cell r="D1725"/>
          <cell r="E1725"/>
          <cell r="J1725"/>
          <cell r="K1725">
            <v>0</v>
          </cell>
        </row>
        <row r="1726">
          <cell r="D1726"/>
          <cell r="E1726"/>
          <cell r="J1726"/>
          <cell r="K1726">
            <v>0</v>
          </cell>
        </row>
        <row r="1727">
          <cell r="D1727"/>
          <cell r="E1727"/>
          <cell r="J1727"/>
          <cell r="K1727">
            <v>0</v>
          </cell>
        </row>
        <row r="1728">
          <cell r="D1728"/>
          <cell r="E1728"/>
          <cell r="J1728"/>
          <cell r="K1728">
            <v>0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11216000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1111495.4954954954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11216000</v>
          </cell>
        </row>
        <row r="1745">
          <cell r="D1745"/>
          <cell r="E1745"/>
          <cell r="J1745"/>
          <cell r="K1745"/>
        </row>
        <row r="1746">
          <cell r="D1746"/>
          <cell r="J1746" t="str">
            <v>NOVI / CONDRO</v>
          </cell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23030016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45000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 t="str">
            <v>G 2989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>
            <v>3</v>
          </cell>
          <cell r="E1758" t="str">
            <v>GEL PEN TIZO 1.0 MM TG-340 HITAM</v>
          </cell>
          <cell r="J1758">
            <v>0</v>
          </cell>
          <cell r="K1758">
            <v>9504000</v>
          </cell>
        </row>
        <row r="1759">
          <cell r="D1759">
            <v>1</v>
          </cell>
          <cell r="E1759" t="str">
            <v>HIGHLIGHTER / STABILLO TIZO TF-616 (isi 24 pc)</v>
          </cell>
          <cell r="J1759">
            <v>0</v>
          </cell>
          <cell r="K1759">
            <v>1712000</v>
          </cell>
        </row>
        <row r="1760">
          <cell r="D1760">
            <v>0</v>
          </cell>
          <cell r="E1760">
            <v>0</v>
          </cell>
          <cell r="J1760">
            <v>0</v>
          </cell>
          <cell r="K1760">
            <v>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11216000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1111495.4954954954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11216000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 t="str">
            <v>NOVI / CONDRO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23030016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45000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 t="str">
            <v>G 2989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>
            <v>3</v>
          </cell>
          <cell r="E1796" t="str">
            <v>GEL PEN TIZO 1.0 MM TG-340 HITAM</v>
          </cell>
          <cell r="J1796">
            <v>0</v>
          </cell>
          <cell r="K1796">
            <v>9504000</v>
          </cell>
        </row>
        <row r="1797">
          <cell r="D1797">
            <v>1</v>
          </cell>
          <cell r="E1797" t="str">
            <v>HIGHLIGHTER / STABILLO TIZO TF-616 (isi 24 pc)</v>
          </cell>
          <cell r="J1797">
            <v>0</v>
          </cell>
          <cell r="K1797">
            <v>1712000</v>
          </cell>
        </row>
        <row r="1798">
          <cell r="D1798">
            <v>0</v>
          </cell>
          <cell r="E1798">
            <v>0</v>
          </cell>
          <cell r="J1798">
            <v>0</v>
          </cell>
          <cell r="K1798">
            <v>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11216000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1111495.4954954954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11216000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 t="str">
            <v>NOVI / CONDRO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23030017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>
            <v>45000</v>
          </cell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 t="str">
            <v>KO 0748</v>
          </cell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>
            <v>5</v>
          </cell>
          <cell r="E1834" t="str">
            <v>STAPLER JOYKO HD-10CL</v>
          </cell>
          <cell r="J1834"/>
          <cell r="K1834">
            <v>7350000</v>
          </cell>
        </row>
        <row r="1835">
          <cell r="D1835">
            <v>4</v>
          </cell>
          <cell r="E1835" t="str">
            <v>STIP / PENGHAPUS JOYKO 526-B40P PUTIH</v>
          </cell>
          <cell r="J1835"/>
          <cell r="K1835">
            <v>4952500</v>
          </cell>
        </row>
        <row r="1836">
          <cell r="D1836">
            <v>2</v>
          </cell>
          <cell r="E1836" t="str">
            <v>STIP / PENGHAPUS JOYKO 526-B20 PUTIH</v>
          </cell>
          <cell r="J1836"/>
          <cell r="K1836">
            <v>2983750</v>
          </cell>
        </row>
        <row r="1837">
          <cell r="D1837">
            <v>1</v>
          </cell>
          <cell r="E1837" t="str">
            <v>CLIP BULLDOG JOYKO 6-145</v>
          </cell>
          <cell r="J1837"/>
          <cell r="K1837">
            <v>1905750</v>
          </cell>
        </row>
        <row r="1838">
          <cell r="D1838">
            <v>2</v>
          </cell>
          <cell r="E1838" t="str">
            <v>GUNTING JOYKO SC-828</v>
          </cell>
          <cell r="J1838"/>
          <cell r="K1838">
            <v>1096200</v>
          </cell>
        </row>
        <row r="1839">
          <cell r="D1839">
            <v>2</v>
          </cell>
          <cell r="E1839" t="str">
            <v>GUNTING JOYKO SC-838</v>
          </cell>
          <cell r="J1839"/>
          <cell r="K1839">
            <v>1638000</v>
          </cell>
        </row>
        <row r="1840">
          <cell r="D1840">
            <v>2</v>
          </cell>
          <cell r="E1840" t="str">
            <v>GUNTING JOYKO SC-848</v>
          </cell>
          <cell r="J1840"/>
          <cell r="K1840">
            <v>2457000</v>
          </cell>
        </row>
        <row r="1841">
          <cell r="D1841">
            <v>2</v>
          </cell>
          <cell r="E1841" t="str">
            <v>PENSIL WARNA JOYKO CP-12PB (PANJANG)</v>
          </cell>
          <cell r="J1841"/>
          <cell r="K1841">
            <v>2671200</v>
          </cell>
        </row>
        <row r="1842">
          <cell r="D1842">
            <v>1</v>
          </cell>
          <cell r="E1842" t="str">
            <v>PENSIL WARNA JOYKO CP-S12 MINI (PENDEK)</v>
          </cell>
          <cell r="J1842"/>
          <cell r="K1842">
            <v>1688400</v>
          </cell>
        </row>
        <row r="1843">
          <cell r="D1843">
            <v>1</v>
          </cell>
          <cell r="E1843" t="str">
            <v>PENSIL WARNA JOYKO CP-24PB (PANJANG)</v>
          </cell>
          <cell r="J1843"/>
          <cell r="K1843">
            <v>1335600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28078400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2782544.1441441439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28078400</v>
          </cell>
        </row>
        <row r="1859">
          <cell r="D1859"/>
          <cell r="E1859"/>
          <cell r="J1859"/>
          <cell r="K1859"/>
        </row>
        <row r="1860">
          <cell r="D1860"/>
          <cell r="J1860" t="str">
            <v>NOVI / CONDRO</v>
          </cell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23030017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45000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 t="str">
            <v>KO 0748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5</v>
          </cell>
          <cell r="E1872" t="str">
            <v>STAPLER JOYKO HD-10CL</v>
          </cell>
          <cell r="J1872">
            <v>0</v>
          </cell>
          <cell r="K1872">
            <v>7350000</v>
          </cell>
        </row>
        <row r="1873">
          <cell r="D1873">
            <v>4</v>
          </cell>
          <cell r="E1873" t="str">
            <v>STIP / PENGHAPUS JOYKO 526-B40P PUTIH</v>
          </cell>
          <cell r="J1873">
            <v>0</v>
          </cell>
          <cell r="K1873">
            <v>4952500</v>
          </cell>
        </row>
        <row r="1874">
          <cell r="D1874">
            <v>2</v>
          </cell>
          <cell r="E1874" t="str">
            <v>STIP / PENGHAPUS JOYKO 526-B20 PUTIH</v>
          </cell>
          <cell r="J1874">
            <v>0</v>
          </cell>
          <cell r="K1874">
            <v>2983750</v>
          </cell>
        </row>
        <row r="1875">
          <cell r="D1875">
            <v>1</v>
          </cell>
          <cell r="E1875" t="str">
            <v>CLIP BULLDOG JOYKO 6-145</v>
          </cell>
          <cell r="J1875">
            <v>0</v>
          </cell>
          <cell r="K1875">
            <v>1905750</v>
          </cell>
        </row>
        <row r="1876">
          <cell r="D1876">
            <v>2</v>
          </cell>
          <cell r="E1876" t="str">
            <v>GUNTING JOYKO SC-828</v>
          </cell>
          <cell r="J1876">
            <v>0</v>
          </cell>
          <cell r="K1876">
            <v>1096200</v>
          </cell>
        </row>
        <row r="1877">
          <cell r="D1877">
            <v>2</v>
          </cell>
          <cell r="E1877" t="str">
            <v>GUNTING JOYKO SC-838</v>
          </cell>
          <cell r="J1877">
            <v>0</v>
          </cell>
          <cell r="K1877">
            <v>1638000</v>
          </cell>
        </row>
        <row r="1878">
          <cell r="D1878">
            <v>2</v>
          </cell>
          <cell r="E1878" t="str">
            <v>GUNTING JOYKO SC-848</v>
          </cell>
          <cell r="J1878">
            <v>0</v>
          </cell>
          <cell r="K1878">
            <v>2457000</v>
          </cell>
        </row>
        <row r="1879">
          <cell r="D1879">
            <v>2</v>
          </cell>
          <cell r="E1879" t="str">
            <v>PENSIL WARNA JOYKO CP-12PB (PANJANG)</v>
          </cell>
          <cell r="J1879">
            <v>0</v>
          </cell>
          <cell r="K1879">
            <v>2671200</v>
          </cell>
        </row>
        <row r="1880">
          <cell r="D1880">
            <v>1</v>
          </cell>
          <cell r="E1880" t="str">
            <v>PENSIL WARNA JOYKO CP-S12 MINI (PENDEK)</v>
          </cell>
          <cell r="J1880">
            <v>0</v>
          </cell>
          <cell r="K1880">
            <v>1688400</v>
          </cell>
        </row>
        <row r="1881">
          <cell r="D1881">
            <v>1</v>
          </cell>
          <cell r="E1881" t="str">
            <v>PENSIL WARNA JOYKO CP-24PB (PANJANG)</v>
          </cell>
          <cell r="J1881">
            <v>0</v>
          </cell>
          <cell r="K1881">
            <v>1335600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28078400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2782544.1441441439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28078400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 t="str">
            <v>NOVI / CONDRO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23030017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45000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 t="str">
            <v>KO 0748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5</v>
          </cell>
          <cell r="E1910" t="str">
            <v>STAPLER JOYKO HD-10CL</v>
          </cell>
          <cell r="J1910">
            <v>0</v>
          </cell>
          <cell r="K1910">
            <v>7350000</v>
          </cell>
        </row>
        <row r="1911">
          <cell r="D1911">
            <v>4</v>
          </cell>
          <cell r="E1911" t="str">
            <v>STIP / PENGHAPUS JOYKO 526-B40P PUTIH</v>
          </cell>
          <cell r="J1911">
            <v>0</v>
          </cell>
          <cell r="K1911">
            <v>4952500</v>
          </cell>
        </row>
        <row r="1912">
          <cell r="D1912">
            <v>2</v>
          </cell>
          <cell r="E1912" t="str">
            <v>STIP / PENGHAPUS JOYKO 526-B20 PUTIH</v>
          </cell>
          <cell r="J1912">
            <v>0</v>
          </cell>
          <cell r="K1912">
            <v>2983750</v>
          </cell>
        </row>
        <row r="1913">
          <cell r="D1913">
            <v>1</v>
          </cell>
          <cell r="E1913" t="str">
            <v>CLIP BULLDOG JOYKO 6-145</v>
          </cell>
          <cell r="J1913">
            <v>0</v>
          </cell>
          <cell r="K1913">
            <v>1905750</v>
          </cell>
        </row>
        <row r="1914">
          <cell r="D1914">
            <v>2</v>
          </cell>
          <cell r="E1914" t="str">
            <v>GUNTING JOYKO SC-828</v>
          </cell>
          <cell r="J1914">
            <v>0</v>
          </cell>
          <cell r="K1914">
            <v>1096200</v>
          </cell>
        </row>
        <row r="1915">
          <cell r="D1915">
            <v>2</v>
          </cell>
          <cell r="E1915" t="str">
            <v>GUNTING JOYKO SC-838</v>
          </cell>
          <cell r="J1915">
            <v>0</v>
          </cell>
          <cell r="K1915">
            <v>1638000</v>
          </cell>
        </row>
        <row r="1916">
          <cell r="D1916">
            <v>2</v>
          </cell>
          <cell r="E1916" t="str">
            <v>GUNTING JOYKO SC-848</v>
          </cell>
          <cell r="J1916">
            <v>0</v>
          </cell>
          <cell r="K1916">
            <v>2457000</v>
          </cell>
        </row>
        <row r="1917">
          <cell r="D1917">
            <v>2</v>
          </cell>
          <cell r="E1917" t="str">
            <v>PENSIL WARNA JOYKO CP-12PB (PANJANG)</v>
          </cell>
          <cell r="J1917">
            <v>0</v>
          </cell>
          <cell r="K1917">
            <v>2671200</v>
          </cell>
        </row>
        <row r="1918">
          <cell r="D1918">
            <v>1</v>
          </cell>
          <cell r="E1918" t="str">
            <v>PENSIL WARNA JOYKO CP-S12 MINI (PENDEK)</v>
          </cell>
          <cell r="J1918">
            <v>0</v>
          </cell>
          <cell r="K1918">
            <v>1688400</v>
          </cell>
        </row>
        <row r="1919">
          <cell r="D1919">
            <v>1</v>
          </cell>
          <cell r="E1919" t="str">
            <v>PENSIL WARNA JOYKO CP-24PB (PANJANG)</v>
          </cell>
          <cell r="J1919">
            <v>0</v>
          </cell>
          <cell r="K1919">
            <v>1335600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28078400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2782544.1441441439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28078400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 t="str">
            <v>NOVI / CONDRO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23030018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>
            <v>45000</v>
          </cell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 t="str">
            <v>G 2991</v>
          </cell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>
            <v>2</v>
          </cell>
          <cell r="E1948" t="str">
            <v>CALCULATOR JOYKO DTC-1313CH</v>
          </cell>
          <cell r="J1948"/>
          <cell r="K1948">
            <v>8400000</v>
          </cell>
        </row>
        <row r="1949">
          <cell r="D1949"/>
          <cell r="E1949"/>
          <cell r="J1949"/>
          <cell r="K1949">
            <v>0</v>
          </cell>
        </row>
        <row r="1950">
          <cell r="D1950"/>
          <cell r="E1950"/>
          <cell r="J1950"/>
          <cell r="K1950">
            <v>0</v>
          </cell>
        </row>
        <row r="1951">
          <cell r="D1951"/>
          <cell r="E1951"/>
          <cell r="J1951"/>
          <cell r="K1951">
            <v>0</v>
          </cell>
        </row>
        <row r="1952">
          <cell r="D1952"/>
          <cell r="E1952"/>
          <cell r="J1952"/>
          <cell r="K1952">
            <v>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8400000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832432.43243243243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8400000</v>
          </cell>
        </row>
        <row r="1973">
          <cell r="D1973"/>
          <cell r="E1973"/>
          <cell r="J1973"/>
          <cell r="K1973"/>
        </row>
        <row r="1974">
          <cell r="D1974"/>
          <cell r="J1974" t="str">
            <v>NOVI / CONDRO</v>
          </cell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23030018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45000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 t="str">
            <v>G 2991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2</v>
          </cell>
          <cell r="E1986" t="str">
            <v>CALCULATOR JOYKO DTC-1313CH</v>
          </cell>
          <cell r="J1986">
            <v>0</v>
          </cell>
          <cell r="K1986">
            <v>8400000</v>
          </cell>
        </row>
        <row r="1987">
          <cell r="D1987">
            <v>0</v>
          </cell>
          <cell r="E1987">
            <v>0</v>
          </cell>
          <cell r="J1987">
            <v>0</v>
          </cell>
          <cell r="K1987">
            <v>0</v>
          </cell>
        </row>
        <row r="1988">
          <cell r="D1988">
            <v>0</v>
          </cell>
          <cell r="E1988">
            <v>0</v>
          </cell>
          <cell r="J1988">
            <v>0</v>
          </cell>
          <cell r="K1988">
            <v>0</v>
          </cell>
        </row>
        <row r="1989">
          <cell r="D1989">
            <v>0</v>
          </cell>
          <cell r="E1989">
            <v>0</v>
          </cell>
          <cell r="J1989">
            <v>0</v>
          </cell>
          <cell r="K1989">
            <v>0</v>
          </cell>
        </row>
        <row r="1990">
          <cell r="D1990">
            <v>0</v>
          </cell>
          <cell r="E1990">
            <v>0</v>
          </cell>
          <cell r="J1990">
            <v>0</v>
          </cell>
          <cell r="K1990">
            <v>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8400000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832432.43243243243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8400000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 t="str">
            <v>NOVI / CONDRO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23030018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45000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 t="str">
            <v>G 2991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2</v>
          </cell>
          <cell r="E2024" t="str">
            <v>CALCULATOR JOYKO DTC-1313CH</v>
          </cell>
          <cell r="J2024">
            <v>0</v>
          </cell>
          <cell r="K2024">
            <v>8400000</v>
          </cell>
        </row>
        <row r="2025">
          <cell r="D2025">
            <v>0</v>
          </cell>
          <cell r="E2025">
            <v>0</v>
          </cell>
          <cell r="J2025">
            <v>0</v>
          </cell>
          <cell r="K2025">
            <v>0</v>
          </cell>
        </row>
        <row r="2026">
          <cell r="D2026">
            <v>0</v>
          </cell>
          <cell r="E2026">
            <v>0</v>
          </cell>
          <cell r="J2026">
            <v>0</v>
          </cell>
          <cell r="K2026">
            <v>0</v>
          </cell>
        </row>
        <row r="2027">
          <cell r="D2027">
            <v>0</v>
          </cell>
          <cell r="E2027">
            <v>0</v>
          </cell>
          <cell r="J2027">
            <v>0</v>
          </cell>
          <cell r="K2027">
            <v>0</v>
          </cell>
        </row>
        <row r="2028">
          <cell r="D2028">
            <v>0</v>
          </cell>
          <cell r="E2028">
            <v>0</v>
          </cell>
          <cell r="J2028">
            <v>0</v>
          </cell>
          <cell r="K2028">
            <v>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8400000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832432.43243243243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8400000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 t="str">
            <v>NOVI / CONDRO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23030019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>
            <v>45001</v>
          </cell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 t="str">
            <v>G 2998</v>
          </cell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>
            <v>2</v>
          </cell>
          <cell r="E2062" t="str">
            <v>GEL PEN TIZO 1.0 MM TG-340BI BIRU</v>
          </cell>
          <cell r="J2062"/>
          <cell r="K2062">
            <v>6336000</v>
          </cell>
        </row>
        <row r="2063">
          <cell r="D2063"/>
          <cell r="E2063"/>
          <cell r="J2063"/>
          <cell r="K2063">
            <v>0</v>
          </cell>
        </row>
        <row r="2064">
          <cell r="D2064"/>
          <cell r="E2064"/>
          <cell r="J2064"/>
          <cell r="K2064">
            <v>0</v>
          </cell>
        </row>
        <row r="2065">
          <cell r="D2065"/>
          <cell r="E2065"/>
          <cell r="J2065"/>
          <cell r="K2065">
            <v>0</v>
          </cell>
        </row>
        <row r="2066">
          <cell r="D2066"/>
          <cell r="E2066"/>
          <cell r="J2066"/>
          <cell r="K2066">
            <v>0</v>
          </cell>
        </row>
        <row r="2067">
          <cell r="D2067"/>
          <cell r="E2067"/>
          <cell r="J2067"/>
          <cell r="K2067">
            <v>0</v>
          </cell>
        </row>
        <row r="2068">
          <cell r="D2068"/>
          <cell r="E2068"/>
          <cell r="J2068"/>
          <cell r="K2068">
            <v>0</v>
          </cell>
        </row>
        <row r="2069">
          <cell r="D2069"/>
          <cell r="E2069"/>
          <cell r="J2069"/>
          <cell r="K2069">
            <v>0</v>
          </cell>
        </row>
        <row r="2070">
          <cell r="D2070"/>
          <cell r="E2070"/>
          <cell r="J2070"/>
          <cell r="K2070">
            <v>0</v>
          </cell>
        </row>
        <row r="2071">
          <cell r="D2071"/>
          <cell r="E2071"/>
          <cell r="J2071"/>
          <cell r="K2071">
            <v>0</v>
          </cell>
        </row>
        <row r="2072">
          <cell r="D2072"/>
          <cell r="E2072"/>
          <cell r="J2072"/>
          <cell r="K2072">
            <v>0</v>
          </cell>
        </row>
        <row r="2073">
          <cell r="D2073"/>
          <cell r="E2073"/>
          <cell r="J2073"/>
          <cell r="K2073">
            <v>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6336000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627891.89189189184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6336000</v>
          </cell>
        </row>
        <row r="2087">
          <cell r="D2087"/>
          <cell r="E2087"/>
          <cell r="J2087"/>
          <cell r="K2087"/>
        </row>
        <row r="2088">
          <cell r="D2088"/>
          <cell r="J2088" t="str">
            <v>NOVI / CONDRO</v>
          </cell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23030019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45001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 t="str">
            <v>G 2998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2</v>
          </cell>
          <cell r="E2100" t="str">
            <v>GEL PEN TIZO 1.0 MM TG-340BI BIRU</v>
          </cell>
          <cell r="J2100">
            <v>0</v>
          </cell>
          <cell r="K2100">
            <v>6336000</v>
          </cell>
        </row>
        <row r="2101">
          <cell r="D2101">
            <v>0</v>
          </cell>
          <cell r="E2101">
            <v>0</v>
          </cell>
          <cell r="J2101">
            <v>0</v>
          </cell>
          <cell r="K2101">
            <v>0</v>
          </cell>
        </row>
        <row r="2102">
          <cell r="D2102">
            <v>0</v>
          </cell>
          <cell r="E2102">
            <v>0</v>
          </cell>
          <cell r="J2102">
            <v>0</v>
          </cell>
          <cell r="K2102">
            <v>0</v>
          </cell>
        </row>
        <row r="2103">
          <cell r="D2103">
            <v>0</v>
          </cell>
          <cell r="E2103">
            <v>0</v>
          </cell>
          <cell r="J2103">
            <v>0</v>
          </cell>
          <cell r="K2103">
            <v>0</v>
          </cell>
        </row>
        <row r="2104">
          <cell r="D2104">
            <v>0</v>
          </cell>
          <cell r="E2104">
            <v>0</v>
          </cell>
          <cell r="J2104">
            <v>0</v>
          </cell>
          <cell r="K2104">
            <v>0</v>
          </cell>
        </row>
        <row r="2105">
          <cell r="D2105">
            <v>0</v>
          </cell>
          <cell r="E2105">
            <v>0</v>
          </cell>
          <cell r="J2105">
            <v>0</v>
          </cell>
          <cell r="K2105">
            <v>0</v>
          </cell>
        </row>
        <row r="2106">
          <cell r="D2106">
            <v>0</v>
          </cell>
          <cell r="E2106">
            <v>0</v>
          </cell>
          <cell r="J2106">
            <v>0</v>
          </cell>
          <cell r="K2106">
            <v>0</v>
          </cell>
        </row>
        <row r="2107">
          <cell r="D2107">
            <v>0</v>
          </cell>
          <cell r="E2107">
            <v>0</v>
          </cell>
          <cell r="J2107">
            <v>0</v>
          </cell>
          <cell r="K2107">
            <v>0</v>
          </cell>
        </row>
        <row r="2108">
          <cell r="D2108">
            <v>0</v>
          </cell>
          <cell r="E2108">
            <v>0</v>
          </cell>
          <cell r="J2108">
            <v>0</v>
          </cell>
          <cell r="K2108">
            <v>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6336000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627891.89189189184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6336000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 t="str">
            <v>NOVI / CONDRO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23030019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45001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 t="str">
            <v>G 2998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2</v>
          </cell>
          <cell r="E2138" t="str">
            <v>GEL PEN TIZO 1.0 MM TG-340BI BIRU</v>
          </cell>
          <cell r="J2138">
            <v>0</v>
          </cell>
          <cell r="K2138">
            <v>6336000</v>
          </cell>
        </row>
        <row r="2139">
          <cell r="D2139">
            <v>0</v>
          </cell>
          <cell r="E2139">
            <v>0</v>
          </cell>
          <cell r="J2139">
            <v>0</v>
          </cell>
          <cell r="K2139">
            <v>0</v>
          </cell>
        </row>
        <row r="2140">
          <cell r="D2140">
            <v>0</v>
          </cell>
          <cell r="E2140">
            <v>0</v>
          </cell>
          <cell r="J2140">
            <v>0</v>
          </cell>
          <cell r="K2140">
            <v>0</v>
          </cell>
        </row>
        <row r="2141">
          <cell r="D2141">
            <v>0</v>
          </cell>
          <cell r="E2141">
            <v>0</v>
          </cell>
          <cell r="J2141">
            <v>0</v>
          </cell>
          <cell r="K2141">
            <v>0</v>
          </cell>
        </row>
        <row r="2142">
          <cell r="D2142">
            <v>0</v>
          </cell>
          <cell r="E2142">
            <v>0</v>
          </cell>
          <cell r="J2142">
            <v>0</v>
          </cell>
          <cell r="K2142">
            <v>0</v>
          </cell>
        </row>
        <row r="2143">
          <cell r="D2143">
            <v>0</v>
          </cell>
          <cell r="E2143">
            <v>0</v>
          </cell>
          <cell r="J2143">
            <v>0</v>
          </cell>
          <cell r="K2143">
            <v>0</v>
          </cell>
        </row>
        <row r="2144">
          <cell r="D2144">
            <v>0</v>
          </cell>
          <cell r="E2144">
            <v>0</v>
          </cell>
          <cell r="J2144">
            <v>0</v>
          </cell>
          <cell r="K2144">
            <v>0</v>
          </cell>
        </row>
        <row r="2145">
          <cell r="D2145">
            <v>0</v>
          </cell>
          <cell r="E2145">
            <v>0</v>
          </cell>
          <cell r="J2145">
            <v>0</v>
          </cell>
          <cell r="K2145">
            <v>0</v>
          </cell>
        </row>
        <row r="2146">
          <cell r="D2146">
            <v>0</v>
          </cell>
          <cell r="E2146">
            <v>0</v>
          </cell>
          <cell r="J2146">
            <v>0</v>
          </cell>
          <cell r="K2146">
            <v>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6336000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627891.89189189184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6336000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 t="str">
            <v>NOVI / CONDRO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23030020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>
            <v>45002</v>
          </cell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 t="str">
            <v>N 1302</v>
          </cell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>
            <v>1</v>
          </cell>
          <cell r="E2176" t="str">
            <v>GEL PEN TIZO TG31763-EL FANCY</v>
          </cell>
          <cell r="J2176"/>
          <cell r="K2176">
            <v>2592000</v>
          </cell>
        </row>
        <row r="2177">
          <cell r="D2177">
            <v>1</v>
          </cell>
          <cell r="E2177" t="str">
            <v>GEL PEN TIZO TG31035-E FANCY</v>
          </cell>
          <cell r="J2177"/>
          <cell r="K2177">
            <v>2592000</v>
          </cell>
        </row>
        <row r="2178">
          <cell r="D2178">
            <v>1</v>
          </cell>
          <cell r="E2178" t="str">
            <v>GEL PEN TIZO TG30802-E FANCY</v>
          </cell>
          <cell r="J2178"/>
          <cell r="K2178">
            <v>2592000</v>
          </cell>
        </row>
        <row r="2179">
          <cell r="D2179">
            <v>1</v>
          </cell>
          <cell r="E2179" t="str">
            <v>GEL PEN TIZO TG30801-E FANCY</v>
          </cell>
          <cell r="J2179"/>
          <cell r="K2179">
            <v>2592000</v>
          </cell>
        </row>
        <row r="2180">
          <cell r="D2180">
            <v>1</v>
          </cell>
          <cell r="E2180" t="str">
            <v>GEL PEN TIZO TG31590-E FANCY</v>
          </cell>
          <cell r="J2180"/>
          <cell r="K2180">
            <v>2592000</v>
          </cell>
        </row>
        <row r="2181">
          <cell r="D2181">
            <v>1</v>
          </cell>
          <cell r="E2181" t="str">
            <v>GEL PEN TIZO TG31762-E FANCY</v>
          </cell>
          <cell r="J2181"/>
          <cell r="K2181">
            <v>2592000</v>
          </cell>
        </row>
        <row r="2182">
          <cell r="D2182"/>
          <cell r="E2182"/>
          <cell r="J2182"/>
          <cell r="K2182">
            <v>0</v>
          </cell>
        </row>
        <row r="2183">
          <cell r="D2183"/>
          <cell r="E2183"/>
          <cell r="J2183"/>
          <cell r="K2183">
            <v>0</v>
          </cell>
        </row>
        <row r="2184">
          <cell r="D2184"/>
          <cell r="E2184"/>
          <cell r="J2184"/>
          <cell r="K2184">
            <v>0</v>
          </cell>
        </row>
        <row r="2185">
          <cell r="D2185"/>
          <cell r="E2185"/>
          <cell r="J2185"/>
          <cell r="K2185">
            <v>0</v>
          </cell>
        </row>
        <row r="2186">
          <cell r="D2186"/>
          <cell r="E2186"/>
          <cell r="J2186"/>
          <cell r="K2186">
            <v>0</v>
          </cell>
        </row>
        <row r="2187">
          <cell r="D2187"/>
          <cell r="E2187"/>
          <cell r="J2187"/>
          <cell r="K2187">
            <v>0</v>
          </cell>
        </row>
        <row r="2188">
          <cell r="D2188"/>
          <cell r="E2188"/>
          <cell r="J2188"/>
          <cell r="K2188">
            <v>0</v>
          </cell>
        </row>
        <row r="2189">
          <cell r="D2189"/>
          <cell r="E2189"/>
          <cell r="J2189"/>
          <cell r="K2189">
            <v>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15552000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1541189.1891891891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15552000</v>
          </cell>
        </row>
        <row r="2201">
          <cell r="D2201"/>
          <cell r="E2201"/>
          <cell r="J2201"/>
          <cell r="K2201"/>
        </row>
        <row r="2202">
          <cell r="D2202"/>
          <cell r="J2202" t="str">
            <v>NOVI / CONDRO</v>
          </cell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23030020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45002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 t="str">
            <v>N 1302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1</v>
          </cell>
          <cell r="E2214" t="str">
            <v>GEL PEN TIZO TG31763-EL FANCY</v>
          </cell>
          <cell r="J2214">
            <v>0</v>
          </cell>
          <cell r="K2214">
            <v>2592000</v>
          </cell>
        </row>
        <row r="2215">
          <cell r="D2215">
            <v>1</v>
          </cell>
          <cell r="E2215" t="str">
            <v>GEL PEN TIZO TG31035-E FANCY</v>
          </cell>
          <cell r="J2215">
            <v>0</v>
          </cell>
          <cell r="K2215">
            <v>2592000</v>
          </cell>
        </row>
        <row r="2216">
          <cell r="D2216">
            <v>1</v>
          </cell>
          <cell r="E2216" t="str">
            <v>GEL PEN TIZO TG30802-E FANCY</v>
          </cell>
          <cell r="J2216">
            <v>0</v>
          </cell>
          <cell r="K2216">
            <v>2592000</v>
          </cell>
        </row>
        <row r="2217">
          <cell r="D2217">
            <v>1</v>
          </cell>
          <cell r="E2217" t="str">
            <v>GEL PEN TIZO TG30801-E FANCY</v>
          </cell>
          <cell r="J2217">
            <v>0</v>
          </cell>
          <cell r="K2217">
            <v>2592000</v>
          </cell>
        </row>
        <row r="2218">
          <cell r="D2218">
            <v>1</v>
          </cell>
          <cell r="E2218" t="str">
            <v>GEL PEN TIZO TG31590-E FANCY</v>
          </cell>
          <cell r="J2218">
            <v>0</v>
          </cell>
          <cell r="K2218">
            <v>2592000</v>
          </cell>
        </row>
        <row r="2219">
          <cell r="D2219">
            <v>1</v>
          </cell>
          <cell r="E2219" t="str">
            <v>GEL PEN TIZO TG31762-E FANCY</v>
          </cell>
          <cell r="J2219">
            <v>0</v>
          </cell>
          <cell r="K2219">
            <v>2592000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15552000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1541189.1891891891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15552000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 t="str">
            <v>NOVI / CONDRO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23030020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45002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 t="str">
            <v>N 1302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1</v>
          </cell>
          <cell r="E2252" t="str">
            <v>GEL PEN TIZO TG31763-EL FANCY</v>
          </cell>
          <cell r="J2252">
            <v>0</v>
          </cell>
          <cell r="K2252">
            <v>2592000</v>
          </cell>
        </row>
        <row r="2253">
          <cell r="D2253">
            <v>1</v>
          </cell>
          <cell r="E2253" t="str">
            <v>GEL PEN TIZO TG31035-E FANCY</v>
          </cell>
          <cell r="J2253">
            <v>0</v>
          </cell>
          <cell r="K2253">
            <v>2592000</v>
          </cell>
        </row>
        <row r="2254">
          <cell r="D2254">
            <v>1</v>
          </cell>
          <cell r="E2254" t="str">
            <v>GEL PEN TIZO TG30802-E FANCY</v>
          </cell>
          <cell r="J2254">
            <v>0</v>
          </cell>
          <cell r="K2254">
            <v>2592000</v>
          </cell>
        </row>
        <row r="2255">
          <cell r="D2255">
            <v>1</v>
          </cell>
          <cell r="E2255" t="str">
            <v>GEL PEN TIZO TG30801-E FANCY</v>
          </cell>
          <cell r="J2255">
            <v>0</v>
          </cell>
          <cell r="K2255">
            <v>2592000</v>
          </cell>
        </row>
        <row r="2256">
          <cell r="D2256">
            <v>1</v>
          </cell>
          <cell r="E2256" t="str">
            <v>GEL PEN TIZO TG31590-E FANCY</v>
          </cell>
          <cell r="J2256">
            <v>0</v>
          </cell>
          <cell r="K2256">
            <v>2592000</v>
          </cell>
        </row>
        <row r="2257">
          <cell r="D2257">
            <v>1</v>
          </cell>
          <cell r="E2257" t="str">
            <v>GEL PEN TIZO TG31762-E FANCY</v>
          </cell>
          <cell r="J2257">
            <v>0</v>
          </cell>
          <cell r="K2257">
            <v>2592000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15552000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1541189.1891891891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15552000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 t="str">
            <v>NOVI / CONDRO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23030021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>
            <v>45002</v>
          </cell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 t="str">
            <v>KO 1307</v>
          </cell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>
            <v>1</v>
          </cell>
          <cell r="E2290" t="str">
            <v>BINDER CLIP KENKO NO. 260</v>
          </cell>
          <cell r="J2290"/>
          <cell r="K2290">
            <v>810000</v>
          </cell>
        </row>
        <row r="2291">
          <cell r="D2291"/>
          <cell r="E2291"/>
          <cell r="J2291"/>
          <cell r="K2291">
            <v>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810000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80270.270270270266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810000</v>
          </cell>
        </row>
        <row r="2315">
          <cell r="D2315"/>
          <cell r="E2315"/>
          <cell r="J2315"/>
          <cell r="K2315"/>
        </row>
        <row r="2316">
          <cell r="D2316"/>
          <cell r="J2316" t="str">
            <v>NOVI / CONDRO</v>
          </cell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23030021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45002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 t="str">
            <v>KO 1307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1</v>
          </cell>
          <cell r="E2328" t="str">
            <v>BINDER CLIP KENKO NO. 260</v>
          </cell>
          <cell r="J2328">
            <v>0</v>
          </cell>
          <cell r="K2328">
            <v>810000</v>
          </cell>
        </row>
        <row r="2329">
          <cell r="D2329">
            <v>0</v>
          </cell>
          <cell r="E2329">
            <v>0</v>
          </cell>
          <cell r="J2329">
            <v>0</v>
          </cell>
          <cell r="K2329">
            <v>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810000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80270.270270270266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810000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 t="str">
            <v>NOVI / CONDRO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23030021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45002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 t="str">
            <v>KO 1307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1</v>
          </cell>
          <cell r="E2366" t="str">
            <v>BINDER CLIP KENKO NO. 260</v>
          </cell>
          <cell r="J2366">
            <v>0</v>
          </cell>
          <cell r="K2366">
            <v>810000</v>
          </cell>
        </row>
        <row r="2367">
          <cell r="D2367">
            <v>0</v>
          </cell>
          <cell r="E2367">
            <v>0</v>
          </cell>
          <cell r="J2367">
            <v>0</v>
          </cell>
          <cell r="K2367">
            <v>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810000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80270.270270270266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810000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 t="str">
            <v>NOVI / CONDRO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23030022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>
            <v>45002</v>
          </cell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 t="str">
            <v>KO 1232</v>
          </cell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 t="str">
            <v/>
          </cell>
          <cell r="E2404" t="str">
            <v>STAND PEN SPIRAL KENKO STP-300SG</v>
          </cell>
          <cell r="J2404"/>
          <cell r="K2404">
            <v>221400</v>
          </cell>
        </row>
        <row r="2405">
          <cell r="D2405" t="str">
            <v/>
          </cell>
          <cell r="E2405" t="str">
            <v>GEL PEN KENKO HI-TECH-H 0.28 MM HITAM</v>
          </cell>
          <cell r="J2405"/>
          <cell r="K2405">
            <v>421200</v>
          </cell>
        </row>
        <row r="2406">
          <cell r="D2406" t="str">
            <v/>
          </cell>
          <cell r="E2406" t="str">
            <v>CORRECTION FLUID KENKO KE-01</v>
          </cell>
          <cell r="J2406"/>
          <cell r="K2406">
            <v>488700</v>
          </cell>
        </row>
        <row r="2407">
          <cell r="D2407" t="str">
            <v/>
          </cell>
          <cell r="E2407" t="str">
            <v>PENSIL KENKO 2B-6800 PLATINUM</v>
          </cell>
          <cell r="J2407"/>
          <cell r="K2407">
            <v>39600</v>
          </cell>
        </row>
        <row r="2408">
          <cell r="D2408" t="str">
            <v/>
          </cell>
          <cell r="E2408" t="str">
            <v>PUSH PIN KENKO PN-30 WARNA</v>
          </cell>
          <cell r="J2408"/>
          <cell r="K2408">
            <v>148500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1319400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130751.35135135133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1319400</v>
          </cell>
        </row>
        <row r="2429">
          <cell r="D2429"/>
          <cell r="E2429"/>
          <cell r="J2429"/>
          <cell r="K2429"/>
        </row>
        <row r="2430">
          <cell r="D2430"/>
          <cell r="J2430" t="str">
            <v>NOVI / CONDRO</v>
          </cell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23030022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45002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 t="str">
            <v>KO 1232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 t="str">
            <v/>
          </cell>
          <cell r="E2442" t="str">
            <v>STAND PEN SPIRAL KENKO STP-300SG</v>
          </cell>
          <cell r="J2442">
            <v>0</v>
          </cell>
          <cell r="K2442">
            <v>221400</v>
          </cell>
        </row>
        <row r="2443">
          <cell r="D2443" t="str">
            <v/>
          </cell>
          <cell r="E2443" t="str">
            <v>GEL PEN KENKO HI-TECH-H 0.28 MM HITAM</v>
          </cell>
          <cell r="J2443">
            <v>0</v>
          </cell>
          <cell r="K2443">
            <v>421200</v>
          </cell>
        </row>
        <row r="2444">
          <cell r="D2444" t="str">
            <v/>
          </cell>
          <cell r="E2444" t="str">
            <v>CORRECTION FLUID KENKO KE-01</v>
          </cell>
          <cell r="J2444">
            <v>0</v>
          </cell>
          <cell r="K2444">
            <v>488700</v>
          </cell>
        </row>
        <row r="2445">
          <cell r="D2445" t="str">
            <v/>
          </cell>
          <cell r="E2445" t="str">
            <v>PENSIL KENKO 2B-6800 PLATINUM</v>
          </cell>
          <cell r="J2445">
            <v>0</v>
          </cell>
          <cell r="K2445">
            <v>39600</v>
          </cell>
        </row>
        <row r="2446">
          <cell r="D2446" t="str">
            <v/>
          </cell>
          <cell r="E2446" t="str">
            <v>PUSH PIN KENKO PN-30 WARNA</v>
          </cell>
          <cell r="J2446">
            <v>0</v>
          </cell>
          <cell r="K2446">
            <v>148500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1319400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130751.35135135133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1319400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 t="str">
            <v>NOVI / CONDRO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23030022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45002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 t="str">
            <v>KO 1232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 t="str">
            <v/>
          </cell>
          <cell r="E2480" t="str">
            <v>STAND PEN SPIRAL KENKO STP-300SG</v>
          </cell>
          <cell r="J2480">
            <v>0</v>
          </cell>
          <cell r="K2480">
            <v>221400</v>
          </cell>
        </row>
        <row r="2481">
          <cell r="D2481" t="str">
            <v/>
          </cell>
          <cell r="E2481" t="str">
            <v>GEL PEN KENKO HI-TECH-H 0.28 MM HITAM</v>
          </cell>
          <cell r="J2481">
            <v>0</v>
          </cell>
          <cell r="K2481">
            <v>421200</v>
          </cell>
        </row>
        <row r="2482">
          <cell r="D2482" t="str">
            <v/>
          </cell>
          <cell r="E2482" t="str">
            <v>CORRECTION FLUID KENKO KE-01</v>
          </cell>
          <cell r="J2482">
            <v>0</v>
          </cell>
          <cell r="K2482">
            <v>488700</v>
          </cell>
        </row>
        <row r="2483">
          <cell r="D2483" t="str">
            <v/>
          </cell>
          <cell r="E2483" t="str">
            <v>PENSIL KENKO 2B-6800 PLATINUM</v>
          </cell>
          <cell r="J2483">
            <v>0</v>
          </cell>
          <cell r="K2483">
            <v>39600</v>
          </cell>
        </row>
        <row r="2484">
          <cell r="D2484" t="str">
            <v/>
          </cell>
          <cell r="E2484" t="str">
            <v>PUSH PIN KENKO PN-30 WARNA</v>
          </cell>
          <cell r="J2484">
            <v>0</v>
          </cell>
          <cell r="K2484">
            <v>148500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1319400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130751.35135135133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1319400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 t="str">
            <v>NOVI / CONDRO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23030023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>
            <v>45003</v>
          </cell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 t="str">
            <v>KO 1318</v>
          </cell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>
            <v>1</v>
          </cell>
          <cell r="E2518" t="str">
            <v>ISI CUTTER 18 MM KENKO L-150 (BESAR)</v>
          </cell>
          <cell r="J2518"/>
          <cell r="K2518">
            <v>3382560</v>
          </cell>
        </row>
        <row r="2519">
          <cell r="D2519"/>
          <cell r="E2519"/>
          <cell r="J2519"/>
          <cell r="K2519">
            <v>0</v>
          </cell>
        </row>
        <row r="2520">
          <cell r="D2520"/>
          <cell r="E2520"/>
          <cell r="J2520"/>
          <cell r="K2520">
            <v>0</v>
          </cell>
        </row>
        <row r="2521">
          <cell r="D2521"/>
          <cell r="E2521"/>
          <cell r="J2521"/>
          <cell r="K2521">
            <v>0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3382560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335208.64864864864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3382560</v>
          </cell>
        </row>
        <row r="2543">
          <cell r="D2543"/>
          <cell r="E2543"/>
          <cell r="J2543"/>
          <cell r="K2543"/>
        </row>
        <row r="2544">
          <cell r="D2544"/>
          <cell r="J2544" t="str">
            <v>NOVI / CONDRO</v>
          </cell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23030023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45003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 t="str">
            <v>KO 1318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1</v>
          </cell>
          <cell r="E2556" t="str">
            <v>ISI CUTTER 18 MM KENKO L-150 (BESAR)</v>
          </cell>
          <cell r="J2556">
            <v>0</v>
          </cell>
          <cell r="K2556">
            <v>3382560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3382560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335208.64864864864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3382560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 t="str">
            <v>NOVI / CONDRO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23030023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45003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 t="str">
            <v>KO 1318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1</v>
          </cell>
          <cell r="E2594" t="str">
            <v>ISI CUTTER 18 MM KENKO L-150 (BESAR)</v>
          </cell>
          <cell r="J2594">
            <v>0</v>
          </cell>
          <cell r="K2594">
            <v>3382560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3382560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335208.64864864864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3382560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 t="str">
            <v>NOVI / CONDRO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23030024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>
            <v>45005</v>
          </cell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 t="str">
            <v>KO 1324</v>
          </cell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>
            <v>1</v>
          </cell>
          <cell r="E2632" t="str">
            <v>PUNCH KENKO NO. 30XL</v>
          </cell>
          <cell r="J2632"/>
          <cell r="K2632">
            <v>1245600</v>
          </cell>
        </row>
        <row r="2633">
          <cell r="D2633"/>
          <cell r="E2633"/>
          <cell r="J2633"/>
          <cell r="K2633">
            <v>0</v>
          </cell>
        </row>
        <row r="2634">
          <cell r="D2634"/>
          <cell r="E2634"/>
          <cell r="J2634"/>
          <cell r="K2634">
            <v>0</v>
          </cell>
        </row>
        <row r="2635">
          <cell r="D2635"/>
          <cell r="E2635"/>
          <cell r="J2635"/>
          <cell r="K2635">
            <v>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1245600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123437.83783783784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1245600</v>
          </cell>
        </row>
        <row r="2657">
          <cell r="D2657"/>
          <cell r="E2657"/>
          <cell r="J2657"/>
          <cell r="K2657"/>
        </row>
        <row r="2658">
          <cell r="D2658"/>
          <cell r="J2658" t="str">
            <v>NOVI / CONDRO</v>
          </cell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23030024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45005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 t="str">
            <v>KO 1324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1</v>
          </cell>
          <cell r="E2670" t="str">
            <v>PUNCH KENKO NO. 30XL</v>
          </cell>
          <cell r="J2670">
            <v>0</v>
          </cell>
          <cell r="K2670">
            <v>1245600</v>
          </cell>
        </row>
        <row r="2671">
          <cell r="D2671">
            <v>0</v>
          </cell>
          <cell r="E2671">
            <v>0</v>
          </cell>
          <cell r="J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J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1245600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123437.83783783784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1245600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 t="str">
            <v>NOVI / CONDRO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23030024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45005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 t="str">
            <v>KO 1324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1</v>
          </cell>
          <cell r="E2708" t="str">
            <v>PUNCH KENKO NO. 30XL</v>
          </cell>
          <cell r="J2708">
            <v>0</v>
          </cell>
          <cell r="K2708">
            <v>1245600</v>
          </cell>
        </row>
        <row r="2709">
          <cell r="D2709">
            <v>0</v>
          </cell>
          <cell r="E2709">
            <v>0</v>
          </cell>
          <cell r="J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J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1245600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123437.83783783784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1245600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 t="str">
            <v>NOVI / CONDRO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23030025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>
            <v>45006</v>
          </cell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 t="str">
            <v>G 1330</v>
          </cell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>
            <v>1</v>
          </cell>
          <cell r="E2746" t="str">
            <v>ISI CUTTER 18 MM KENKO L-150 (BESAR)</v>
          </cell>
          <cell r="J2746"/>
          <cell r="K2746">
            <v>3402000</v>
          </cell>
        </row>
        <row r="2747">
          <cell r="D2747"/>
          <cell r="E2747"/>
          <cell r="J2747"/>
          <cell r="K2747">
            <v>0</v>
          </cell>
        </row>
        <row r="2748">
          <cell r="D2748"/>
          <cell r="E2748"/>
          <cell r="J2748"/>
          <cell r="K2748">
            <v>0</v>
          </cell>
        </row>
        <row r="2749">
          <cell r="D2749"/>
          <cell r="E2749"/>
          <cell r="J2749"/>
          <cell r="K2749">
            <v>0</v>
          </cell>
        </row>
        <row r="2750">
          <cell r="D2750"/>
          <cell r="E2750"/>
          <cell r="J2750"/>
          <cell r="K2750">
            <v>0</v>
          </cell>
        </row>
        <row r="2751">
          <cell r="D2751"/>
          <cell r="E2751"/>
          <cell r="J2751"/>
          <cell r="K2751">
            <v>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3402000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337135.13513513509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3402000</v>
          </cell>
        </row>
        <row r="2771">
          <cell r="D2771"/>
          <cell r="E2771"/>
          <cell r="J2771"/>
          <cell r="K2771"/>
        </row>
        <row r="2772">
          <cell r="D2772"/>
          <cell r="J2772" t="str">
            <v>NOVI / CONDRO</v>
          </cell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23030025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45006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 t="str">
            <v>G 1330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1</v>
          </cell>
          <cell r="E2784" t="str">
            <v>ISI CUTTER 18 MM KENKO L-150 (BESAR)</v>
          </cell>
          <cell r="J2784">
            <v>0</v>
          </cell>
          <cell r="K2784">
            <v>3402000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3402000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337135.13513513509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3402000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 t="str">
            <v>NOVI / CONDRO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23030025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45006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 t="str">
            <v>G 1330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1</v>
          </cell>
          <cell r="E2822" t="str">
            <v>ISI CUTTER 18 MM KENKO L-150 (BESAR)</v>
          </cell>
          <cell r="J2822">
            <v>0</v>
          </cell>
          <cell r="K2822">
            <v>3402000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3402000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337135.13513513509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3402000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 t="str">
            <v>NOVI / CONDRO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23030026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>
            <v>45008</v>
          </cell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 t="str">
            <v>KO 1332</v>
          </cell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 t="str">
            <v/>
          </cell>
          <cell r="E2860" t="str">
            <v>CUTTER 18 MM JOYKO L-500 + ISI (BESAR)</v>
          </cell>
          <cell r="J2860"/>
          <cell r="K2860">
            <v>729000</v>
          </cell>
        </row>
        <row r="2861">
          <cell r="D2861" t="str">
            <v/>
          </cell>
          <cell r="E2861" t="str">
            <v>BINDER CLIP KENKO NO. 200</v>
          </cell>
          <cell r="J2861"/>
          <cell r="K2861">
            <v>216000</v>
          </cell>
        </row>
        <row r="2862">
          <cell r="D2862" t="str">
            <v/>
          </cell>
          <cell r="E2862" t="str">
            <v>BINDER CLIP KENKO NO. 260</v>
          </cell>
          <cell r="J2862"/>
          <cell r="K2862">
            <v>243000</v>
          </cell>
        </row>
        <row r="2863">
          <cell r="D2863" t="str">
            <v/>
          </cell>
          <cell r="E2863" t="str">
            <v>GEL PEN TIZO 1.0 MM TG-340 HITAM</v>
          </cell>
          <cell r="J2863"/>
          <cell r="K2863">
            <v>280000</v>
          </cell>
        </row>
        <row r="2864">
          <cell r="D2864" t="str">
            <v/>
          </cell>
          <cell r="E2864" t="str">
            <v>GEL PEN TIZO 1.0 MM TG-340BI BIRU</v>
          </cell>
          <cell r="J2864"/>
          <cell r="K2864">
            <v>280000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1748000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173225.22522522521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1748000</v>
          </cell>
        </row>
        <row r="2885">
          <cell r="D2885"/>
          <cell r="E2885"/>
          <cell r="J2885"/>
          <cell r="K2885"/>
        </row>
        <row r="2886">
          <cell r="D2886"/>
          <cell r="J2886" t="str">
            <v>NOVI / CONDRO</v>
          </cell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23030026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45008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 t="str">
            <v>KO 1332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 t="str">
            <v/>
          </cell>
          <cell r="E2898" t="str">
            <v>CUTTER 18 MM JOYKO L-500 + ISI (BESAR)</v>
          </cell>
          <cell r="J2898">
            <v>0</v>
          </cell>
          <cell r="K2898">
            <v>729000</v>
          </cell>
        </row>
        <row r="2899">
          <cell r="D2899" t="str">
            <v/>
          </cell>
          <cell r="E2899" t="str">
            <v>BINDER CLIP KENKO NO. 200</v>
          </cell>
          <cell r="J2899">
            <v>0</v>
          </cell>
          <cell r="K2899">
            <v>216000</v>
          </cell>
        </row>
        <row r="2900">
          <cell r="D2900" t="str">
            <v/>
          </cell>
          <cell r="E2900" t="str">
            <v>BINDER CLIP KENKO NO. 260</v>
          </cell>
          <cell r="J2900">
            <v>0</v>
          </cell>
          <cell r="K2900">
            <v>243000</v>
          </cell>
        </row>
        <row r="2901">
          <cell r="D2901" t="str">
            <v/>
          </cell>
          <cell r="E2901" t="str">
            <v>GEL PEN TIZO 1.0 MM TG-340 HITAM</v>
          </cell>
          <cell r="J2901">
            <v>0</v>
          </cell>
          <cell r="K2901">
            <v>280000</v>
          </cell>
        </row>
        <row r="2902">
          <cell r="D2902" t="str">
            <v/>
          </cell>
          <cell r="E2902" t="str">
            <v>GEL PEN TIZO 1.0 MM TG-340BI BIRU</v>
          </cell>
          <cell r="J2902">
            <v>0</v>
          </cell>
          <cell r="K2902">
            <v>280000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1748000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173225.22522522521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1748000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 t="str">
            <v>NOVI / CONDRO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23030026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45008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 t="str">
            <v>KO 1332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 t="str">
            <v/>
          </cell>
          <cell r="E2936" t="str">
            <v>CUTTER 18 MM JOYKO L-500 + ISI (BESAR)</v>
          </cell>
          <cell r="J2936">
            <v>0</v>
          </cell>
          <cell r="K2936">
            <v>729000</v>
          </cell>
        </row>
        <row r="2937">
          <cell r="D2937" t="str">
            <v/>
          </cell>
          <cell r="E2937" t="str">
            <v>BINDER CLIP KENKO NO. 200</v>
          </cell>
          <cell r="J2937">
            <v>0</v>
          </cell>
          <cell r="K2937">
            <v>216000</v>
          </cell>
        </row>
        <row r="2938">
          <cell r="D2938" t="str">
            <v/>
          </cell>
          <cell r="E2938" t="str">
            <v>BINDER CLIP KENKO NO. 260</v>
          </cell>
          <cell r="J2938">
            <v>0</v>
          </cell>
          <cell r="K2938">
            <v>243000</v>
          </cell>
        </row>
        <row r="2939">
          <cell r="D2939" t="str">
            <v/>
          </cell>
          <cell r="E2939" t="str">
            <v>GEL PEN TIZO 1.0 MM TG-340 HITAM</v>
          </cell>
          <cell r="J2939">
            <v>0</v>
          </cell>
          <cell r="K2939">
            <v>280000</v>
          </cell>
        </row>
        <row r="2940">
          <cell r="D2940" t="str">
            <v/>
          </cell>
          <cell r="E2940" t="str">
            <v>GEL PEN TIZO 1.0 MM TG-340BI BIRU</v>
          </cell>
          <cell r="J2940">
            <v>0</v>
          </cell>
          <cell r="K2940">
            <v>280000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1748000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173225.22522522521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1748000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 t="str">
            <v>NOVI / CONDRO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23030027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>
            <v>45008</v>
          </cell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 t="str">
            <v>G 1333</v>
          </cell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 t="str">
            <v/>
          </cell>
          <cell r="E2974" t="str">
            <v>BALLPEN KENKO NK-7 / 7B HITAM</v>
          </cell>
          <cell r="J2974"/>
          <cell r="K2974">
            <v>388800</v>
          </cell>
        </row>
        <row r="2975">
          <cell r="D2975"/>
          <cell r="E2975"/>
          <cell r="J2975"/>
          <cell r="K2975">
            <v>0</v>
          </cell>
        </row>
        <row r="2976">
          <cell r="D2976"/>
          <cell r="E2976"/>
          <cell r="J2976"/>
          <cell r="K2976">
            <v>0</v>
          </cell>
        </row>
        <row r="2977">
          <cell r="D2977"/>
          <cell r="E2977"/>
          <cell r="J2977"/>
          <cell r="K2977">
            <v>0</v>
          </cell>
        </row>
        <row r="2978">
          <cell r="D2978"/>
          <cell r="E2978"/>
          <cell r="J2978"/>
          <cell r="K2978">
            <v>0</v>
          </cell>
        </row>
        <row r="2979">
          <cell r="D2979"/>
          <cell r="E2979"/>
          <cell r="J2979"/>
          <cell r="K2979">
            <v>0</v>
          </cell>
        </row>
        <row r="2980">
          <cell r="D2980"/>
          <cell r="E2980"/>
          <cell r="J2980"/>
          <cell r="K2980">
            <v>0</v>
          </cell>
        </row>
        <row r="2981">
          <cell r="D2981"/>
          <cell r="E2981"/>
          <cell r="J2981"/>
          <cell r="K2981">
            <v>0</v>
          </cell>
        </row>
        <row r="2982">
          <cell r="D2982"/>
          <cell r="E2982"/>
          <cell r="J2982"/>
          <cell r="K2982">
            <v>0</v>
          </cell>
        </row>
        <row r="2983">
          <cell r="D2983"/>
          <cell r="E2983"/>
          <cell r="J2983"/>
          <cell r="K2983">
            <v>0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388800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38529.729729729726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388800</v>
          </cell>
        </row>
        <row r="2999">
          <cell r="D2999"/>
          <cell r="E2999"/>
          <cell r="J2999"/>
          <cell r="K2999"/>
        </row>
        <row r="3000">
          <cell r="D3000"/>
          <cell r="J3000" t="str">
            <v>NOVI / CONDRO</v>
          </cell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23030027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45008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 t="str">
            <v>G 1333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 t="str">
            <v/>
          </cell>
          <cell r="E3012" t="str">
            <v>BALLPEN KENKO NK-7 / 7B HITAM</v>
          </cell>
          <cell r="J3012">
            <v>0</v>
          </cell>
          <cell r="K3012">
            <v>388800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388800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38529.729729729726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388800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 t="str">
            <v>NOVI / CONDRO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23030027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45008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 t="str">
            <v>G 1333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 t="str">
            <v/>
          </cell>
          <cell r="E3050" t="str">
            <v>BALLPEN KENKO NK-7 / 7B HITAM</v>
          </cell>
          <cell r="J3050">
            <v>0</v>
          </cell>
          <cell r="K3050">
            <v>388800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388800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38529.729729729726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388800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 t="str">
            <v>NOVI / CONDRO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23030028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>
            <v>45008</v>
          </cell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 t="str">
            <v>G 1338</v>
          </cell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>
            <v>5</v>
          </cell>
          <cell r="E3088" t="str">
            <v>LEM STICK JOYKO 8 GR GS-09 isi 12 pc</v>
          </cell>
          <cell r="J3088"/>
          <cell r="K3088">
            <v>7056000</v>
          </cell>
        </row>
        <row r="3089">
          <cell r="D3089">
            <v>10</v>
          </cell>
          <cell r="E3089" t="str">
            <v>LEM STICK JOYKO 15 GR GS-104 TG (ANIMAL KINGDOM) isi 24 pc</v>
          </cell>
          <cell r="J3089"/>
          <cell r="K3089">
            <v>18522000</v>
          </cell>
        </row>
        <row r="3090">
          <cell r="D3090">
            <v>5</v>
          </cell>
          <cell r="E3090" t="str">
            <v>STIP / PENGHAPUS JOYKO ER-B20BL HITAM</v>
          </cell>
          <cell r="J3090"/>
          <cell r="K3090">
            <v>7459375</v>
          </cell>
        </row>
        <row r="3091">
          <cell r="D3091">
            <v>5</v>
          </cell>
          <cell r="E3091" t="str">
            <v>STAPLER JOYKO HD-10</v>
          </cell>
          <cell r="J3091"/>
          <cell r="K3091">
            <v>7455000</v>
          </cell>
        </row>
        <row r="3092">
          <cell r="D3092">
            <v>1</v>
          </cell>
          <cell r="E3092" t="str">
            <v>JANGKA (MATH SET) JOYKO MS-402</v>
          </cell>
          <cell r="J3092"/>
          <cell r="K3092">
            <v>3024000</v>
          </cell>
        </row>
        <row r="3093">
          <cell r="D3093">
            <v>5</v>
          </cell>
          <cell r="E3093" t="str">
            <v>BINDER NOTE JOYKO A5 (CAMPUS/CLASSIC)</v>
          </cell>
          <cell r="J3093"/>
          <cell r="K3093">
            <v>4977000</v>
          </cell>
        </row>
        <row r="3094">
          <cell r="D3094">
            <v>3</v>
          </cell>
          <cell r="E3094" t="str">
            <v>PENCIL CASE KENKO PC-0719 POLOS</v>
          </cell>
          <cell r="J3094"/>
          <cell r="K3094">
            <v>3628800</v>
          </cell>
        </row>
        <row r="3095">
          <cell r="D3095">
            <v>3</v>
          </cell>
          <cell r="E3095" t="str">
            <v>PENCIL CASE KENKO PC-0719 FANCY</v>
          </cell>
          <cell r="J3095"/>
          <cell r="K3095">
            <v>3628800</v>
          </cell>
        </row>
        <row r="3096">
          <cell r="D3096">
            <v>1</v>
          </cell>
          <cell r="E3096" t="str">
            <v>CALCULATOR JOYKO CC-8A</v>
          </cell>
          <cell r="J3096"/>
          <cell r="K3096">
            <v>4935000</v>
          </cell>
        </row>
        <row r="3097">
          <cell r="D3097">
            <v>2</v>
          </cell>
          <cell r="E3097" t="str">
            <v>KUAS SET JOYKO BR-1</v>
          </cell>
          <cell r="J3097"/>
          <cell r="K3097">
            <v>3696000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64381975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6380195.7207207205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64381975</v>
          </cell>
        </row>
        <row r="3113">
          <cell r="D3113"/>
          <cell r="E3113"/>
          <cell r="J3113"/>
          <cell r="K3113"/>
        </row>
        <row r="3114">
          <cell r="D3114"/>
          <cell r="J3114" t="str">
            <v>NOVI / CONDRO</v>
          </cell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23030028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45008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 t="str">
            <v>G 1338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5</v>
          </cell>
          <cell r="E3126" t="str">
            <v>LEM STICK JOYKO 8 GR GS-09 isi 12 pc</v>
          </cell>
          <cell r="J3126">
            <v>0</v>
          </cell>
          <cell r="K3126">
            <v>7056000</v>
          </cell>
        </row>
        <row r="3127">
          <cell r="D3127">
            <v>10</v>
          </cell>
          <cell r="E3127" t="str">
            <v>LEM STICK JOYKO 15 GR GS-104 TG (ANIMAL KINGDOM) isi 24 pc</v>
          </cell>
          <cell r="J3127">
            <v>0</v>
          </cell>
          <cell r="K3127">
            <v>18522000</v>
          </cell>
        </row>
        <row r="3128">
          <cell r="D3128">
            <v>5</v>
          </cell>
          <cell r="E3128" t="str">
            <v>STIP / PENGHAPUS JOYKO ER-B20BL HITAM</v>
          </cell>
          <cell r="J3128">
            <v>0</v>
          </cell>
          <cell r="K3128">
            <v>7459375</v>
          </cell>
        </row>
        <row r="3129">
          <cell r="D3129">
            <v>5</v>
          </cell>
          <cell r="E3129" t="str">
            <v>STAPLER JOYKO HD-10</v>
          </cell>
          <cell r="J3129">
            <v>0</v>
          </cell>
          <cell r="K3129">
            <v>7455000</v>
          </cell>
        </row>
        <row r="3130">
          <cell r="D3130">
            <v>1</v>
          </cell>
          <cell r="E3130" t="str">
            <v>JANGKA (MATH SET) JOYKO MS-402</v>
          </cell>
          <cell r="J3130">
            <v>0</v>
          </cell>
          <cell r="K3130">
            <v>3024000</v>
          </cell>
        </row>
        <row r="3131">
          <cell r="D3131">
            <v>5</v>
          </cell>
          <cell r="E3131" t="str">
            <v>BINDER NOTE JOYKO A5 (CAMPUS/CLASSIC)</v>
          </cell>
          <cell r="J3131">
            <v>0</v>
          </cell>
          <cell r="K3131">
            <v>4977000</v>
          </cell>
        </row>
        <row r="3132">
          <cell r="D3132">
            <v>3</v>
          </cell>
          <cell r="E3132" t="str">
            <v>PENCIL CASE KENKO PC-0719 POLOS</v>
          </cell>
          <cell r="J3132">
            <v>0</v>
          </cell>
          <cell r="K3132">
            <v>3628800</v>
          </cell>
        </row>
        <row r="3133">
          <cell r="D3133">
            <v>3</v>
          </cell>
          <cell r="E3133" t="str">
            <v>PENCIL CASE KENKO PC-0719 FANCY</v>
          </cell>
          <cell r="J3133">
            <v>0</v>
          </cell>
          <cell r="K3133">
            <v>3628800</v>
          </cell>
        </row>
        <row r="3134">
          <cell r="D3134">
            <v>1</v>
          </cell>
          <cell r="E3134" t="str">
            <v>CALCULATOR JOYKO CC-8A</v>
          </cell>
          <cell r="J3134">
            <v>0</v>
          </cell>
          <cell r="K3134">
            <v>4935000</v>
          </cell>
        </row>
        <row r="3135">
          <cell r="D3135">
            <v>2</v>
          </cell>
          <cell r="E3135" t="str">
            <v>KUAS SET JOYKO BR-1</v>
          </cell>
          <cell r="J3135">
            <v>0</v>
          </cell>
          <cell r="K3135">
            <v>3696000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64381975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6380195.7207207205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64381975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 t="str">
            <v>NOVI / CONDRO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23030028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45008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 t="str">
            <v>G 1338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5</v>
          </cell>
          <cell r="E3164" t="str">
            <v>LEM STICK JOYKO 8 GR GS-09 isi 12 pc</v>
          </cell>
          <cell r="J3164">
            <v>0</v>
          </cell>
          <cell r="K3164">
            <v>7056000</v>
          </cell>
        </row>
        <row r="3165">
          <cell r="D3165">
            <v>10</v>
          </cell>
          <cell r="E3165" t="str">
            <v>LEM STICK JOYKO 15 GR GS-104 TG (ANIMAL KINGDOM) isi 24 pc</v>
          </cell>
          <cell r="J3165">
            <v>0</v>
          </cell>
          <cell r="K3165">
            <v>18522000</v>
          </cell>
        </row>
        <row r="3166">
          <cell r="D3166">
            <v>5</v>
          </cell>
          <cell r="E3166" t="str">
            <v>STIP / PENGHAPUS JOYKO ER-B20BL HITAM</v>
          </cell>
          <cell r="J3166">
            <v>0</v>
          </cell>
          <cell r="K3166">
            <v>7459375</v>
          </cell>
        </row>
        <row r="3167">
          <cell r="D3167">
            <v>5</v>
          </cell>
          <cell r="E3167" t="str">
            <v>STAPLER JOYKO HD-10</v>
          </cell>
          <cell r="J3167">
            <v>0</v>
          </cell>
          <cell r="K3167">
            <v>7455000</v>
          </cell>
        </row>
        <row r="3168">
          <cell r="D3168">
            <v>1</v>
          </cell>
          <cell r="E3168" t="str">
            <v>JANGKA (MATH SET) JOYKO MS-402</v>
          </cell>
          <cell r="J3168">
            <v>0</v>
          </cell>
          <cell r="K3168">
            <v>3024000</v>
          </cell>
        </row>
        <row r="3169">
          <cell r="D3169">
            <v>5</v>
          </cell>
          <cell r="E3169" t="str">
            <v>BINDER NOTE JOYKO A5 (CAMPUS/CLASSIC)</v>
          </cell>
          <cell r="J3169">
            <v>0</v>
          </cell>
          <cell r="K3169">
            <v>4977000</v>
          </cell>
        </row>
        <row r="3170">
          <cell r="D3170">
            <v>3</v>
          </cell>
          <cell r="E3170" t="str">
            <v>PENCIL CASE KENKO PC-0719 POLOS</v>
          </cell>
          <cell r="J3170">
            <v>0</v>
          </cell>
          <cell r="K3170">
            <v>3628800</v>
          </cell>
        </row>
        <row r="3171">
          <cell r="D3171">
            <v>3</v>
          </cell>
          <cell r="E3171" t="str">
            <v>PENCIL CASE KENKO PC-0719 FANCY</v>
          </cell>
          <cell r="J3171">
            <v>0</v>
          </cell>
          <cell r="K3171">
            <v>3628800</v>
          </cell>
        </row>
        <row r="3172">
          <cell r="D3172">
            <v>1</v>
          </cell>
          <cell r="E3172" t="str">
            <v>CALCULATOR JOYKO CC-8A</v>
          </cell>
          <cell r="J3172">
            <v>0</v>
          </cell>
          <cell r="K3172">
            <v>4935000</v>
          </cell>
        </row>
        <row r="3173">
          <cell r="D3173">
            <v>2</v>
          </cell>
          <cell r="E3173" t="str">
            <v>KUAS SET JOYKO BR-1</v>
          </cell>
          <cell r="J3173">
            <v>0</v>
          </cell>
          <cell r="K3173">
            <v>3696000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64381975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6380195.7207207205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64381975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 t="str">
            <v>NOVI / CONDRO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23030029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>
            <v>45009</v>
          </cell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 t="str">
            <v>KO 1339</v>
          </cell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>
            <v>1</v>
          </cell>
          <cell r="E3202" t="str">
            <v>PAPER FASTENER (ACCO) KENKO PF-508 ISI 50 PC WARNA</v>
          </cell>
          <cell r="J3202"/>
          <cell r="K3202">
            <v>882000</v>
          </cell>
        </row>
        <row r="3203">
          <cell r="D3203">
            <v>1</v>
          </cell>
          <cell r="E3203" t="str">
            <v>PAPER TRIGONAL CLIP KENKO NO. 3</v>
          </cell>
          <cell r="J3203"/>
          <cell r="K3203">
            <v>720000</v>
          </cell>
        </row>
        <row r="3204">
          <cell r="D3204">
            <v>1</v>
          </cell>
          <cell r="E3204" t="str">
            <v>PAPER JUMBO CLIP KENKO NO. 5</v>
          </cell>
          <cell r="J3204"/>
          <cell r="K3204">
            <v>774000</v>
          </cell>
        </row>
        <row r="3205">
          <cell r="D3205"/>
          <cell r="E3205"/>
          <cell r="J3205"/>
          <cell r="K3205">
            <v>0</v>
          </cell>
        </row>
        <row r="3206">
          <cell r="D3206"/>
          <cell r="E3206"/>
          <cell r="J3206"/>
          <cell r="K3206">
            <v>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2376000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235459.45945945941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2376000</v>
          </cell>
        </row>
        <row r="3227">
          <cell r="D3227"/>
          <cell r="E3227"/>
          <cell r="J3227"/>
          <cell r="K3227"/>
        </row>
        <row r="3228">
          <cell r="D3228"/>
          <cell r="J3228" t="str">
            <v>NOVI / CONDRO</v>
          </cell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23030029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45009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 t="str">
            <v>KO 1339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1</v>
          </cell>
          <cell r="E3240" t="str">
            <v>PAPER FASTENER (ACCO) KENKO PF-508 ISI 50 PC WARNA</v>
          </cell>
          <cell r="J3240">
            <v>0</v>
          </cell>
          <cell r="K3240">
            <v>882000</v>
          </cell>
        </row>
        <row r="3241">
          <cell r="D3241">
            <v>1</v>
          </cell>
          <cell r="E3241" t="str">
            <v>PAPER TRIGONAL CLIP KENKO NO. 3</v>
          </cell>
          <cell r="J3241">
            <v>0</v>
          </cell>
          <cell r="K3241">
            <v>720000</v>
          </cell>
        </row>
        <row r="3242">
          <cell r="D3242">
            <v>1</v>
          </cell>
          <cell r="E3242" t="str">
            <v>PAPER JUMBO CLIP KENKO NO. 5</v>
          </cell>
          <cell r="J3242">
            <v>0</v>
          </cell>
          <cell r="K3242">
            <v>774000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2376000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235459.45945945941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2376000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 t="str">
            <v>NOVI / CONDRO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23030029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45009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 t="str">
            <v>KO 1339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1</v>
          </cell>
          <cell r="E3278" t="str">
            <v>PAPER FASTENER (ACCO) KENKO PF-508 ISI 50 PC WARNA</v>
          </cell>
          <cell r="J3278">
            <v>0</v>
          </cell>
          <cell r="K3278">
            <v>882000</v>
          </cell>
        </row>
        <row r="3279">
          <cell r="D3279">
            <v>1</v>
          </cell>
          <cell r="E3279" t="str">
            <v>PAPER TRIGONAL CLIP KENKO NO. 3</v>
          </cell>
          <cell r="J3279">
            <v>0</v>
          </cell>
          <cell r="K3279">
            <v>720000</v>
          </cell>
        </row>
        <row r="3280">
          <cell r="D3280">
            <v>1</v>
          </cell>
          <cell r="E3280" t="str">
            <v>PAPER JUMBO CLIP KENKO NO. 5</v>
          </cell>
          <cell r="J3280">
            <v>0</v>
          </cell>
          <cell r="K3280">
            <v>774000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2376000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235459.45945945941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2376000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 t="str">
            <v>NOVI / CONDRO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23030030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>
            <v>45009</v>
          </cell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 t="str">
            <v>KO 1342</v>
          </cell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>
            <v>2</v>
          </cell>
          <cell r="E3316" t="str">
            <v>PENSIL WARNA JOYKO CP-S12 MINI (PENDEK)</v>
          </cell>
          <cell r="J3316"/>
          <cell r="K3316">
            <v>3338208</v>
          </cell>
        </row>
        <row r="3317">
          <cell r="D3317">
            <v>2</v>
          </cell>
          <cell r="E3317" t="str">
            <v>PENSIL WARNA KENKO CP-12F CLASSIC (PANJANG)</v>
          </cell>
          <cell r="J3317"/>
          <cell r="K3317">
            <v>5156784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8494992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841846.05405405397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8494992</v>
          </cell>
        </row>
        <row r="3341">
          <cell r="D3341"/>
          <cell r="E3341"/>
          <cell r="J3341"/>
          <cell r="K3341"/>
        </row>
        <row r="3342">
          <cell r="D3342"/>
          <cell r="J3342" t="str">
            <v>NOVI / CONDRO</v>
          </cell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23030030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45009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 t="str">
            <v>KO 1342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>
            <v>2</v>
          </cell>
          <cell r="E3354" t="str">
            <v>PENSIL WARNA JOYKO CP-S12 MINI (PENDEK)</v>
          </cell>
          <cell r="J3354">
            <v>0</v>
          </cell>
          <cell r="K3354">
            <v>3338208</v>
          </cell>
        </row>
        <row r="3355">
          <cell r="D3355">
            <v>2</v>
          </cell>
          <cell r="E3355" t="str">
            <v>PENSIL WARNA KENKO CP-12F CLASSIC (PANJANG)</v>
          </cell>
          <cell r="J3355">
            <v>0</v>
          </cell>
          <cell r="K3355">
            <v>5156784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8494992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841846.05405405397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8494992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 t="str">
            <v>NOVI / CONDRO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23030030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45009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 t="str">
            <v>KO 1342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>
            <v>2</v>
          </cell>
          <cell r="E3392" t="str">
            <v>PENSIL WARNA JOYKO CP-S12 MINI (PENDEK)</v>
          </cell>
          <cell r="J3392">
            <v>0</v>
          </cell>
          <cell r="K3392">
            <v>3338208</v>
          </cell>
        </row>
        <row r="3393">
          <cell r="D3393">
            <v>2</v>
          </cell>
          <cell r="E3393" t="str">
            <v>PENSIL WARNA KENKO CP-12F CLASSIC (PANJANG)</v>
          </cell>
          <cell r="J3393">
            <v>0</v>
          </cell>
          <cell r="K3393">
            <v>5156784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8494992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841846.05405405397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8494992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 t="str">
            <v>NOVI / CONDRO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23030031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>
            <v>45009</v>
          </cell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 t="str">
            <v>KO 1345</v>
          </cell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>
            <v>1</v>
          </cell>
          <cell r="E3430" t="str">
            <v>BINDER CLIP KENKO NO. 200</v>
          </cell>
          <cell r="J3430"/>
          <cell r="K3430">
            <v>1032000</v>
          </cell>
        </row>
        <row r="3431">
          <cell r="D3431">
            <v>1</v>
          </cell>
          <cell r="E3431" t="str">
            <v>PUNCH KENKO NO. 30</v>
          </cell>
          <cell r="J3431"/>
          <cell r="K3431">
            <v>1341600</v>
          </cell>
        </row>
        <row r="3432">
          <cell r="D3432" t="str">
            <v/>
          </cell>
          <cell r="E3432" t="str">
            <v>KENKO HIGHLIGHTER HL-100 HIJAU</v>
          </cell>
          <cell r="J3432"/>
          <cell r="K3432">
            <v>209840</v>
          </cell>
        </row>
        <row r="3433">
          <cell r="D3433" t="str">
            <v/>
          </cell>
          <cell r="E3433" t="str">
            <v>KENKO HIGHLIGHTER HL-100 PINK</v>
          </cell>
          <cell r="J3433"/>
          <cell r="K3433">
            <v>314760</v>
          </cell>
        </row>
        <row r="3434">
          <cell r="D3434" t="str">
            <v/>
          </cell>
          <cell r="E3434" t="str">
            <v>PAPER CLIP WARNA KENKO 3100</v>
          </cell>
          <cell r="J3434"/>
          <cell r="K3434">
            <v>427248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3325448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329548.90090090089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3325448</v>
          </cell>
        </row>
        <row r="3455">
          <cell r="D3455"/>
          <cell r="E3455"/>
          <cell r="J3455"/>
          <cell r="K3455"/>
        </row>
        <row r="3456">
          <cell r="D3456"/>
          <cell r="J3456" t="str">
            <v>NOVI / CONDRO</v>
          </cell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23030031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45009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 t="str">
            <v>KO 1345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>
            <v>1</v>
          </cell>
          <cell r="E3468" t="str">
            <v>BINDER CLIP KENKO NO. 200</v>
          </cell>
          <cell r="J3468">
            <v>0</v>
          </cell>
          <cell r="K3468">
            <v>1032000</v>
          </cell>
        </row>
        <row r="3469">
          <cell r="D3469">
            <v>1</v>
          </cell>
          <cell r="E3469" t="str">
            <v>PUNCH KENKO NO. 30</v>
          </cell>
          <cell r="J3469">
            <v>0</v>
          </cell>
          <cell r="K3469">
            <v>1341600</v>
          </cell>
        </row>
        <row r="3470">
          <cell r="D3470" t="str">
            <v/>
          </cell>
          <cell r="E3470" t="str">
            <v>KENKO HIGHLIGHTER HL-100 HIJAU</v>
          </cell>
          <cell r="J3470">
            <v>0</v>
          </cell>
          <cell r="K3470">
            <v>209840</v>
          </cell>
        </row>
        <row r="3471">
          <cell r="D3471" t="str">
            <v/>
          </cell>
          <cell r="E3471" t="str">
            <v>KENKO HIGHLIGHTER HL-100 PINK</v>
          </cell>
          <cell r="J3471">
            <v>0</v>
          </cell>
          <cell r="K3471">
            <v>314760</v>
          </cell>
        </row>
        <row r="3472">
          <cell r="D3472" t="str">
            <v/>
          </cell>
          <cell r="E3472" t="str">
            <v>PAPER CLIP WARNA KENKO 3100</v>
          </cell>
          <cell r="J3472">
            <v>0</v>
          </cell>
          <cell r="K3472">
            <v>427248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3325448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329548.90090090089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3325448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 t="str">
            <v>NOVI / CONDRO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23030031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45009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 t="str">
            <v>KO 1345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>
            <v>1</v>
          </cell>
          <cell r="E3506" t="str">
            <v>BINDER CLIP KENKO NO. 200</v>
          </cell>
          <cell r="J3506">
            <v>0</v>
          </cell>
          <cell r="K3506">
            <v>1032000</v>
          </cell>
        </row>
        <row r="3507">
          <cell r="D3507">
            <v>1</v>
          </cell>
          <cell r="E3507" t="str">
            <v>PUNCH KENKO NO. 30</v>
          </cell>
          <cell r="J3507">
            <v>0</v>
          </cell>
          <cell r="K3507">
            <v>1341600</v>
          </cell>
        </row>
        <row r="3508">
          <cell r="D3508" t="str">
            <v/>
          </cell>
          <cell r="E3508" t="str">
            <v>KENKO HIGHLIGHTER HL-100 HIJAU</v>
          </cell>
          <cell r="J3508">
            <v>0</v>
          </cell>
          <cell r="K3508">
            <v>209840</v>
          </cell>
        </row>
        <row r="3509">
          <cell r="D3509" t="str">
            <v/>
          </cell>
          <cell r="E3509" t="str">
            <v>KENKO HIGHLIGHTER HL-100 PINK</v>
          </cell>
          <cell r="J3509">
            <v>0</v>
          </cell>
          <cell r="K3509">
            <v>314760</v>
          </cell>
        </row>
        <row r="3510">
          <cell r="D3510" t="str">
            <v/>
          </cell>
          <cell r="E3510" t="str">
            <v>PAPER CLIP WARNA KENKO 3100</v>
          </cell>
          <cell r="J3510">
            <v>0</v>
          </cell>
          <cell r="K3510">
            <v>427248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3325448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329548.90090090089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3325448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 t="str">
            <v>NOVI / CONDRO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23030032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>
            <v>45009</v>
          </cell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 t="str">
            <v>N 1346</v>
          </cell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>
            <v>1</v>
          </cell>
          <cell r="E3544" t="str">
            <v>GEL PEN ZHIXIN G-5001 + REFILL</v>
          </cell>
          <cell r="J3544"/>
          <cell r="K3544">
            <v>2160000</v>
          </cell>
        </row>
        <row r="3545">
          <cell r="D3545">
            <v>1</v>
          </cell>
          <cell r="E3545" t="str">
            <v>GEL PEN ZHIXIN G-3132 + REFILL</v>
          </cell>
          <cell r="J3545"/>
          <cell r="K3545">
            <v>2160000</v>
          </cell>
        </row>
        <row r="3546">
          <cell r="D3546">
            <v>1</v>
          </cell>
          <cell r="E3546" t="str">
            <v>GEL PEN ZHIXIN G-3136 + REFILL</v>
          </cell>
          <cell r="J3546"/>
          <cell r="K3546">
            <v>2160000</v>
          </cell>
        </row>
        <row r="3547">
          <cell r="D3547">
            <v>1</v>
          </cell>
          <cell r="E3547" t="str">
            <v>GEL PEN ZHIXIN G-5004 + REFILL</v>
          </cell>
          <cell r="J3547"/>
          <cell r="K3547">
            <v>2160000</v>
          </cell>
        </row>
        <row r="3548">
          <cell r="D3548"/>
          <cell r="E3548"/>
          <cell r="J3548"/>
          <cell r="K3548">
            <v>0</v>
          </cell>
        </row>
        <row r="3549">
          <cell r="D3549"/>
          <cell r="E3549"/>
          <cell r="J3549"/>
          <cell r="K3549">
            <v>0</v>
          </cell>
        </row>
        <row r="3550">
          <cell r="D3550"/>
          <cell r="E3550"/>
          <cell r="J3550"/>
          <cell r="K3550">
            <v>0</v>
          </cell>
        </row>
        <row r="3551">
          <cell r="D3551"/>
          <cell r="E3551"/>
          <cell r="J3551"/>
          <cell r="K3551">
            <v>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8640000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856216.21621621621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8640000</v>
          </cell>
        </row>
        <row r="3569">
          <cell r="D3569"/>
          <cell r="E3569"/>
          <cell r="J3569"/>
          <cell r="K3569"/>
        </row>
        <row r="3570">
          <cell r="D3570"/>
          <cell r="J3570" t="str">
            <v>NOVI / CONDRO</v>
          </cell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23030032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45009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 t="str">
            <v>N 1346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1</v>
          </cell>
          <cell r="E3582" t="str">
            <v>GEL PEN ZHIXIN G-5001 + REFILL</v>
          </cell>
          <cell r="J3582">
            <v>0</v>
          </cell>
          <cell r="K3582">
            <v>2160000</v>
          </cell>
        </row>
        <row r="3583">
          <cell r="D3583">
            <v>1</v>
          </cell>
          <cell r="E3583" t="str">
            <v>GEL PEN ZHIXIN G-3132 + REFILL</v>
          </cell>
          <cell r="J3583">
            <v>0</v>
          </cell>
          <cell r="K3583">
            <v>2160000</v>
          </cell>
        </row>
        <row r="3584">
          <cell r="D3584">
            <v>1</v>
          </cell>
          <cell r="E3584" t="str">
            <v>GEL PEN ZHIXIN G-3136 + REFILL</v>
          </cell>
          <cell r="J3584">
            <v>0</v>
          </cell>
          <cell r="K3584">
            <v>2160000</v>
          </cell>
        </row>
        <row r="3585">
          <cell r="D3585">
            <v>1</v>
          </cell>
          <cell r="E3585" t="str">
            <v>GEL PEN ZHIXIN G-5004 + REFILL</v>
          </cell>
          <cell r="J3585">
            <v>0</v>
          </cell>
          <cell r="K3585">
            <v>2160000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8640000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856216.21621621621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8640000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 t="str">
            <v>NOVI / CONDRO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23030032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45009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 t="str">
            <v>N 1346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1</v>
          </cell>
          <cell r="E3620" t="str">
            <v>GEL PEN ZHIXIN G-5001 + REFILL</v>
          </cell>
          <cell r="J3620">
            <v>0</v>
          </cell>
          <cell r="K3620">
            <v>2160000</v>
          </cell>
        </row>
        <row r="3621">
          <cell r="D3621">
            <v>1</v>
          </cell>
          <cell r="E3621" t="str">
            <v>GEL PEN ZHIXIN G-3132 + REFILL</v>
          </cell>
          <cell r="J3621">
            <v>0</v>
          </cell>
          <cell r="K3621">
            <v>2160000</v>
          </cell>
        </row>
        <row r="3622">
          <cell r="D3622">
            <v>1</v>
          </cell>
          <cell r="E3622" t="str">
            <v>GEL PEN ZHIXIN G-3136 + REFILL</v>
          </cell>
          <cell r="J3622">
            <v>0</v>
          </cell>
          <cell r="K3622">
            <v>2160000</v>
          </cell>
        </row>
        <row r="3623">
          <cell r="D3623">
            <v>1</v>
          </cell>
          <cell r="E3623" t="str">
            <v>GEL PEN ZHIXIN G-5004 + REFILL</v>
          </cell>
          <cell r="J3623">
            <v>0</v>
          </cell>
          <cell r="K3623">
            <v>2160000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8640000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856216.21621621621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8640000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 t="str">
            <v>NOVI / CONDRO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23030033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>
            <v>45009</v>
          </cell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 t="str">
            <v>KO 1243</v>
          </cell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 t="str">
            <v/>
          </cell>
          <cell r="E3658" t="str">
            <v>GEL PEN JOYKO GP-266 ITECH 2 HITAM</v>
          </cell>
          <cell r="J3658"/>
          <cell r="K3658">
            <v>74520</v>
          </cell>
        </row>
        <row r="3659">
          <cell r="D3659" t="str">
            <v/>
          </cell>
          <cell r="E3659" t="str">
            <v>ISI BENSIA LANTU LT 11-32 (40 SET)</v>
          </cell>
          <cell r="J3659"/>
          <cell r="K3659">
            <v>110000</v>
          </cell>
        </row>
        <row r="3660">
          <cell r="D3660" t="str">
            <v/>
          </cell>
          <cell r="E3660" t="str">
            <v>PENSIL WARNA KENKO CP-12HALF CLASSIC (PENDEK)</v>
          </cell>
          <cell r="J3660"/>
          <cell r="K3660">
            <v>142560</v>
          </cell>
        </row>
        <row r="3661">
          <cell r="D3661" t="str">
            <v/>
          </cell>
          <cell r="E3661" t="str">
            <v>PENSIL WARNA KENKO CP-24F CLASSIC (PANJANG)</v>
          </cell>
          <cell r="J3661"/>
          <cell r="K3661">
            <v>447120</v>
          </cell>
        </row>
        <row r="3662">
          <cell r="D3662" t="str">
            <v/>
          </cell>
          <cell r="E3662" t="str">
            <v>GEL PEN VANCO GP-559 HI-TOUCH HITAM</v>
          </cell>
          <cell r="J3662"/>
          <cell r="K3662">
            <v>78000</v>
          </cell>
        </row>
        <row r="3663">
          <cell r="D3663" t="str">
            <v/>
          </cell>
          <cell r="E3663" t="str">
            <v>BUKU KAS KWARTO</v>
          </cell>
          <cell r="J3663"/>
          <cell r="K3663">
            <v>95000</v>
          </cell>
        </row>
        <row r="3664">
          <cell r="D3664" t="str">
            <v/>
          </cell>
          <cell r="E3664" t="str">
            <v>LOOSE LEAF JOYKO A5-7020 (50S)</v>
          </cell>
          <cell r="J3664"/>
          <cell r="K3664">
            <v>162000</v>
          </cell>
        </row>
        <row r="3665">
          <cell r="D3665" t="str">
            <v/>
          </cell>
          <cell r="E3665" t="str">
            <v>STIP / PENGHAPUS KENKO ERB-40SQ HITAM</v>
          </cell>
          <cell r="J3665"/>
          <cell r="K3665">
            <v>74250</v>
          </cell>
        </row>
        <row r="3666">
          <cell r="D3666" t="str">
            <v/>
          </cell>
          <cell r="E3666" t="str">
            <v>ISI CUTTER 9 MM KENKO A-100 (KECIL)</v>
          </cell>
          <cell r="J3666"/>
          <cell r="K3666">
            <v>58320</v>
          </cell>
        </row>
        <row r="3667">
          <cell r="D3667" t="str">
            <v/>
          </cell>
          <cell r="E3667" t="str">
            <v>ISI CUTTER 18 MM KENKO L-150 (BESAR)</v>
          </cell>
          <cell r="J3667"/>
          <cell r="K3667">
            <v>116640</v>
          </cell>
        </row>
        <row r="3668">
          <cell r="D3668" t="str">
            <v/>
          </cell>
          <cell r="E3668" t="str">
            <v>BINDER CLIP KENKO NO. 105</v>
          </cell>
          <cell r="J3668"/>
          <cell r="K3668">
            <v>25920</v>
          </cell>
        </row>
        <row r="3669">
          <cell r="D3669" t="str">
            <v/>
          </cell>
          <cell r="E3669" t="str">
            <v>BINDER CLIP KENKO NO. 111</v>
          </cell>
          <cell r="J3669"/>
          <cell r="K3669">
            <v>44280</v>
          </cell>
        </row>
        <row r="3670">
          <cell r="D3670" t="str">
            <v/>
          </cell>
          <cell r="E3670" t="str">
            <v>STAPLER KENKO HD-10</v>
          </cell>
          <cell r="J3670"/>
          <cell r="K3670">
            <v>83700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1512310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149868.55855855855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1512310</v>
          </cell>
        </row>
        <row r="3683">
          <cell r="D3683"/>
          <cell r="E3683"/>
          <cell r="J3683"/>
          <cell r="K3683"/>
        </row>
        <row r="3684">
          <cell r="D3684"/>
          <cell r="J3684" t="str">
            <v>RISMA / CONDRO</v>
          </cell>
          <cell r="K3684"/>
        </row>
        <row r="3685">
          <cell r="D3685"/>
          <cell r="J3685" t="str">
            <v>NOVI / CONDRO</v>
          </cell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23030033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45009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 t="str">
            <v>KO 1243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 t="str">
            <v/>
          </cell>
          <cell r="E3696" t="str">
            <v>GEL PEN JOYKO GP-266 ITECH 2 HITAM</v>
          </cell>
          <cell r="J3696">
            <v>0</v>
          </cell>
          <cell r="K3696">
            <v>74520</v>
          </cell>
        </row>
        <row r="3697">
          <cell r="D3697" t="str">
            <v/>
          </cell>
          <cell r="E3697" t="str">
            <v>ISI BENSIA LANTU LT 11-32 (40 SET)</v>
          </cell>
          <cell r="J3697">
            <v>0</v>
          </cell>
          <cell r="K3697">
            <v>110000</v>
          </cell>
        </row>
        <row r="3698">
          <cell r="D3698" t="str">
            <v/>
          </cell>
          <cell r="E3698" t="str">
            <v>PENSIL WARNA KENKO CP-12HALF CLASSIC (PENDEK)</v>
          </cell>
          <cell r="J3698">
            <v>0</v>
          </cell>
          <cell r="K3698">
            <v>142560</v>
          </cell>
        </row>
        <row r="3699">
          <cell r="D3699" t="str">
            <v/>
          </cell>
          <cell r="E3699" t="str">
            <v>PENSIL WARNA KENKO CP-24F CLASSIC (PANJANG)</v>
          </cell>
          <cell r="J3699">
            <v>0</v>
          </cell>
          <cell r="K3699">
            <v>447120</v>
          </cell>
        </row>
        <row r="3700">
          <cell r="D3700" t="str">
            <v/>
          </cell>
          <cell r="E3700" t="str">
            <v>GEL PEN VANCO GP-559 HI-TOUCH HITAM</v>
          </cell>
          <cell r="J3700">
            <v>0</v>
          </cell>
          <cell r="K3700">
            <v>78000</v>
          </cell>
        </row>
        <row r="3701">
          <cell r="D3701" t="str">
            <v/>
          </cell>
          <cell r="E3701" t="str">
            <v>BUKU KAS KWARTO</v>
          </cell>
          <cell r="J3701">
            <v>0</v>
          </cell>
          <cell r="K3701">
            <v>95000</v>
          </cell>
        </row>
        <row r="3702">
          <cell r="D3702" t="str">
            <v/>
          </cell>
          <cell r="E3702" t="str">
            <v>LOOSE LEAF JOYKO A5-7020 (50S)</v>
          </cell>
          <cell r="J3702">
            <v>0</v>
          </cell>
          <cell r="K3702">
            <v>162000</v>
          </cell>
        </row>
        <row r="3703">
          <cell r="D3703" t="str">
            <v/>
          </cell>
          <cell r="E3703" t="str">
            <v>STIP / PENGHAPUS KENKO ERB-40SQ HITAM</v>
          </cell>
          <cell r="J3703">
            <v>0</v>
          </cell>
          <cell r="K3703">
            <v>74250</v>
          </cell>
        </row>
        <row r="3704">
          <cell r="D3704" t="str">
            <v/>
          </cell>
          <cell r="E3704" t="str">
            <v>ISI CUTTER 9 MM KENKO A-100 (KECIL)</v>
          </cell>
          <cell r="J3704">
            <v>0</v>
          </cell>
          <cell r="K3704">
            <v>58320</v>
          </cell>
        </row>
        <row r="3705">
          <cell r="D3705" t="str">
            <v/>
          </cell>
          <cell r="E3705" t="str">
            <v>ISI CUTTER 18 MM KENKO L-150 (BESAR)</v>
          </cell>
          <cell r="J3705">
            <v>0</v>
          </cell>
          <cell r="K3705">
            <v>116640</v>
          </cell>
        </row>
        <row r="3706">
          <cell r="D3706" t="str">
            <v/>
          </cell>
          <cell r="E3706" t="str">
            <v>BINDER CLIP KENKO NO. 105</v>
          </cell>
          <cell r="J3706">
            <v>0</v>
          </cell>
          <cell r="K3706">
            <v>25920</v>
          </cell>
        </row>
        <row r="3707">
          <cell r="D3707" t="str">
            <v/>
          </cell>
          <cell r="E3707" t="str">
            <v>BINDER CLIP KENKO NO. 111</v>
          </cell>
          <cell r="J3707">
            <v>0</v>
          </cell>
          <cell r="K3707">
            <v>44280</v>
          </cell>
        </row>
        <row r="3708">
          <cell r="D3708" t="str">
            <v/>
          </cell>
          <cell r="E3708" t="str">
            <v>STAPLER KENKO HD-10</v>
          </cell>
          <cell r="J3708">
            <v>0</v>
          </cell>
          <cell r="K3708">
            <v>83700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1512310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149868.55855855855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1512310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 t="str">
            <v>RISMA / CONDRO</v>
          </cell>
          <cell r="K3722"/>
        </row>
        <row r="3723">
          <cell r="D3723"/>
          <cell r="E3723"/>
          <cell r="J3723" t="str">
            <v>NOVI / CONDRO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23030033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45009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 t="str">
            <v>KO 1243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 t="str">
            <v/>
          </cell>
          <cell r="E3734" t="str">
            <v>GEL PEN JOYKO GP-266 ITECH 2 HITAM</v>
          </cell>
          <cell r="J3734">
            <v>0</v>
          </cell>
          <cell r="K3734">
            <v>74520</v>
          </cell>
        </row>
        <row r="3735">
          <cell r="D3735" t="str">
            <v/>
          </cell>
          <cell r="E3735" t="str">
            <v>ISI BENSIA LANTU LT 11-32 (40 SET)</v>
          </cell>
          <cell r="J3735">
            <v>0</v>
          </cell>
          <cell r="K3735">
            <v>110000</v>
          </cell>
        </row>
        <row r="3736">
          <cell r="D3736" t="str">
            <v/>
          </cell>
          <cell r="E3736" t="str">
            <v>PENSIL WARNA KENKO CP-12HALF CLASSIC (PENDEK)</v>
          </cell>
          <cell r="J3736">
            <v>0</v>
          </cell>
          <cell r="K3736">
            <v>142560</v>
          </cell>
        </row>
        <row r="3737">
          <cell r="D3737" t="str">
            <v/>
          </cell>
          <cell r="E3737" t="str">
            <v>PENSIL WARNA KENKO CP-24F CLASSIC (PANJANG)</v>
          </cell>
          <cell r="J3737">
            <v>0</v>
          </cell>
          <cell r="K3737">
            <v>447120</v>
          </cell>
        </row>
        <row r="3738">
          <cell r="D3738" t="str">
            <v/>
          </cell>
          <cell r="E3738" t="str">
            <v>GEL PEN VANCO GP-559 HI-TOUCH HITAM</v>
          </cell>
          <cell r="J3738">
            <v>0</v>
          </cell>
          <cell r="K3738">
            <v>78000</v>
          </cell>
        </row>
        <row r="3739">
          <cell r="D3739" t="str">
            <v/>
          </cell>
          <cell r="E3739" t="str">
            <v>BUKU KAS KWARTO</v>
          </cell>
          <cell r="J3739">
            <v>0</v>
          </cell>
          <cell r="K3739">
            <v>95000</v>
          </cell>
        </row>
        <row r="3740">
          <cell r="D3740" t="str">
            <v/>
          </cell>
          <cell r="E3740" t="str">
            <v>LOOSE LEAF JOYKO A5-7020 (50S)</v>
          </cell>
          <cell r="J3740">
            <v>0</v>
          </cell>
          <cell r="K3740">
            <v>162000</v>
          </cell>
        </row>
        <row r="3741">
          <cell r="D3741" t="str">
            <v/>
          </cell>
          <cell r="E3741" t="str">
            <v>STIP / PENGHAPUS KENKO ERB-40SQ HITAM</v>
          </cell>
          <cell r="J3741">
            <v>0</v>
          </cell>
          <cell r="K3741">
            <v>74250</v>
          </cell>
        </row>
        <row r="3742">
          <cell r="D3742" t="str">
            <v/>
          </cell>
          <cell r="E3742" t="str">
            <v>ISI CUTTER 9 MM KENKO A-100 (KECIL)</v>
          </cell>
          <cell r="J3742">
            <v>0</v>
          </cell>
          <cell r="K3742">
            <v>58320</v>
          </cell>
        </row>
        <row r="3743">
          <cell r="D3743" t="str">
            <v/>
          </cell>
          <cell r="E3743" t="str">
            <v>ISI CUTTER 18 MM KENKO L-150 (BESAR)</v>
          </cell>
          <cell r="J3743">
            <v>0</v>
          </cell>
          <cell r="K3743">
            <v>116640</v>
          </cell>
        </row>
        <row r="3744">
          <cell r="D3744" t="str">
            <v/>
          </cell>
          <cell r="E3744" t="str">
            <v>BINDER CLIP KENKO NO. 105</v>
          </cell>
          <cell r="J3744">
            <v>0</v>
          </cell>
          <cell r="K3744">
            <v>25920</v>
          </cell>
        </row>
        <row r="3745">
          <cell r="D3745" t="str">
            <v/>
          </cell>
          <cell r="E3745" t="str">
            <v>BINDER CLIP KENKO NO. 111</v>
          </cell>
          <cell r="J3745">
            <v>0</v>
          </cell>
          <cell r="K3745">
            <v>44280</v>
          </cell>
        </row>
        <row r="3746">
          <cell r="D3746" t="str">
            <v/>
          </cell>
          <cell r="E3746" t="str">
            <v>STAPLER KENKO HD-10</v>
          </cell>
          <cell r="J3746">
            <v>0</v>
          </cell>
          <cell r="K3746">
            <v>83700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1512310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149868.55855855855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1512310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 t="str">
            <v>RISMA / CONDRO</v>
          </cell>
          <cell r="K3760"/>
        </row>
        <row r="3761">
          <cell r="D3761"/>
          <cell r="E3761"/>
          <cell r="J3761" t="str">
            <v>NOVI / CONDRO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23030034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>
            <v>45014</v>
          </cell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 t="str">
            <v>KO 1364</v>
          </cell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>
            <v>3</v>
          </cell>
          <cell r="E3772" t="str">
            <v>PENSIL WARNA JOYKO CP-12PB (PANJANG)</v>
          </cell>
          <cell r="J3772"/>
          <cell r="K3772">
            <v>3961008</v>
          </cell>
        </row>
        <row r="3773">
          <cell r="D3773"/>
          <cell r="E3773"/>
          <cell r="J3773"/>
          <cell r="K3773">
            <v>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3961008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392532.32432432426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3961008</v>
          </cell>
        </row>
        <row r="3797">
          <cell r="D3797"/>
          <cell r="E3797"/>
          <cell r="J3797"/>
          <cell r="K3797"/>
        </row>
        <row r="3798">
          <cell r="D3798"/>
          <cell r="J3798" t="str">
            <v>NOVI / CONDRO</v>
          </cell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23030034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45014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 t="str">
            <v>KO 1364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>
            <v>3</v>
          </cell>
          <cell r="E3810" t="str">
            <v>PENSIL WARNA JOYKO CP-12PB (PANJANG)</v>
          </cell>
          <cell r="J3810">
            <v>0</v>
          </cell>
          <cell r="K3810">
            <v>3961008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3961008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392532.32432432426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3961008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 t="str">
            <v>NOVI / CONDRO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23030034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45014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 t="str">
            <v>KO 1364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>
            <v>3</v>
          </cell>
          <cell r="E3848" t="str">
            <v>PENSIL WARNA JOYKO CP-12PB (PANJANG)</v>
          </cell>
          <cell r="J3848">
            <v>0</v>
          </cell>
          <cell r="K3848">
            <v>3961008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3961008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392532.32432432426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3961008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 t="str">
            <v>NOVI / CONDRO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23030035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>
            <v>45015</v>
          </cell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 t="str">
            <v>KO 1371</v>
          </cell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>
            <v>1</v>
          </cell>
          <cell r="E3886" t="str">
            <v>GEL PEN KENKO HI-TECH-H 0.28 MM HITAM</v>
          </cell>
          <cell r="J3886"/>
          <cell r="K3886">
            <v>4857840</v>
          </cell>
        </row>
        <row r="3887">
          <cell r="D3887"/>
          <cell r="E3887"/>
          <cell r="J3887"/>
          <cell r="K3887">
            <v>0</v>
          </cell>
        </row>
        <row r="3888">
          <cell r="D3888"/>
          <cell r="E3888"/>
          <cell r="J3888"/>
          <cell r="K3888">
            <v>0</v>
          </cell>
        </row>
        <row r="3889">
          <cell r="D3889"/>
          <cell r="E3889"/>
          <cell r="J3889"/>
          <cell r="K3889">
            <v>0</v>
          </cell>
        </row>
        <row r="3890">
          <cell r="D3890"/>
          <cell r="E3890"/>
          <cell r="J3890"/>
          <cell r="K3890">
            <v>0</v>
          </cell>
        </row>
        <row r="3891">
          <cell r="D3891"/>
          <cell r="E3891"/>
          <cell r="J3891"/>
          <cell r="K3891">
            <v>0</v>
          </cell>
        </row>
        <row r="3892">
          <cell r="D3892"/>
          <cell r="E3892"/>
          <cell r="J3892"/>
          <cell r="K3892">
            <v>0</v>
          </cell>
        </row>
        <row r="3893">
          <cell r="D3893"/>
          <cell r="E3893"/>
          <cell r="J3893"/>
          <cell r="K3893">
            <v>0</v>
          </cell>
        </row>
        <row r="3894">
          <cell r="D3894"/>
          <cell r="E3894"/>
          <cell r="J3894"/>
          <cell r="K3894">
            <v>0</v>
          </cell>
        </row>
        <row r="3895">
          <cell r="D3895"/>
          <cell r="E3895"/>
          <cell r="J3895"/>
          <cell r="K3895">
            <v>0</v>
          </cell>
        </row>
        <row r="3896">
          <cell r="D3896"/>
          <cell r="E3896"/>
          <cell r="J3896"/>
          <cell r="K3896">
            <v>0</v>
          </cell>
        </row>
        <row r="3897">
          <cell r="D3897"/>
          <cell r="E3897"/>
          <cell r="J3897"/>
          <cell r="K3897">
            <v>0</v>
          </cell>
        </row>
        <row r="3898">
          <cell r="D3898"/>
          <cell r="E3898"/>
          <cell r="J3898"/>
          <cell r="K3898">
            <v>0</v>
          </cell>
        </row>
        <row r="3899">
          <cell r="D3899"/>
          <cell r="E3899"/>
          <cell r="J3899"/>
          <cell r="K3899">
            <v>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4857840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481407.56756756752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4857840</v>
          </cell>
        </row>
        <row r="3911">
          <cell r="D3911"/>
          <cell r="E3911"/>
          <cell r="J3911"/>
          <cell r="K3911"/>
        </row>
        <row r="3912">
          <cell r="D3912"/>
          <cell r="J3912" t="str">
            <v>NOVI / CONDRO</v>
          </cell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23030035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45015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 t="str">
            <v>KO 1371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1</v>
          </cell>
          <cell r="E3924" t="str">
            <v>GEL PEN KENKO HI-TECH-H 0.28 MM HITAM</v>
          </cell>
          <cell r="J3924">
            <v>0</v>
          </cell>
          <cell r="K3924">
            <v>4857840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4857840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481407.56756756752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4857840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 t="str">
            <v>NOVI / CONDRO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23030035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45015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 t="str">
            <v>KO 1371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1</v>
          </cell>
          <cell r="E3962" t="str">
            <v>GEL PEN KENKO HI-TECH-H 0.28 MM HITAM</v>
          </cell>
          <cell r="J3962">
            <v>0</v>
          </cell>
          <cell r="K3962">
            <v>4857840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4857840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481407.56756756752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4857840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 t="str">
            <v>NOVI / CONDRO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23030036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>
            <v>45015</v>
          </cell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 t="str">
            <v>KO 1370</v>
          </cell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>
            <v>5</v>
          </cell>
          <cell r="E4000" t="str">
            <v>GEL PEN KENKO HI-TECH-H 0.28 MM HITAM</v>
          </cell>
          <cell r="J4000"/>
          <cell r="K4000">
            <v>24289200</v>
          </cell>
        </row>
        <row r="4001">
          <cell r="D4001">
            <v>2</v>
          </cell>
          <cell r="E4001" t="str">
            <v>CORRECTION FLUID KENKO KE-01</v>
          </cell>
          <cell r="J4001"/>
          <cell r="K4001">
            <v>6763608</v>
          </cell>
        </row>
        <row r="4002">
          <cell r="D4002">
            <v>1</v>
          </cell>
          <cell r="E4002" t="str">
            <v>PUNCH KENKO NO. 85XL</v>
          </cell>
          <cell r="J4002"/>
          <cell r="K4002">
            <v>1224840</v>
          </cell>
        </row>
        <row r="4003">
          <cell r="D4003">
            <v>1</v>
          </cell>
          <cell r="E4003" t="str">
            <v>ISI STAPLER (STAPLES) KENKO 1210 PREMIUM (23/10)</v>
          </cell>
          <cell r="J4003"/>
          <cell r="K4003">
            <v>726600</v>
          </cell>
        </row>
        <row r="4004">
          <cell r="D4004">
            <v>1</v>
          </cell>
          <cell r="E4004" t="str">
            <v>LEM STICK KENKO 15 GR (TANGGUNG) isi 20 pc</v>
          </cell>
          <cell r="J4004"/>
          <cell r="K4004">
            <v>2242080</v>
          </cell>
        </row>
        <row r="4005">
          <cell r="D4005"/>
          <cell r="E4005"/>
          <cell r="J4005"/>
          <cell r="K4005">
            <v>0</v>
          </cell>
        </row>
        <row r="4006">
          <cell r="D4006"/>
          <cell r="E4006"/>
          <cell r="J4006"/>
          <cell r="K4006">
            <v>0</v>
          </cell>
        </row>
        <row r="4007">
          <cell r="D4007"/>
          <cell r="E4007"/>
          <cell r="J4007"/>
          <cell r="K4007">
            <v>0</v>
          </cell>
        </row>
        <row r="4008">
          <cell r="D4008"/>
          <cell r="E4008"/>
          <cell r="J4008"/>
          <cell r="K4008">
            <v>0</v>
          </cell>
        </row>
        <row r="4009">
          <cell r="D4009"/>
          <cell r="E4009"/>
          <cell r="J4009"/>
          <cell r="K4009">
            <v>0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35246328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3492879.351351351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35246328</v>
          </cell>
        </row>
        <row r="4025">
          <cell r="D4025"/>
          <cell r="E4025"/>
          <cell r="J4025"/>
          <cell r="K4025"/>
        </row>
        <row r="4026">
          <cell r="D4026"/>
          <cell r="J4026" t="str">
            <v>NOVI / CONDRO</v>
          </cell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23030036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45015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 t="str">
            <v>KO 1370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5</v>
          </cell>
          <cell r="E4038" t="str">
            <v>GEL PEN KENKO HI-TECH-H 0.28 MM HITAM</v>
          </cell>
          <cell r="J4038">
            <v>0</v>
          </cell>
          <cell r="K4038">
            <v>24289200</v>
          </cell>
        </row>
        <row r="4039">
          <cell r="D4039">
            <v>2</v>
          </cell>
          <cell r="E4039" t="str">
            <v>CORRECTION FLUID KENKO KE-01</v>
          </cell>
          <cell r="J4039">
            <v>0</v>
          </cell>
          <cell r="K4039">
            <v>6763608</v>
          </cell>
        </row>
        <row r="4040">
          <cell r="D4040">
            <v>1</v>
          </cell>
          <cell r="E4040" t="str">
            <v>PUNCH KENKO NO. 85XL</v>
          </cell>
          <cell r="J4040">
            <v>0</v>
          </cell>
          <cell r="K4040">
            <v>1224840</v>
          </cell>
        </row>
        <row r="4041">
          <cell r="D4041">
            <v>1</v>
          </cell>
          <cell r="E4041" t="str">
            <v>ISI STAPLER (STAPLES) KENKO 1210 PREMIUM (23/10)</v>
          </cell>
          <cell r="J4041">
            <v>0</v>
          </cell>
          <cell r="K4041">
            <v>726600</v>
          </cell>
        </row>
        <row r="4042">
          <cell r="D4042">
            <v>1</v>
          </cell>
          <cell r="E4042" t="str">
            <v>LEM STICK KENKO 15 GR (TANGGUNG) isi 20 pc</v>
          </cell>
          <cell r="J4042">
            <v>0</v>
          </cell>
          <cell r="K4042">
            <v>2242080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35246328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3492879.351351351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35246328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 t="str">
            <v>NOVI / CONDRO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23030036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45015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 t="str">
            <v>KO 1370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5</v>
          </cell>
          <cell r="E4076" t="str">
            <v>GEL PEN KENKO HI-TECH-H 0.28 MM HITAM</v>
          </cell>
          <cell r="J4076">
            <v>0</v>
          </cell>
          <cell r="K4076">
            <v>24289200</v>
          </cell>
        </row>
        <row r="4077">
          <cell r="D4077">
            <v>2</v>
          </cell>
          <cell r="E4077" t="str">
            <v>CORRECTION FLUID KENKO KE-01</v>
          </cell>
          <cell r="J4077">
            <v>0</v>
          </cell>
          <cell r="K4077">
            <v>6763608</v>
          </cell>
        </row>
        <row r="4078">
          <cell r="D4078">
            <v>1</v>
          </cell>
          <cell r="E4078" t="str">
            <v>PUNCH KENKO NO. 85XL</v>
          </cell>
          <cell r="J4078">
            <v>0</v>
          </cell>
          <cell r="K4078">
            <v>1224840</v>
          </cell>
        </row>
        <row r="4079">
          <cell r="D4079">
            <v>1</v>
          </cell>
          <cell r="E4079" t="str">
            <v>ISI STAPLER (STAPLES) KENKO 1210 PREMIUM (23/10)</v>
          </cell>
          <cell r="J4079">
            <v>0</v>
          </cell>
          <cell r="K4079">
            <v>726600</v>
          </cell>
        </row>
        <row r="4080">
          <cell r="D4080">
            <v>1</v>
          </cell>
          <cell r="E4080" t="str">
            <v>LEM STICK KENKO 15 GR (TANGGUNG) isi 20 pc</v>
          </cell>
          <cell r="J4080">
            <v>0</v>
          </cell>
          <cell r="K4080">
            <v>2242080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35246328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3492879.351351351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35246328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 t="str">
            <v>NOVI / CONDRO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23030037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>
            <v>45015</v>
          </cell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 t="str">
            <v>KO 1249</v>
          </cell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 t="str">
            <v/>
          </cell>
          <cell r="E4114" t="str">
            <v>CORRECTION FLUID KENKO KE-01</v>
          </cell>
          <cell r="J4114"/>
          <cell r="K4114">
            <v>488700</v>
          </cell>
        </row>
        <row r="4115">
          <cell r="D4115" t="str">
            <v/>
          </cell>
          <cell r="E4115" t="str">
            <v>GEL PEN TIZO 1.0 MM TG-340 HITAM</v>
          </cell>
          <cell r="J4115"/>
          <cell r="K4115">
            <v>420000</v>
          </cell>
        </row>
        <row r="4116">
          <cell r="D4116" t="str">
            <v/>
          </cell>
          <cell r="E4116" t="str">
            <v>GEL PEN TIZO 1.0 MM TG-340BI BIRU</v>
          </cell>
          <cell r="J4116"/>
          <cell r="K4116">
            <v>420000</v>
          </cell>
        </row>
        <row r="4117">
          <cell r="D4117">
            <v>1</v>
          </cell>
          <cell r="E4117" t="str">
            <v>BINDER CLIP KENKO NO. 260</v>
          </cell>
          <cell r="J4117"/>
          <cell r="K4117">
            <v>810000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2138700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211943.24324324323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2138700</v>
          </cell>
        </row>
        <row r="4139">
          <cell r="D4139"/>
          <cell r="E4139"/>
          <cell r="J4139"/>
          <cell r="K4139"/>
        </row>
        <row r="4140">
          <cell r="D4140"/>
          <cell r="J4140" t="str">
            <v>NOVI / CONDRO</v>
          </cell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23030037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45015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 t="str">
            <v>KO 1249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 t="str">
            <v/>
          </cell>
          <cell r="E4152" t="str">
            <v>CORRECTION FLUID KENKO KE-01</v>
          </cell>
          <cell r="J4152">
            <v>0</v>
          </cell>
          <cell r="K4152">
            <v>488700</v>
          </cell>
        </row>
        <row r="4153">
          <cell r="D4153" t="str">
            <v/>
          </cell>
          <cell r="E4153" t="str">
            <v>GEL PEN TIZO 1.0 MM TG-340 HITAM</v>
          </cell>
          <cell r="J4153">
            <v>0</v>
          </cell>
          <cell r="K4153">
            <v>420000</v>
          </cell>
        </row>
        <row r="4154">
          <cell r="D4154" t="str">
            <v/>
          </cell>
          <cell r="E4154" t="str">
            <v>GEL PEN TIZO 1.0 MM TG-340BI BIRU</v>
          </cell>
          <cell r="J4154">
            <v>0</v>
          </cell>
          <cell r="K4154">
            <v>420000</v>
          </cell>
        </row>
        <row r="4155">
          <cell r="D4155">
            <v>1</v>
          </cell>
          <cell r="E4155" t="str">
            <v>BINDER CLIP KENKO NO. 260</v>
          </cell>
          <cell r="J4155">
            <v>0</v>
          </cell>
          <cell r="K4155">
            <v>810000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2138700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211943.24324324323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2138700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 t="str">
            <v>NOVI / CONDRO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23030037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45015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 t="str">
            <v>KO 1249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 t="str">
            <v/>
          </cell>
          <cell r="E4190" t="str">
            <v>CORRECTION FLUID KENKO KE-01</v>
          </cell>
          <cell r="J4190">
            <v>0</v>
          </cell>
          <cell r="K4190">
            <v>488700</v>
          </cell>
        </row>
        <row r="4191">
          <cell r="D4191" t="str">
            <v/>
          </cell>
          <cell r="E4191" t="str">
            <v>GEL PEN TIZO 1.0 MM TG-340 HITAM</v>
          </cell>
          <cell r="J4191">
            <v>0</v>
          </cell>
          <cell r="K4191">
            <v>420000</v>
          </cell>
        </row>
        <row r="4192">
          <cell r="D4192" t="str">
            <v/>
          </cell>
          <cell r="E4192" t="str">
            <v>GEL PEN TIZO 1.0 MM TG-340BI BIRU</v>
          </cell>
          <cell r="J4192">
            <v>0</v>
          </cell>
          <cell r="K4192">
            <v>420000</v>
          </cell>
        </row>
        <row r="4193">
          <cell r="D4193">
            <v>1</v>
          </cell>
          <cell r="E4193" t="str">
            <v>BINDER CLIP KENKO NO. 260</v>
          </cell>
          <cell r="J4193">
            <v>0</v>
          </cell>
          <cell r="K4193">
            <v>810000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2138700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211943.24324324323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2138700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 t="str">
            <v>NOVI / CONDRO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23030038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>
            <v>45015</v>
          </cell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 t="str">
            <v>KO 1376</v>
          </cell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>
            <v>3</v>
          </cell>
          <cell r="E4228" t="str">
            <v>ISI CUTTER 9 MM KENKO A-100 (KECIL)</v>
          </cell>
          <cell r="J4228"/>
          <cell r="K4228">
            <v>10089360</v>
          </cell>
        </row>
        <row r="4229">
          <cell r="D4229"/>
          <cell r="E4229"/>
          <cell r="J4229"/>
          <cell r="K4229">
            <v>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10089360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999846.48648648639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10089360</v>
          </cell>
        </row>
        <row r="4253">
          <cell r="D4253"/>
          <cell r="E4253"/>
          <cell r="J4253"/>
          <cell r="K4253"/>
        </row>
        <row r="4254">
          <cell r="D4254"/>
          <cell r="J4254" t="str">
            <v>NOVI / CONDRO</v>
          </cell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23030038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45015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 t="str">
            <v>KO 1376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3</v>
          </cell>
          <cell r="E4266" t="str">
            <v>ISI CUTTER 9 MM KENKO A-100 (KECIL)</v>
          </cell>
          <cell r="J4266">
            <v>0</v>
          </cell>
          <cell r="K4266">
            <v>10089360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10089360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999846.48648648639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10089360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 t="str">
            <v>NOVI / CONDRO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23030038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45015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 t="str">
            <v>KO 1376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3</v>
          </cell>
          <cell r="E4304" t="str">
            <v>ISI CUTTER 9 MM KENKO A-100 (KECIL)</v>
          </cell>
          <cell r="J4304">
            <v>0</v>
          </cell>
          <cell r="K4304">
            <v>10089360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10089360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999846.48648648639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10089360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 t="str">
            <v>NOVI / CONDRO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23030039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>
            <v>45015</v>
          </cell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 t="str">
            <v>KO 1250</v>
          </cell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 t="str">
            <v/>
          </cell>
          <cell r="E4342" t="str">
            <v>STAMP PLATE DATER KENKO S-68 (Cap Lunas)</v>
          </cell>
          <cell r="J4342"/>
          <cell r="K4342">
            <v>519912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519912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51522.810810810806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519912</v>
          </cell>
        </row>
        <row r="4367">
          <cell r="D4367"/>
          <cell r="E4367"/>
          <cell r="J4367"/>
          <cell r="K4367"/>
        </row>
        <row r="4368">
          <cell r="D4368"/>
          <cell r="J4368" t="str">
            <v>NOVI / CONDRO</v>
          </cell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23030039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45015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 t="str">
            <v>KO 1250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 t="str">
            <v/>
          </cell>
          <cell r="E4380" t="str">
            <v>STAMP PLATE DATER KENKO S-68 (Cap Lunas)</v>
          </cell>
          <cell r="J4380">
            <v>0</v>
          </cell>
          <cell r="K4380">
            <v>519912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519912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51522.810810810806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519912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 t="str">
            <v>NOVI / CONDRO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23030039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45015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 t="str">
            <v>KO 1250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 t="str">
            <v/>
          </cell>
          <cell r="E4418" t="str">
            <v>STAMP PLATE DATER KENKO S-68 (Cap Lunas)</v>
          </cell>
          <cell r="J4418">
            <v>0</v>
          </cell>
          <cell r="K4418">
            <v>519912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519912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51522.810810810806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519912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 t="str">
            <v>NOVI / CONDRO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23030040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>
            <v>45016</v>
          </cell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 t="str">
            <v>G 2916</v>
          </cell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>
            <v>1</v>
          </cell>
          <cell r="E4456" t="str">
            <v>CALCULATOR JOYKO CC-15A</v>
          </cell>
          <cell r="J4456">
            <v>0.05</v>
          </cell>
          <cell r="K4456">
            <v>4688250</v>
          </cell>
        </row>
        <row r="4457">
          <cell r="D4457">
            <v>1</v>
          </cell>
          <cell r="E4457" t="str">
            <v>CALCULATOR JOYKO CC-8CO WARNA</v>
          </cell>
          <cell r="J4457">
            <v>0.05</v>
          </cell>
          <cell r="K4457">
            <v>4588500</v>
          </cell>
        </row>
        <row r="4458">
          <cell r="D4458">
            <v>1</v>
          </cell>
          <cell r="E4458" t="str">
            <v>CALCULATOR JOYKO CC-47CO WARNA</v>
          </cell>
          <cell r="J4458">
            <v>0.05</v>
          </cell>
          <cell r="K4458">
            <v>3241875</v>
          </cell>
        </row>
        <row r="4459">
          <cell r="D4459">
            <v>2</v>
          </cell>
          <cell r="E4459" t="str">
            <v>CALCULATOR JOYKO DTC-1313CH</v>
          </cell>
          <cell r="J4459">
            <v>0.05</v>
          </cell>
          <cell r="K4459">
            <v>7980000</v>
          </cell>
        </row>
        <row r="4460">
          <cell r="D4460"/>
          <cell r="E4460"/>
          <cell r="J4460"/>
          <cell r="K4460">
            <v>0</v>
          </cell>
        </row>
        <row r="4461">
          <cell r="D4461"/>
          <cell r="E4461"/>
          <cell r="J4461"/>
          <cell r="K4461">
            <v>0</v>
          </cell>
        </row>
        <row r="4462">
          <cell r="D4462"/>
          <cell r="E4462"/>
          <cell r="J4462"/>
          <cell r="K4462">
            <v>0</v>
          </cell>
        </row>
        <row r="4463">
          <cell r="D4463"/>
          <cell r="E4463"/>
          <cell r="J4463"/>
          <cell r="K4463">
            <v>0</v>
          </cell>
        </row>
        <row r="4464">
          <cell r="D4464"/>
          <cell r="E4464"/>
          <cell r="J4464"/>
          <cell r="K4464">
            <v>0</v>
          </cell>
        </row>
        <row r="4465">
          <cell r="D4465"/>
          <cell r="E4465"/>
          <cell r="J4465"/>
          <cell r="K4465">
            <v>0</v>
          </cell>
        </row>
        <row r="4466">
          <cell r="D4466"/>
          <cell r="E4466"/>
          <cell r="J4466"/>
          <cell r="K4466">
            <v>0</v>
          </cell>
        </row>
        <row r="4467">
          <cell r="D4467"/>
          <cell r="E4467"/>
          <cell r="J4467"/>
          <cell r="K4467">
            <v>0</v>
          </cell>
        </row>
        <row r="4468">
          <cell r="D4468"/>
          <cell r="E4468"/>
          <cell r="J4468"/>
          <cell r="K4468">
            <v>0</v>
          </cell>
        </row>
        <row r="4469">
          <cell r="D4469"/>
          <cell r="E4469"/>
          <cell r="J4469"/>
          <cell r="K4469">
            <v>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20498625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2031395.2702702701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20498625</v>
          </cell>
        </row>
        <row r="4481">
          <cell r="D4481"/>
          <cell r="E4481"/>
          <cell r="J4481"/>
          <cell r="K4481"/>
        </row>
        <row r="4482">
          <cell r="D4482"/>
          <cell r="J4482" t="str">
            <v>NOVI / CONDRO</v>
          </cell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23030040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45016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 t="str">
            <v>G 2916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>
            <v>1</v>
          </cell>
          <cell r="E4494" t="str">
            <v>CALCULATOR JOYKO CC-15A</v>
          </cell>
          <cell r="J4494">
            <v>0.05</v>
          </cell>
          <cell r="K4494">
            <v>4688250</v>
          </cell>
        </row>
        <row r="4495">
          <cell r="D4495">
            <v>1</v>
          </cell>
          <cell r="E4495" t="str">
            <v>CALCULATOR JOYKO CC-8CO WARNA</v>
          </cell>
          <cell r="J4495">
            <v>0.05</v>
          </cell>
          <cell r="K4495">
            <v>4588500</v>
          </cell>
        </row>
        <row r="4496">
          <cell r="D4496">
            <v>1</v>
          </cell>
          <cell r="E4496" t="str">
            <v>CALCULATOR JOYKO CC-47CO WARNA</v>
          </cell>
          <cell r="J4496">
            <v>0.05</v>
          </cell>
          <cell r="K4496">
            <v>3241875</v>
          </cell>
        </row>
        <row r="4497">
          <cell r="D4497">
            <v>2</v>
          </cell>
          <cell r="E4497" t="str">
            <v>CALCULATOR JOYKO DTC-1313CH</v>
          </cell>
          <cell r="J4497">
            <v>0.05</v>
          </cell>
          <cell r="K4497">
            <v>7980000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20498625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2031395.2702702701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20498625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 t="str">
            <v>NOVI / CONDRO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23030040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45016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 t="str">
            <v>G 2916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>
            <v>1</v>
          </cell>
          <cell r="E4532" t="str">
            <v>CALCULATOR JOYKO CC-15A</v>
          </cell>
          <cell r="J4532">
            <v>0.05</v>
          </cell>
          <cell r="K4532">
            <v>4688250</v>
          </cell>
        </row>
        <row r="4533">
          <cell r="D4533">
            <v>1</v>
          </cell>
          <cell r="E4533" t="str">
            <v>CALCULATOR JOYKO CC-8CO WARNA</v>
          </cell>
          <cell r="J4533">
            <v>0.05</v>
          </cell>
          <cell r="K4533">
            <v>4588500</v>
          </cell>
        </row>
        <row r="4534">
          <cell r="D4534">
            <v>1</v>
          </cell>
          <cell r="E4534" t="str">
            <v>CALCULATOR JOYKO CC-47CO WARNA</v>
          </cell>
          <cell r="J4534">
            <v>0.05</v>
          </cell>
          <cell r="K4534">
            <v>3241875</v>
          </cell>
        </row>
        <row r="4535">
          <cell r="D4535">
            <v>2</v>
          </cell>
          <cell r="E4535" t="str">
            <v>CALCULATOR JOYKO DTC-1313CH</v>
          </cell>
          <cell r="J4535">
            <v>0.05</v>
          </cell>
          <cell r="K4535">
            <v>7980000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20498625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2031395.2702702701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20498625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 t="str">
            <v>NOVI / CONDRO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23030041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>
            <v>45016</v>
          </cell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 t="str">
            <v>KO 2917</v>
          </cell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>
            <v>1</v>
          </cell>
          <cell r="E4570" t="str">
            <v>BINDER CLIP KENKO NO. 155</v>
          </cell>
          <cell r="J4570"/>
          <cell r="K4570">
            <v>1186800</v>
          </cell>
        </row>
        <row r="4571">
          <cell r="D4571"/>
          <cell r="E4571"/>
          <cell r="J4571"/>
          <cell r="K4571">
            <v>0</v>
          </cell>
        </row>
        <row r="4572">
          <cell r="D4572"/>
          <cell r="E4572"/>
          <cell r="J4572"/>
          <cell r="K4572">
            <v>0</v>
          </cell>
        </row>
        <row r="4573">
          <cell r="D4573"/>
          <cell r="E4573"/>
          <cell r="J4573"/>
          <cell r="K4573">
            <v>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1186800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117610.8108108108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1186800</v>
          </cell>
        </row>
        <row r="4595">
          <cell r="D4595"/>
          <cell r="E4595"/>
          <cell r="J4595"/>
          <cell r="K4595"/>
        </row>
        <row r="4596">
          <cell r="D4596"/>
          <cell r="J4596" t="str">
            <v>NOVI / CONDRO</v>
          </cell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23030041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45016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 t="str">
            <v>KO 2917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1</v>
          </cell>
          <cell r="E4608" t="str">
            <v>BINDER CLIP KENKO NO. 155</v>
          </cell>
          <cell r="J4608">
            <v>0</v>
          </cell>
          <cell r="K4608">
            <v>1186800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1186800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117610.8108108108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1186800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 t="str">
            <v>NOVI / CONDRO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23030041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45016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 t="str">
            <v>KO 2917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1</v>
          </cell>
          <cell r="E4646" t="str">
            <v>BINDER CLIP KENKO NO. 155</v>
          </cell>
          <cell r="J4646">
            <v>0</v>
          </cell>
          <cell r="K4646">
            <v>1186800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1186800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117610.8108108108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1186800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 t="str">
            <v>NOVI / CONDRO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23030042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>
            <v>45016</v>
          </cell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 t="str">
            <v>KO 1380</v>
          </cell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>
            <v>1</v>
          </cell>
          <cell r="E4684" t="str">
            <v>GEL PEN KENKO K-1 HITAM</v>
          </cell>
          <cell r="J4684"/>
          <cell r="K4684">
            <v>4932576</v>
          </cell>
        </row>
        <row r="4685">
          <cell r="D4685">
            <v>1</v>
          </cell>
          <cell r="E4685" t="str">
            <v>BENSIA SF-9939 A ISI 32 PC (LOVE DADU)</v>
          </cell>
          <cell r="J4685"/>
          <cell r="K4685">
            <v>2419200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7351776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728554.37837837834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7351776</v>
          </cell>
        </row>
        <row r="4709">
          <cell r="D4709"/>
          <cell r="E4709"/>
          <cell r="J4709"/>
          <cell r="K4709"/>
        </row>
        <row r="4710">
          <cell r="D4710"/>
          <cell r="J4710" t="str">
            <v>NOVI / CONDRO</v>
          </cell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23030042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45016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 t="str">
            <v>KO 1380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1</v>
          </cell>
          <cell r="E4722" t="str">
            <v>GEL PEN KENKO K-1 HITAM</v>
          </cell>
          <cell r="J4722">
            <v>0</v>
          </cell>
          <cell r="K4722">
            <v>4932576</v>
          </cell>
        </row>
        <row r="4723">
          <cell r="D4723">
            <v>1</v>
          </cell>
          <cell r="E4723" t="str">
            <v>BENSIA SF-9939 A ISI 32 PC (LOVE DADU)</v>
          </cell>
          <cell r="J4723">
            <v>0</v>
          </cell>
          <cell r="K4723">
            <v>2419200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7351776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728554.37837837834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7351776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 t="str">
            <v>NOVI / CONDRO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23030042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45016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 t="str">
            <v>KO 1380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1</v>
          </cell>
          <cell r="E4760" t="str">
            <v>GEL PEN KENKO K-1 HITAM</v>
          </cell>
          <cell r="J4760">
            <v>0</v>
          </cell>
          <cell r="K4760">
            <v>4932576</v>
          </cell>
        </row>
        <row r="4761">
          <cell r="D4761">
            <v>1</v>
          </cell>
          <cell r="E4761" t="str">
            <v>BENSIA SF-9939 A ISI 32 PC (LOVE DADU)</v>
          </cell>
          <cell r="J4761">
            <v>0</v>
          </cell>
          <cell r="K4761">
            <v>2419200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7351776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728554.37837837834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7351776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 t="str">
            <v>NOVI / CONDRO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23030043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>
            <v>45016</v>
          </cell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 t="str">
            <v>KO 1388</v>
          </cell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>
            <v>3</v>
          </cell>
          <cell r="E4798" t="str">
            <v>PUNCH KENKO NO. 85N</v>
          </cell>
          <cell r="J4798"/>
          <cell r="K4798">
            <v>2646900</v>
          </cell>
        </row>
        <row r="4799">
          <cell r="D4799">
            <v>1</v>
          </cell>
          <cell r="E4799" t="str">
            <v>CUTTER 18 MM KENKO L-500 (BESAR)</v>
          </cell>
          <cell r="J4799"/>
          <cell r="K4799">
            <v>2553480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5200380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515352.97297297296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5200380</v>
          </cell>
        </row>
        <row r="4823">
          <cell r="D4823"/>
          <cell r="E4823"/>
          <cell r="J4823"/>
          <cell r="K4823"/>
        </row>
        <row r="4824">
          <cell r="D4824"/>
          <cell r="J4824" t="str">
            <v>NOVI / CONDRO</v>
          </cell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23030043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45016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 t="str">
            <v>KO 1388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3</v>
          </cell>
          <cell r="E4836" t="str">
            <v>PUNCH KENKO NO. 85N</v>
          </cell>
          <cell r="J4836">
            <v>0</v>
          </cell>
          <cell r="K4836">
            <v>2646900</v>
          </cell>
        </row>
        <row r="4837">
          <cell r="D4837">
            <v>1</v>
          </cell>
          <cell r="E4837" t="str">
            <v>CUTTER 18 MM KENKO L-500 (BESAR)</v>
          </cell>
          <cell r="J4837">
            <v>0</v>
          </cell>
          <cell r="K4837">
            <v>2553480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5200380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515352.97297297296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5200380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 t="str">
            <v>NOVI / CONDRO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23030043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45016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 t="str">
            <v>KO 1388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3</v>
          </cell>
          <cell r="E4874" t="str">
            <v>PUNCH KENKO NO. 85N</v>
          </cell>
          <cell r="J4874">
            <v>0</v>
          </cell>
          <cell r="K4874">
            <v>2646900</v>
          </cell>
        </row>
        <row r="4875">
          <cell r="D4875">
            <v>1</v>
          </cell>
          <cell r="E4875" t="str">
            <v>CUTTER 18 MM KENKO L-500 (BESAR)</v>
          </cell>
          <cell r="J4875">
            <v>0</v>
          </cell>
          <cell r="K4875">
            <v>2553480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5200380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515352.97297297296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5200380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 t="str">
            <v>NOVI / CONDRO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23030044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>
            <v>45016</v>
          </cell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 t="str">
            <v>KO 1019</v>
          </cell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>
            <v>2</v>
          </cell>
          <cell r="E4912" t="str">
            <v>CORRECTION TAPE KENKO CT-919 (12M x 5MM)</v>
          </cell>
          <cell r="J4912"/>
          <cell r="K4912">
            <v>3515400</v>
          </cell>
        </row>
        <row r="4913">
          <cell r="D4913">
            <v>1</v>
          </cell>
          <cell r="E4913" t="str">
            <v>JANGKA (MATH SET) JOYKO MS-75</v>
          </cell>
          <cell r="J4913"/>
          <cell r="K4913">
            <v>1902600</v>
          </cell>
        </row>
        <row r="4914">
          <cell r="D4914">
            <v>1</v>
          </cell>
          <cell r="E4914" t="str">
            <v>JANGKA (MATH SET) JOYKO MS-25</v>
          </cell>
          <cell r="J4914"/>
          <cell r="K4914">
            <v>1877400</v>
          </cell>
        </row>
        <row r="4915">
          <cell r="D4915">
            <v>1</v>
          </cell>
          <cell r="E4915" t="str">
            <v>JANGKA (MATH SET) JOYKO MS-55</v>
          </cell>
          <cell r="J4915"/>
          <cell r="K4915">
            <v>1877400</v>
          </cell>
        </row>
        <row r="4916">
          <cell r="D4916"/>
          <cell r="E4916"/>
          <cell r="J4916"/>
          <cell r="K4916">
            <v>0</v>
          </cell>
        </row>
        <row r="4917">
          <cell r="D4917"/>
          <cell r="E4917"/>
          <cell r="J4917"/>
          <cell r="K4917">
            <v>0</v>
          </cell>
        </row>
        <row r="4918">
          <cell r="D4918"/>
          <cell r="E4918"/>
          <cell r="J4918"/>
          <cell r="K4918">
            <v>0</v>
          </cell>
        </row>
        <row r="4919">
          <cell r="D4919"/>
          <cell r="E4919"/>
          <cell r="J4919"/>
          <cell r="K4919">
            <v>0</v>
          </cell>
        </row>
        <row r="4920">
          <cell r="D4920"/>
          <cell r="E4920"/>
          <cell r="J4920"/>
          <cell r="K4920">
            <v>0</v>
          </cell>
        </row>
        <row r="4921">
          <cell r="D4921"/>
          <cell r="E4921"/>
          <cell r="J4921"/>
          <cell r="K4921">
            <v>0</v>
          </cell>
        </row>
        <row r="4922">
          <cell r="D4922"/>
          <cell r="E4922"/>
          <cell r="J4922"/>
          <cell r="K4922">
            <v>0</v>
          </cell>
        </row>
        <row r="4923">
          <cell r="D4923"/>
          <cell r="E4923"/>
          <cell r="J4923"/>
          <cell r="K4923">
            <v>0</v>
          </cell>
        </row>
        <row r="4924">
          <cell r="D4924"/>
          <cell r="E4924"/>
          <cell r="J4924"/>
          <cell r="K4924">
            <v>0</v>
          </cell>
        </row>
        <row r="4925">
          <cell r="D4925"/>
          <cell r="E4925"/>
          <cell r="J4925"/>
          <cell r="K4925">
            <v>0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9172800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909016.21621621621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9172800</v>
          </cell>
        </row>
        <row r="4937">
          <cell r="D4937"/>
          <cell r="E4937"/>
          <cell r="J4937"/>
          <cell r="K4937"/>
        </row>
        <row r="4938">
          <cell r="D4938"/>
          <cell r="J4938" t="str">
            <v>NOVI / CONDRO</v>
          </cell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23030044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45016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 t="str">
            <v>KO 1019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2</v>
          </cell>
          <cell r="E4950" t="str">
            <v>CORRECTION TAPE KENKO CT-919 (12M x 5MM)</v>
          </cell>
          <cell r="J4950">
            <v>0</v>
          </cell>
          <cell r="K4950">
            <v>3515400</v>
          </cell>
        </row>
        <row r="4951">
          <cell r="D4951">
            <v>1</v>
          </cell>
          <cell r="E4951" t="str">
            <v>JANGKA (MATH SET) JOYKO MS-75</v>
          </cell>
          <cell r="J4951">
            <v>0</v>
          </cell>
          <cell r="K4951">
            <v>1902600</v>
          </cell>
        </row>
        <row r="4952">
          <cell r="D4952">
            <v>1</v>
          </cell>
          <cell r="E4952" t="str">
            <v>JANGKA (MATH SET) JOYKO MS-25</v>
          </cell>
          <cell r="J4952">
            <v>0</v>
          </cell>
          <cell r="K4952">
            <v>1877400</v>
          </cell>
        </row>
        <row r="4953">
          <cell r="D4953">
            <v>1</v>
          </cell>
          <cell r="E4953" t="str">
            <v>JANGKA (MATH SET) JOYKO MS-55</v>
          </cell>
          <cell r="J4953">
            <v>0</v>
          </cell>
          <cell r="K4953">
            <v>1877400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9172800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909016.21621621621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9172800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 t="str">
            <v>NOVI / CONDRO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23030044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45016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 t="str">
            <v>KO 1019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2</v>
          </cell>
          <cell r="E4988" t="str">
            <v>CORRECTION TAPE KENKO CT-919 (12M x 5MM)</v>
          </cell>
          <cell r="J4988">
            <v>0</v>
          </cell>
          <cell r="K4988">
            <v>3515400</v>
          </cell>
        </row>
        <row r="4989">
          <cell r="D4989">
            <v>1</v>
          </cell>
          <cell r="E4989" t="str">
            <v>JANGKA (MATH SET) JOYKO MS-75</v>
          </cell>
          <cell r="J4989">
            <v>0</v>
          </cell>
          <cell r="K4989">
            <v>1902600</v>
          </cell>
        </row>
        <row r="4990">
          <cell r="D4990">
            <v>1</v>
          </cell>
          <cell r="E4990" t="str">
            <v>JANGKA (MATH SET) JOYKO MS-25</v>
          </cell>
          <cell r="J4990">
            <v>0</v>
          </cell>
          <cell r="K4990">
            <v>1877400</v>
          </cell>
        </row>
        <row r="4991">
          <cell r="D4991">
            <v>1</v>
          </cell>
          <cell r="E4991" t="str">
            <v>JANGKA (MATH SET) JOYKO MS-55</v>
          </cell>
          <cell r="J4991">
            <v>0</v>
          </cell>
          <cell r="K4991">
            <v>1877400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9172800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909016.21621621621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9172800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 t="str">
            <v>NOVI / CONDRO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23030045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/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/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/>
          <cell r="E5026"/>
          <cell r="J5026"/>
          <cell r="K5026">
            <v>0</v>
          </cell>
        </row>
        <row r="5027">
          <cell r="D5027"/>
          <cell r="E5027"/>
          <cell r="J5027"/>
          <cell r="K5027">
            <v>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0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0</v>
          </cell>
        </row>
        <row r="5051">
          <cell r="D5051"/>
          <cell r="E5051"/>
          <cell r="J5051"/>
          <cell r="K5051"/>
        </row>
        <row r="5052">
          <cell r="D5052"/>
          <cell r="J5052"/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23030045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0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>
            <v>0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0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>
            <v>0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23030045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0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>
            <v>0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0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>
            <v>0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  <row r="5131">
          <cell r="D5131"/>
          <cell r="J5131"/>
        </row>
        <row r="5132">
          <cell r="D5132" t="str">
            <v>AM</v>
          </cell>
          <cell r="E5132">
            <v>23030046</v>
          </cell>
          <cell r="J5132"/>
          <cell r="K5132"/>
        </row>
        <row r="5133">
          <cell r="D5133"/>
          <cell r="E5133"/>
          <cell r="J5133"/>
          <cell r="K5133"/>
        </row>
        <row r="5134">
          <cell r="D5134"/>
          <cell r="E5134"/>
          <cell r="J5134"/>
          <cell r="K5134"/>
        </row>
        <row r="5135">
          <cell r="D5135"/>
          <cell r="E5135"/>
          <cell r="J5135"/>
          <cell r="K5135"/>
        </row>
        <row r="5136">
          <cell r="D5136"/>
          <cell r="E5136"/>
          <cell r="J5136"/>
          <cell r="K5136"/>
        </row>
        <row r="5137">
          <cell r="D5137"/>
          <cell r="J5137"/>
          <cell r="K5137"/>
        </row>
        <row r="5138">
          <cell r="D5138" t="str">
            <v>C</v>
          </cell>
          <cell r="E5138"/>
          <cell r="J5138" t="str">
            <v>Disc 2</v>
          </cell>
          <cell r="K5138" t="str">
            <v>Amount</v>
          </cell>
        </row>
        <row r="5139">
          <cell r="D5139"/>
          <cell r="E5139"/>
          <cell r="J5139"/>
          <cell r="K5139"/>
        </row>
        <row r="5140">
          <cell r="D5140"/>
          <cell r="E5140"/>
          <cell r="J5140"/>
          <cell r="K5140">
            <v>0</v>
          </cell>
        </row>
        <row r="5141">
          <cell r="D5141"/>
          <cell r="E5141"/>
          <cell r="J5141"/>
          <cell r="K5141">
            <v>0</v>
          </cell>
        </row>
        <row r="5142">
          <cell r="D5142"/>
          <cell r="E5142"/>
          <cell r="J5142"/>
          <cell r="K5142">
            <v>0</v>
          </cell>
        </row>
        <row r="5143">
          <cell r="D5143"/>
          <cell r="E5143"/>
          <cell r="J5143"/>
          <cell r="K5143">
            <v>0</v>
          </cell>
        </row>
        <row r="5144">
          <cell r="D5144"/>
          <cell r="E5144"/>
          <cell r="J5144"/>
          <cell r="K5144">
            <v>0</v>
          </cell>
        </row>
        <row r="5145">
          <cell r="D5145"/>
          <cell r="E5145"/>
          <cell r="J5145"/>
          <cell r="K5145">
            <v>0</v>
          </cell>
        </row>
        <row r="5146">
          <cell r="D5146"/>
          <cell r="E5146"/>
          <cell r="J5146"/>
          <cell r="K5146">
            <v>0</v>
          </cell>
        </row>
        <row r="5147">
          <cell r="D5147"/>
          <cell r="E5147"/>
          <cell r="J5147"/>
          <cell r="K5147">
            <v>0</v>
          </cell>
        </row>
        <row r="5148">
          <cell r="D5148"/>
          <cell r="E5148"/>
          <cell r="J5148"/>
          <cell r="K5148">
            <v>0</v>
          </cell>
        </row>
        <row r="5149">
          <cell r="D5149"/>
          <cell r="E5149"/>
          <cell r="J5149"/>
          <cell r="K5149">
            <v>0</v>
          </cell>
        </row>
        <row r="5150">
          <cell r="D5150"/>
          <cell r="E5150"/>
          <cell r="J5150"/>
          <cell r="K5150">
            <v>0</v>
          </cell>
        </row>
        <row r="5151">
          <cell r="D5151"/>
          <cell r="E5151"/>
          <cell r="J5151"/>
          <cell r="K5151">
            <v>0</v>
          </cell>
        </row>
        <row r="5152">
          <cell r="D5152"/>
          <cell r="E5152"/>
          <cell r="J5152"/>
          <cell r="K5152">
            <v>0</v>
          </cell>
        </row>
        <row r="5153">
          <cell r="D5153"/>
          <cell r="E5153"/>
          <cell r="J5153"/>
          <cell r="K5153">
            <v>0</v>
          </cell>
        </row>
        <row r="5154">
          <cell r="D5154"/>
          <cell r="E5154"/>
          <cell r="J5154"/>
          <cell r="K5154">
            <v>0</v>
          </cell>
        </row>
        <row r="5155">
          <cell r="D5155"/>
          <cell r="E5155"/>
          <cell r="J5155"/>
          <cell r="K5155">
            <v>0</v>
          </cell>
        </row>
        <row r="5156">
          <cell r="D5156"/>
          <cell r="E5156"/>
          <cell r="J5156"/>
          <cell r="K5156"/>
        </row>
        <row r="5157">
          <cell r="D5157"/>
          <cell r="E5157"/>
          <cell r="J5157"/>
          <cell r="K5157"/>
        </row>
        <row r="5158">
          <cell r="D5158"/>
          <cell r="J5158">
            <v>0</v>
          </cell>
          <cell r="K5158"/>
        </row>
        <row r="5159">
          <cell r="D5159"/>
          <cell r="J5159"/>
          <cell r="K5159"/>
        </row>
        <row r="5160">
          <cell r="D5160"/>
          <cell r="J5160"/>
          <cell r="K5160">
            <v>0</v>
          </cell>
        </row>
        <row r="5161">
          <cell r="D5161"/>
          <cell r="J5161"/>
          <cell r="K5161"/>
        </row>
        <row r="5162">
          <cell r="D5162"/>
          <cell r="E5162" t="str">
            <v>Hormat Kami,</v>
          </cell>
          <cell r="J5162">
            <v>0</v>
          </cell>
          <cell r="K5162"/>
        </row>
        <row r="5163">
          <cell r="D5163"/>
          <cell r="J5163"/>
          <cell r="K5163"/>
        </row>
        <row r="5164">
          <cell r="D5164"/>
          <cell r="E5164"/>
          <cell r="J5164"/>
          <cell r="K5164">
            <v>0</v>
          </cell>
        </row>
        <row r="5165">
          <cell r="D5165"/>
          <cell r="E5165"/>
          <cell r="J5165"/>
          <cell r="K5165"/>
        </row>
        <row r="5166">
          <cell r="D5166"/>
          <cell r="J5166"/>
          <cell r="K5166"/>
        </row>
        <row r="5167">
          <cell r="D5167"/>
          <cell r="J5167"/>
          <cell r="K5167"/>
        </row>
        <row r="5168">
          <cell r="D5168"/>
          <cell r="J5168"/>
          <cell r="K5168"/>
        </row>
        <row r="5169">
          <cell r="D5169"/>
          <cell r="E5169"/>
          <cell r="J5169"/>
          <cell r="K5169"/>
        </row>
        <row r="5170">
          <cell r="D5170" t="str">
            <v>AM</v>
          </cell>
          <cell r="E5170">
            <v>23030046</v>
          </cell>
          <cell r="J5170"/>
          <cell r="K5170"/>
        </row>
        <row r="5171">
          <cell r="D5171"/>
          <cell r="E5171"/>
          <cell r="J5171"/>
          <cell r="K5171"/>
        </row>
        <row r="5172">
          <cell r="D5172">
            <v>0</v>
          </cell>
          <cell r="E5172"/>
          <cell r="J5172"/>
          <cell r="K5172"/>
        </row>
        <row r="5173">
          <cell r="D5173"/>
          <cell r="E5173"/>
          <cell r="J5173"/>
          <cell r="K5173"/>
        </row>
        <row r="5174">
          <cell r="D5174">
            <v>0</v>
          </cell>
          <cell r="E5174"/>
          <cell r="J5174"/>
          <cell r="K5174"/>
        </row>
        <row r="5175">
          <cell r="D5175"/>
          <cell r="E5175"/>
          <cell r="J5175"/>
          <cell r="K5175"/>
        </row>
        <row r="5176">
          <cell r="D5176" t="str">
            <v>C</v>
          </cell>
          <cell r="E5176"/>
          <cell r="J5176" t="str">
            <v>Disc 2</v>
          </cell>
          <cell r="K5176" t="str">
            <v>Amount</v>
          </cell>
        </row>
        <row r="5177">
          <cell r="D5177"/>
          <cell r="E5177"/>
          <cell r="J5177"/>
          <cell r="K5177"/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4">
          <cell r="D5194"/>
          <cell r="E5194"/>
          <cell r="J5194"/>
          <cell r="K5194"/>
        </row>
        <row r="5195">
          <cell r="D5195"/>
          <cell r="E5195"/>
          <cell r="J5195"/>
          <cell r="K5195"/>
        </row>
        <row r="5196">
          <cell r="D5196"/>
          <cell r="E5196"/>
          <cell r="J5196">
            <v>0</v>
          </cell>
          <cell r="K5196"/>
        </row>
        <row r="5197">
          <cell r="D5197"/>
          <cell r="E5197"/>
          <cell r="J5197"/>
          <cell r="K5197"/>
        </row>
        <row r="5198">
          <cell r="D5198"/>
          <cell r="E5198"/>
          <cell r="J5198">
            <v>0</v>
          </cell>
          <cell r="K5198">
            <v>0</v>
          </cell>
        </row>
        <row r="5199">
          <cell r="D5199"/>
          <cell r="E5199"/>
          <cell r="J5199"/>
          <cell r="K5199"/>
        </row>
        <row r="5200">
          <cell r="D5200"/>
          <cell r="E5200" t="str">
            <v>Hormat Kami,</v>
          </cell>
          <cell r="J5200">
            <v>0</v>
          </cell>
          <cell r="K5200"/>
        </row>
        <row r="5201">
          <cell r="D5201"/>
          <cell r="E5201"/>
          <cell r="J5201"/>
          <cell r="K5201"/>
        </row>
        <row r="5202">
          <cell r="D5202"/>
          <cell r="E5202"/>
          <cell r="J5202"/>
          <cell r="K5202">
            <v>0</v>
          </cell>
        </row>
        <row r="5203">
          <cell r="D5203"/>
          <cell r="E5203"/>
          <cell r="J5203"/>
          <cell r="K5203"/>
        </row>
        <row r="5204">
          <cell r="D5204"/>
          <cell r="E5204"/>
          <cell r="J5204">
            <v>0</v>
          </cell>
          <cell r="K5204"/>
        </row>
        <row r="5205">
          <cell r="D5205"/>
          <cell r="E5205"/>
          <cell r="J5205">
            <v>0</v>
          </cell>
          <cell r="K5205"/>
        </row>
        <row r="5206">
          <cell r="D5206"/>
          <cell r="E5206"/>
          <cell r="J5206"/>
          <cell r="K5206"/>
        </row>
        <row r="5207">
          <cell r="D5207"/>
          <cell r="E5207"/>
          <cell r="J5207"/>
          <cell r="K5207"/>
        </row>
        <row r="5208">
          <cell r="D5208" t="str">
            <v>AM</v>
          </cell>
          <cell r="E5208">
            <v>23030046</v>
          </cell>
          <cell r="J5208"/>
          <cell r="K5208"/>
        </row>
        <row r="5209">
          <cell r="D5209"/>
          <cell r="E5209"/>
          <cell r="J5209"/>
          <cell r="K5209"/>
        </row>
        <row r="5210">
          <cell r="D5210">
            <v>0</v>
          </cell>
          <cell r="E5210"/>
          <cell r="J5210"/>
          <cell r="K5210"/>
        </row>
        <row r="5211">
          <cell r="D5211"/>
          <cell r="E5211"/>
          <cell r="J5211"/>
          <cell r="K5211"/>
        </row>
        <row r="5212">
          <cell r="D5212">
            <v>0</v>
          </cell>
          <cell r="E5212"/>
          <cell r="J5212"/>
          <cell r="K5212"/>
        </row>
        <row r="5213">
          <cell r="D5213"/>
          <cell r="E5213"/>
          <cell r="J5213"/>
          <cell r="K5213"/>
        </row>
        <row r="5214">
          <cell r="D5214" t="str">
            <v>C</v>
          </cell>
          <cell r="E5214"/>
          <cell r="J5214" t="str">
            <v>Disc 2</v>
          </cell>
          <cell r="K5214" t="str">
            <v>Amount</v>
          </cell>
        </row>
        <row r="5215">
          <cell r="D5215"/>
          <cell r="E5215"/>
          <cell r="J5215"/>
          <cell r="K5215"/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2">
          <cell r="D5232"/>
          <cell r="E5232"/>
          <cell r="J5232"/>
          <cell r="K5232"/>
        </row>
        <row r="5233">
          <cell r="D5233"/>
          <cell r="E5233"/>
          <cell r="J5233"/>
          <cell r="K5233"/>
        </row>
        <row r="5234">
          <cell r="D5234"/>
          <cell r="E5234"/>
          <cell r="J5234">
            <v>0</v>
          </cell>
          <cell r="K5234"/>
        </row>
        <row r="5235">
          <cell r="D5235"/>
          <cell r="E5235"/>
          <cell r="J5235"/>
          <cell r="K5235"/>
        </row>
        <row r="5236">
          <cell r="D5236"/>
          <cell r="E5236"/>
          <cell r="J5236">
            <v>0</v>
          </cell>
          <cell r="K5236">
            <v>0</v>
          </cell>
        </row>
        <row r="5237">
          <cell r="D5237"/>
          <cell r="E5237"/>
          <cell r="J5237"/>
          <cell r="K5237"/>
        </row>
        <row r="5238">
          <cell r="D5238"/>
          <cell r="E5238" t="str">
            <v>Hormat Kami,</v>
          </cell>
          <cell r="J5238">
            <v>0</v>
          </cell>
          <cell r="K5238"/>
        </row>
        <row r="5239">
          <cell r="D5239"/>
          <cell r="E5239"/>
          <cell r="J5239"/>
          <cell r="K5239"/>
        </row>
        <row r="5240">
          <cell r="D5240"/>
          <cell r="E5240"/>
          <cell r="J5240"/>
          <cell r="K5240">
            <v>0</v>
          </cell>
        </row>
        <row r="5241">
          <cell r="D5241"/>
          <cell r="E5241"/>
          <cell r="J5241"/>
          <cell r="K5241"/>
        </row>
        <row r="5242">
          <cell r="D5242"/>
          <cell r="E5242"/>
          <cell r="J5242">
            <v>0</v>
          </cell>
          <cell r="K5242"/>
        </row>
        <row r="5243">
          <cell r="D5243"/>
          <cell r="E5243"/>
          <cell r="J5243">
            <v>0</v>
          </cell>
          <cell r="K5243"/>
        </row>
        <row r="5244">
          <cell r="D5244"/>
          <cell r="E5244"/>
          <cell r="J5244"/>
          <cell r="K5244"/>
        </row>
        <row r="5245">
          <cell r="D5245"/>
          <cell r="J5245"/>
        </row>
        <row r="5246">
          <cell r="D5246" t="str">
            <v>AM</v>
          </cell>
          <cell r="E5246">
            <v>23030047</v>
          </cell>
          <cell r="J5246"/>
          <cell r="K5246"/>
        </row>
        <row r="5247">
          <cell r="D5247"/>
          <cell r="E5247"/>
          <cell r="J5247"/>
          <cell r="K5247"/>
        </row>
        <row r="5248">
          <cell r="D5248"/>
          <cell r="E5248"/>
          <cell r="J5248"/>
          <cell r="K5248"/>
        </row>
        <row r="5249">
          <cell r="D5249"/>
          <cell r="E5249"/>
          <cell r="J5249"/>
          <cell r="K5249"/>
        </row>
        <row r="5250">
          <cell r="D5250"/>
          <cell r="E5250"/>
          <cell r="J5250"/>
          <cell r="K5250"/>
        </row>
        <row r="5251">
          <cell r="D5251"/>
          <cell r="J5251"/>
          <cell r="K5251"/>
        </row>
        <row r="5252">
          <cell r="D5252" t="str">
            <v>C</v>
          </cell>
          <cell r="E5252"/>
          <cell r="J5252" t="str">
            <v>Disc 2</v>
          </cell>
          <cell r="K5252" t="str">
            <v>Amount</v>
          </cell>
        </row>
        <row r="5253">
          <cell r="D5253"/>
          <cell r="E5253"/>
          <cell r="J5253"/>
          <cell r="K5253"/>
        </row>
        <row r="5254">
          <cell r="D5254"/>
          <cell r="E5254"/>
          <cell r="J5254"/>
          <cell r="K5254">
            <v>0</v>
          </cell>
        </row>
        <row r="5255">
          <cell r="D5255"/>
          <cell r="E5255"/>
          <cell r="J5255"/>
          <cell r="K5255">
            <v>0</v>
          </cell>
        </row>
        <row r="5256">
          <cell r="D5256"/>
          <cell r="E5256"/>
          <cell r="J5256"/>
          <cell r="K5256">
            <v>0</v>
          </cell>
        </row>
        <row r="5257">
          <cell r="D5257"/>
          <cell r="E5257"/>
          <cell r="J5257"/>
          <cell r="K5257">
            <v>0</v>
          </cell>
        </row>
        <row r="5258">
          <cell r="D5258"/>
          <cell r="E5258"/>
          <cell r="J5258"/>
          <cell r="K5258">
            <v>0</v>
          </cell>
        </row>
        <row r="5259">
          <cell r="D5259"/>
          <cell r="E5259"/>
          <cell r="J5259"/>
          <cell r="K5259">
            <v>0</v>
          </cell>
        </row>
        <row r="5260">
          <cell r="D5260"/>
          <cell r="E5260"/>
          <cell r="J5260"/>
          <cell r="K5260">
            <v>0</v>
          </cell>
        </row>
        <row r="5261">
          <cell r="D5261"/>
          <cell r="E5261"/>
          <cell r="J5261"/>
          <cell r="K5261">
            <v>0</v>
          </cell>
        </row>
        <row r="5262">
          <cell r="D5262"/>
          <cell r="E5262"/>
          <cell r="J5262"/>
          <cell r="K5262">
            <v>0</v>
          </cell>
        </row>
        <row r="5263">
          <cell r="D5263"/>
          <cell r="E5263"/>
          <cell r="J5263"/>
          <cell r="K5263">
            <v>0</v>
          </cell>
        </row>
        <row r="5264">
          <cell r="D5264"/>
          <cell r="E5264"/>
          <cell r="J5264"/>
          <cell r="K5264">
            <v>0</v>
          </cell>
        </row>
        <row r="5265">
          <cell r="D5265"/>
          <cell r="E5265"/>
          <cell r="J5265"/>
          <cell r="K5265">
            <v>0</v>
          </cell>
        </row>
        <row r="5266">
          <cell r="D5266"/>
          <cell r="E5266"/>
          <cell r="J5266"/>
          <cell r="K5266">
            <v>0</v>
          </cell>
        </row>
        <row r="5267">
          <cell r="D5267"/>
          <cell r="E5267"/>
          <cell r="J5267"/>
          <cell r="K5267">
            <v>0</v>
          </cell>
        </row>
        <row r="5268">
          <cell r="D5268"/>
          <cell r="E5268"/>
          <cell r="J5268"/>
          <cell r="K5268">
            <v>0</v>
          </cell>
        </row>
        <row r="5269">
          <cell r="D5269"/>
          <cell r="E5269"/>
          <cell r="J5269"/>
          <cell r="K5269">
            <v>0</v>
          </cell>
        </row>
        <row r="5270">
          <cell r="D5270"/>
          <cell r="E5270"/>
          <cell r="J5270"/>
          <cell r="K5270"/>
        </row>
        <row r="5271">
          <cell r="D5271"/>
          <cell r="E5271"/>
          <cell r="J5271"/>
          <cell r="K5271"/>
        </row>
        <row r="5272">
          <cell r="D5272"/>
          <cell r="J5272">
            <v>0</v>
          </cell>
          <cell r="K5272"/>
        </row>
        <row r="5273">
          <cell r="D5273"/>
          <cell r="J5273"/>
          <cell r="K5273"/>
        </row>
        <row r="5274">
          <cell r="D5274"/>
          <cell r="J5274"/>
          <cell r="K5274">
            <v>0</v>
          </cell>
        </row>
        <row r="5275">
          <cell r="D5275"/>
          <cell r="J5275"/>
          <cell r="K5275"/>
        </row>
        <row r="5276">
          <cell r="D5276"/>
          <cell r="E5276" t="str">
            <v>Hormat Kami,</v>
          </cell>
          <cell r="J5276">
            <v>0</v>
          </cell>
          <cell r="K5276"/>
        </row>
        <row r="5277">
          <cell r="D5277"/>
          <cell r="J5277"/>
          <cell r="K5277"/>
        </row>
        <row r="5278">
          <cell r="D5278"/>
          <cell r="E5278"/>
          <cell r="J5278"/>
          <cell r="K5278">
            <v>0</v>
          </cell>
        </row>
        <row r="5279">
          <cell r="D5279"/>
          <cell r="E5279"/>
          <cell r="J5279"/>
          <cell r="K5279"/>
        </row>
        <row r="5280">
          <cell r="D5280"/>
          <cell r="J5280"/>
          <cell r="K5280"/>
        </row>
        <row r="5281">
          <cell r="D5281"/>
          <cell r="J5281"/>
          <cell r="K5281"/>
        </row>
        <row r="5282">
          <cell r="D5282"/>
          <cell r="J5282"/>
          <cell r="K5282"/>
        </row>
        <row r="5283">
          <cell r="D5283"/>
          <cell r="E5283"/>
          <cell r="J5283"/>
          <cell r="K5283"/>
        </row>
        <row r="5284">
          <cell r="D5284" t="str">
            <v>AM</v>
          </cell>
          <cell r="E5284">
            <v>23030047</v>
          </cell>
          <cell r="J5284"/>
          <cell r="K5284"/>
        </row>
        <row r="5285">
          <cell r="D5285"/>
          <cell r="E5285"/>
          <cell r="J5285"/>
          <cell r="K5285"/>
        </row>
        <row r="5286">
          <cell r="D5286">
            <v>0</v>
          </cell>
          <cell r="E5286"/>
          <cell r="J5286"/>
          <cell r="K5286"/>
        </row>
        <row r="5287">
          <cell r="D5287"/>
          <cell r="E5287"/>
          <cell r="J5287"/>
          <cell r="K5287"/>
        </row>
        <row r="5288">
          <cell r="D5288">
            <v>0</v>
          </cell>
          <cell r="E5288"/>
          <cell r="J5288"/>
          <cell r="K5288"/>
        </row>
        <row r="5289">
          <cell r="D5289"/>
          <cell r="E5289"/>
          <cell r="J5289"/>
          <cell r="K5289"/>
        </row>
        <row r="5290">
          <cell r="D5290" t="str">
            <v>C</v>
          </cell>
          <cell r="E5290"/>
          <cell r="J5290" t="str">
            <v>Disc 2</v>
          </cell>
          <cell r="K5290" t="str">
            <v>Amount</v>
          </cell>
        </row>
        <row r="5291">
          <cell r="D5291"/>
          <cell r="E5291"/>
          <cell r="J5291"/>
          <cell r="K5291"/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08">
          <cell r="D5308"/>
          <cell r="E5308"/>
          <cell r="J5308"/>
          <cell r="K5308"/>
        </row>
        <row r="5309">
          <cell r="D5309"/>
          <cell r="E5309"/>
          <cell r="J5309"/>
          <cell r="K5309"/>
        </row>
        <row r="5310">
          <cell r="D5310"/>
          <cell r="E5310"/>
          <cell r="J5310">
            <v>0</v>
          </cell>
          <cell r="K5310"/>
        </row>
        <row r="5311">
          <cell r="D5311"/>
          <cell r="E5311"/>
          <cell r="J5311"/>
          <cell r="K5311"/>
        </row>
        <row r="5312">
          <cell r="D5312"/>
          <cell r="E5312"/>
          <cell r="J5312">
            <v>0</v>
          </cell>
          <cell r="K5312">
            <v>0</v>
          </cell>
        </row>
        <row r="5313">
          <cell r="D5313"/>
          <cell r="E5313"/>
          <cell r="J5313"/>
          <cell r="K5313"/>
        </row>
        <row r="5314">
          <cell r="D5314"/>
          <cell r="E5314" t="str">
            <v>Hormat Kami,</v>
          </cell>
          <cell r="J5314">
            <v>0</v>
          </cell>
          <cell r="K5314"/>
        </row>
        <row r="5315">
          <cell r="D5315"/>
          <cell r="E5315"/>
          <cell r="J5315"/>
          <cell r="K5315"/>
        </row>
        <row r="5316">
          <cell r="D5316"/>
          <cell r="E5316"/>
          <cell r="J5316"/>
          <cell r="K5316">
            <v>0</v>
          </cell>
        </row>
        <row r="5317">
          <cell r="D5317"/>
          <cell r="E5317"/>
          <cell r="J5317"/>
          <cell r="K5317"/>
        </row>
        <row r="5318">
          <cell r="D5318"/>
          <cell r="E5318"/>
          <cell r="J5318">
            <v>0</v>
          </cell>
          <cell r="K5318"/>
        </row>
        <row r="5319">
          <cell r="D5319"/>
          <cell r="E5319"/>
          <cell r="J5319">
            <v>0</v>
          </cell>
          <cell r="K5319"/>
        </row>
        <row r="5320">
          <cell r="D5320"/>
          <cell r="E5320"/>
          <cell r="J5320"/>
          <cell r="K5320"/>
        </row>
        <row r="5321">
          <cell r="D5321"/>
          <cell r="E5321"/>
          <cell r="J5321"/>
          <cell r="K5321"/>
        </row>
        <row r="5322">
          <cell r="D5322" t="str">
            <v>AM</v>
          </cell>
          <cell r="E5322">
            <v>23030047</v>
          </cell>
          <cell r="J5322"/>
          <cell r="K5322"/>
        </row>
        <row r="5323">
          <cell r="D5323"/>
          <cell r="E5323"/>
          <cell r="J5323"/>
          <cell r="K5323"/>
        </row>
        <row r="5324">
          <cell r="D5324">
            <v>0</v>
          </cell>
          <cell r="E5324"/>
          <cell r="J5324"/>
          <cell r="K5324"/>
        </row>
        <row r="5325">
          <cell r="D5325"/>
          <cell r="E5325"/>
          <cell r="J5325"/>
          <cell r="K5325"/>
        </row>
        <row r="5326">
          <cell r="D5326">
            <v>0</v>
          </cell>
          <cell r="E5326"/>
          <cell r="J5326"/>
          <cell r="K5326"/>
        </row>
        <row r="5327">
          <cell r="D5327"/>
          <cell r="E5327"/>
          <cell r="J5327"/>
          <cell r="K5327"/>
        </row>
        <row r="5328">
          <cell r="D5328" t="str">
            <v>C</v>
          </cell>
          <cell r="E5328"/>
          <cell r="J5328" t="str">
            <v>Disc 2</v>
          </cell>
          <cell r="K5328" t="str">
            <v>Amount</v>
          </cell>
        </row>
        <row r="5329">
          <cell r="D5329"/>
          <cell r="E5329"/>
          <cell r="J5329"/>
          <cell r="K5329"/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6">
          <cell r="D5346"/>
          <cell r="E5346"/>
          <cell r="J5346"/>
          <cell r="K5346"/>
        </row>
        <row r="5347">
          <cell r="D5347"/>
          <cell r="E5347"/>
          <cell r="J5347"/>
          <cell r="K5347"/>
        </row>
        <row r="5348">
          <cell r="D5348"/>
          <cell r="E5348"/>
          <cell r="J5348">
            <v>0</v>
          </cell>
          <cell r="K5348"/>
        </row>
        <row r="5349">
          <cell r="D5349"/>
          <cell r="E5349"/>
          <cell r="J5349"/>
          <cell r="K5349"/>
        </row>
        <row r="5350">
          <cell r="D5350"/>
          <cell r="E5350"/>
          <cell r="J5350">
            <v>0</v>
          </cell>
          <cell r="K5350">
            <v>0</v>
          </cell>
        </row>
        <row r="5351">
          <cell r="D5351"/>
          <cell r="E5351"/>
          <cell r="J5351"/>
          <cell r="K5351"/>
        </row>
        <row r="5352">
          <cell r="D5352"/>
          <cell r="E5352" t="str">
            <v>Hormat Kami,</v>
          </cell>
          <cell r="J5352">
            <v>0</v>
          </cell>
          <cell r="K5352"/>
        </row>
        <row r="5353">
          <cell r="D5353"/>
          <cell r="E5353"/>
          <cell r="J5353"/>
          <cell r="K5353"/>
        </row>
        <row r="5354">
          <cell r="D5354"/>
          <cell r="E5354"/>
          <cell r="J5354"/>
          <cell r="K5354">
            <v>0</v>
          </cell>
        </row>
        <row r="5355">
          <cell r="D5355"/>
          <cell r="E5355"/>
          <cell r="J5355"/>
          <cell r="K5355"/>
        </row>
        <row r="5356">
          <cell r="D5356"/>
          <cell r="E5356"/>
          <cell r="J5356">
            <v>0</v>
          </cell>
          <cell r="K5356"/>
        </row>
        <row r="5357">
          <cell r="D5357"/>
          <cell r="E5357"/>
          <cell r="J5357">
            <v>0</v>
          </cell>
          <cell r="K5357"/>
        </row>
        <row r="5358">
          <cell r="D5358"/>
          <cell r="E5358"/>
          <cell r="J5358"/>
          <cell r="K5358"/>
        </row>
        <row r="5359">
          <cell r="D5359"/>
          <cell r="J5359"/>
        </row>
        <row r="5360">
          <cell r="D5360" t="str">
            <v>AM</v>
          </cell>
          <cell r="E5360">
            <v>23030048</v>
          </cell>
          <cell r="J5360"/>
          <cell r="K5360"/>
        </row>
        <row r="5361">
          <cell r="D5361"/>
          <cell r="E5361"/>
          <cell r="J5361"/>
          <cell r="K5361"/>
        </row>
        <row r="5362">
          <cell r="D5362"/>
          <cell r="E5362"/>
          <cell r="J5362"/>
          <cell r="K5362"/>
        </row>
        <row r="5363">
          <cell r="D5363"/>
          <cell r="E5363"/>
          <cell r="J5363"/>
          <cell r="K5363"/>
        </row>
        <row r="5364">
          <cell r="D5364"/>
          <cell r="E5364"/>
          <cell r="J5364"/>
          <cell r="K5364"/>
        </row>
        <row r="5365">
          <cell r="D5365"/>
          <cell r="J5365"/>
          <cell r="K5365"/>
        </row>
        <row r="5366">
          <cell r="D5366" t="str">
            <v>C</v>
          </cell>
          <cell r="E5366"/>
          <cell r="J5366" t="str">
            <v>Disc 2</v>
          </cell>
          <cell r="K5366" t="str">
            <v>Amount</v>
          </cell>
        </row>
        <row r="5367">
          <cell r="D5367"/>
          <cell r="E5367"/>
          <cell r="J5367"/>
          <cell r="K5367"/>
        </row>
        <row r="5368">
          <cell r="D5368"/>
          <cell r="E5368"/>
          <cell r="J5368"/>
          <cell r="K5368">
            <v>0</v>
          </cell>
        </row>
        <row r="5369">
          <cell r="D5369"/>
          <cell r="E5369"/>
          <cell r="J5369"/>
          <cell r="K5369">
            <v>0</v>
          </cell>
        </row>
        <row r="5370">
          <cell r="D5370"/>
          <cell r="E5370"/>
          <cell r="J5370"/>
          <cell r="K5370">
            <v>0</v>
          </cell>
        </row>
        <row r="5371">
          <cell r="D5371"/>
          <cell r="E5371"/>
          <cell r="J5371"/>
          <cell r="K5371">
            <v>0</v>
          </cell>
        </row>
        <row r="5372">
          <cell r="D5372"/>
          <cell r="E5372"/>
          <cell r="J5372"/>
          <cell r="K5372">
            <v>0</v>
          </cell>
        </row>
        <row r="5373">
          <cell r="D5373"/>
          <cell r="E5373"/>
          <cell r="J5373"/>
          <cell r="K5373">
            <v>0</v>
          </cell>
        </row>
        <row r="5374">
          <cell r="D5374"/>
          <cell r="E5374"/>
          <cell r="J5374"/>
          <cell r="K5374">
            <v>0</v>
          </cell>
        </row>
        <row r="5375">
          <cell r="D5375"/>
          <cell r="E5375"/>
          <cell r="J5375"/>
          <cell r="K5375">
            <v>0</v>
          </cell>
        </row>
        <row r="5376">
          <cell r="D5376"/>
          <cell r="E5376"/>
          <cell r="J5376"/>
          <cell r="K5376">
            <v>0</v>
          </cell>
        </row>
        <row r="5377">
          <cell r="D5377"/>
          <cell r="E5377"/>
          <cell r="J5377"/>
          <cell r="K5377">
            <v>0</v>
          </cell>
        </row>
        <row r="5378">
          <cell r="D5378"/>
          <cell r="E5378"/>
          <cell r="J5378"/>
          <cell r="K5378">
            <v>0</v>
          </cell>
        </row>
        <row r="5379">
          <cell r="D5379"/>
          <cell r="E5379"/>
          <cell r="J5379"/>
          <cell r="K5379">
            <v>0</v>
          </cell>
        </row>
        <row r="5380">
          <cell r="D5380"/>
          <cell r="E5380"/>
          <cell r="J5380"/>
          <cell r="K5380">
            <v>0</v>
          </cell>
        </row>
        <row r="5381">
          <cell r="D5381"/>
          <cell r="E5381"/>
          <cell r="J5381"/>
          <cell r="K5381">
            <v>0</v>
          </cell>
        </row>
        <row r="5382">
          <cell r="D5382"/>
          <cell r="E5382"/>
          <cell r="J5382"/>
          <cell r="K5382">
            <v>0</v>
          </cell>
        </row>
        <row r="5383">
          <cell r="D5383"/>
          <cell r="E5383"/>
          <cell r="J5383"/>
          <cell r="K5383">
            <v>0</v>
          </cell>
        </row>
        <row r="5384">
          <cell r="D5384"/>
          <cell r="E5384"/>
          <cell r="J5384"/>
          <cell r="K5384"/>
        </row>
        <row r="5385">
          <cell r="D5385"/>
          <cell r="E5385"/>
          <cell r="J5385"/>
          <cell r="K5385"/>
        </row>
        <row r="5386">
          <cell r="D5386"/>
          <cell r="J5386">
            <v>0</v>
          </cell>
          <cell r="K5386"/>
        </row>
        <row r="5387">
          <cell r="D5387"/>
          <cell r="J5387"/>
          <cell r="K5387"/>
        </row>
        <row r="5388">
          <cell r="D5388"/>
          <cell r="J5388"/>
          <cell r="K5388">
            <v>0</v>
          </cell>
        </row>
        <row r="5389">
          <cell r="D5389"/>
          <cell r="J5389"/>
          <cell r="K5389"/>
        </row>
        <row r="5390">
          <cell r="D5390"/>
          <cell r="E5390" t="str">
            <v>Hormat Kami,</v>
          </cell>
          <cell r="J5390">
            <v>0</v>
          </cell>
          <cell r="K5390"/>
        </row>
        <row r="5391">
          <cell r="D5391"/>
          <cell r="J5391"/>
          <cell r="K5391"/>
        </row>
        <row r="5392">
          <cell r="D5392"/>
          <cell r="E5392"/>
          <cell r="J5392"/>
          <cell r="K5392">
            <v>0</v>
          </cell>
        </row>
        <row r="5393">
          <cell r="D5393"/>
          <cell r="E5393"/>
          <cell r="J5393"/>
          <cell r="K5393"/>
        </row>
        <row r="5394">
          <cell r="D5394"/>
          <cell r="J5394"/>
          <cell r="K5394"/>
        </row>
        <row r="5395">
          <cell r="D5395"/>
          <cell r="J5395"/>
          <cell r="K5395"/>
        </row>
        <row r="5396">
          <cell r="D5396"/>
          <cell r="J5396"/>
          <cell r="K5396"/>
        </row>
        <row r="5397">
          <cell r="D5397"/>
          <cell r="E5397"/>
          <cell r="J5397"/>
          <cell r="K5397"/>
        </row>
        <row r="5398">
          <cell r="D5398" t="str">
            <v>AM</v>
          </cell>
          <cell r="E5398">
            <v>23030048</v>
          </cell>
          <cell r="J5398"/>
          <cell r="K5398"/>
        </row>
        <row r="5399">
          <cell r="D5399"/>
          <cell r="E5399"/>
          <cell r="J5399"/>
          <cell r="K5399"/>
        </row>
        <row r="5400">
          <cell r="D5400">
            <v>0</v>
          </cell>
          <cell r="E5400"/>
          <cell r="J5400"/>
          <cell r="K5400"/>
        </row>
        <row r="5401">
          <cell r="D5401"/>
          <cell r="E5401"/>
          <cell r="J5401"/>
          <cell r="K5401"/>
        </row>
        <row r="5402">
          <cell r="D5402">
            <v>0</v>
          </cell>
          <cell r="E5402"/>
          <cell r="J5402"/>
          <cell r="K5402"/>
        </row>
        <row r="5403">
          <cell r="D5403"/>
          <cell r="E5403"/>
          <cell r="J5403"/>
          <cell r="K5403"/>
        </row>
        <row r="5404">
          <cell r="D5404" t="str">
            <v>C</v>
          </cell>
          <cell r="E5404"/>
          <cell r="J5404" t="str">
            <v>Disc 2</v>
          </cell>
          <cell r="K5404" t="str">
            <v>Amount</v>
          </cell>
        </row>
        <row r="5405">
          <cell r="D5405"/>
          <cell r="E5405"/>
          <cell r="J5405"/>
          <cell r="K5405"/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2">
          <cell r="D5422"/>
          <cell r="E5422"/>
          <cell r="J5422"/>
          <cell r="K5422"/>
        </row>
        <row r="5423">
          <cell r="D5423"/>
          <cell r="E5423"/>
          <cell r="J5423"/>
          <cell r="K5423"/>
        </row>
        <row r="5424">
          <cell r="D5424"/>
          <cell r="E5424"/>
          <cell r="J5424">
            <v>0</v>
          </cell>
          <cell r="K5424"/>
        </row>
        <row r="5425">
          <cell r="D5425"/>
          <cell r="E5425"/>
          <cell r="J5425"/>
          <cell r="K5425"/>
        </row>
        <row r="5426">
          <cell r="D5426"/>
          <cell r="E5426"/>
          <cell r="J5426">
            <v>0</v>
          </cell>
          <cell r="K5426">
            <v>0</v>
          </cell>
        </row>
        <row r="5427">
          <cell r="D5427"/>
          <cell r="E5427"/>
          <cell r="J5427"/>
          <cell r="K5427"/>
        </row>
        <row r="5428">
          <cell r="D5428"/>
          <cell r="E5428" t="str">
            <v>Hormat Kami,</v>
          </cell>
          <cell r="J5428">
            <v>0</v>
          </cell>
          <cell r="K5428"/>
        </row>
        <row r="5429">
          <cell r="D5429"/>
          <cell r="E5429"/>
          <cell r="J5429"/>
          <cell r="K5429"/>
        </row>
        <row r="5430">
          <cell r="D5430"/>
          <cell r="E5430"/>
          <cell r="J5430"/>
          <cell r="K5430">
            <v>0</v>
          </cell>
        </row>
        <row r="5431">
          <cell r="D5431"/>
          <cell r="E5431"/>
          <cell r="J5431"/>
          <cell r="K5431"/>
        </row>
        <row r="5432">
          <cell r="D5432"/>
          <cell r="E5432"/>
          <cell r="J5432">
            <v>0</v>
          </cell>
          <cell r="K5432"/>
        </row>
        <row r="5433">
          <cell r="D5433"/>
          <cell r="E5433"/>
          <cell r="J5433">
            <v>0</v>
          </cell>
          <cell r="K5433"/>
        </row>
        <row r="5434">
          <cell r="D5434"/>
          <cell r="E5434"/>
          <cell r="J5434"/>
          <cell r="K5434"/>
        </row>
        <row r="5435">
          <cell r="D5435"/>
          <cell r="E5435"/>
          <cell r="J5435"/>
          <cell r="K5435"/>
        </row>
        <row r="5436">
          <cell r="D5436" t="str">
            <v>AM</v>
          </cell>
          <cell r="E5436">
            <v>23030048</v>
          </cell>
          <cell r="J5436"/>
          <cell r="K5436"/>
        </row>
        <row r="5437">
          <cell r="D5437"/>
          <cell r="E5437"/>
          <cell r="J5437"/>
          <cell r="K5437"/>
        </row>
        <row r="5438">
          <cell r="D5438">
            <v>0</v>
          </cell>
          <cell r="E5438"/>
          <cell r="J5438"/>
          <cell r="K5438"/>
        </row>
        <row r="5439">
          <cell r="D5439"/>
          <cell r="E5439"/>
          <cell r="J5439"/>
          <cell r="K5439"/>
        </row>
        <row r="5440">
          <cell r="D5440">
            <v>0</v>
          </cell>
          <cell r="E5440"/>
          <cell r="J5440"/>
          <cell r="K5440"/>
        </row>
        <row r="5441">
          <cell r="D5441"/>
          <cell r="E5441"/>
          <cell r="J5441"/>
          <cell r="K5441"/>
        </row>
        <row r="5442">
          <cell r="D5442" t="str">
            <v>C</v>
          </cell>
          <cell r="E5442"/>
          <cell r="J5442" t="str">
            <v>Disc 2</v>
          </cell>
          <cell r="K5442" t="str">
            <v>Amount</v>
          </cell>
        </row>
        <row r="5443">
          <cell r="D5443"/>
          <cell r="E5443"/>
          <cell r="J5443"/>
          <cell r="K5443"/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0">
          <cell r="D5460"/>
          <cell r="E5460"/>
          <cell r="J5460"/>
          <cell r="K5460"/>
        </row>
        <row r="5461">
          <cell r="D5461"/>
          <cell r="E5461"/>
          <cell r="J5461"/>
          <cell r="K5461"/>
        </row>
        <row r="5462">
          <cell r="D5462"/>
          <cell r="E5462"/>
          <cell r="J5462">
            <v>0</v>
          </cell>
          <cell r="K5462"/>
        </row>
        <row r="5463">
          <cell r="D5463"/>
          <cell r="E5463"/>
          <cell r="J5463"/>
          <cell r="K5463"/>
        </row>
        <row r="5464">
          <cell r="D5464"/>
          <cell r="E5464"/>
          <cell r="J5464">
            <v>0</v>
          </cell>
          <cell r="K5464">
            <v>0</v>
          </cell>
        </row>
        <row r="5465">
          <cell r="D5465"/>
          <cell r="E5465"/>
          <cell r="J5465"/>
          <cell r="K5465"/>
        </row>
        <row r="5466">
          <cell r="D5466"/>
          <cell r="E5466" t="str">
            <v>Hormat Kami,</v>
          </cell>
          <cell r="J5466">
            <v>0</v>
          </cell>
          <cell r="K5466"/>
        </row>
        <row r="5467">
          <cell r="D5467"/>
          <cell r="E5467"/>
          <cell r="J5467"/>
          <cell r="K5467"/>
        </row>
        <row r="5468">
          <cell r="D5468"/>
          <cell r="E5468"/>
          <cell r="J5468"/>
          <cell r="K5468">
            <v>0</v>
          </cell>
        </row>
        <row r="5469">
          <cell r="D5469"/>
          <cell r="E5469"/>
          <cell r="J5469"/>
          <cell r="K5469"/>
        </row>
        <row r="5470">
          <cell r="D5470"/>
          <cell r="E5470"/>
          <cell r="J5470">
            <v>0</v>
          </cell>
          <cell r="K5470"/>
        </row>
        <row r="5471">
          <cell r="D5471"/>
          <cell r="E5471"/>
          <cell r="J5471">
            <v>0</v>
          </cell>
          <cell r="K5471"/>
        </row>
        <row r="5472">
          <cell r="D5472"/>
          <cell r="E5472"/>
          <cell r="J5472"/>
          <cell r="K5472"/>
        </row>
        <row r="5473">
          <cell r="D5473"/>
          <cell r="J5473"/>
        </row>
        <row r="5474">
          <cell r="D5474" t="str">
            <v>AM</v>
          </cell>
          <cell r="E5474">
            <v>23030049</v>
          </cell>
          <cell r="J5474"/>
          <cell r="K5474"/>
        </row>
        <row r="5475">
          <cell r="D5475"/>
          <cell r="E5475"/>
          <cell r="J5475"/>
          <cell r="K5475"/>
        </row>
        <row r="5476">
          <cell r="D5476"/>
          <cell r="E5476"/>
          <cell r="J5476"/>
          <cell r="K5476"/>
        </row>
        <row r="5477">
          <cell r="D5477"/>
          <cell r="E5477"/>
          <cell r="J5477"/>
          <cell r="K5477"/>
        </row>
        <row r="5478">
          <cell r="D5478"/>
          <cell r="E5478"/>
          <cell r="J5478"/>
          <cell r="K5478"/>
        </row>
        <row r="5479">
          <cell r="D5479"/>
          <cell r="J5479"/>
          <cell r="K5479"/>
        </row>
        <row r="5480">
          <cell r="D5480" t="str">
            <v>C</v>
          </cell>
          <cell r="E5480"/>
          <cell r="J5480" t="str">
            <v>Disc 2</v>
          </cell>
          <cell r="K5480" t="str">
            <v>Amount</v>
          </cell>
        </row>
        <row r="5481">
          <cell r="D5481"/>
          <cell r="E5481"/>
          <cell r="J5481"/>
          <cell r="K5481"/>
        </row>
        <row r="5482">
          <cell r="D5482"/>
          <cell r="E5482"/>
          <cell r="J5482"/>
          <cell r="K5482">
            <v>0</v>
          </cell>
        </row>
        <row r="5483">
          <cell r="D5483"/>
          <cell r="E5483"/>
          <cell r="J5483"/>
          <cell r="K5483">
            <v>0</v>
          </cell>
        </row>
        <row r="5484">
          <cell r="D5484"/>
          <cell r="E5484"/>
          <cell r="J5484"/>
          <cell r="K5484">
            <v>0</v>
          </cell>
        </row>
        <row r="5485">
          <cell r="D5485"/>
          <cell r="E5485"/>
          <cell r="J5485"/>
          <cell r="K5485">
            <v>0</v>
          </cell>
        </row>
        <row r="5486">
          <cell r="D5486"/>
          <cell r="E5486"/>
          <cell r="J5486"/>
          <cell r="K5486">
            <v>0</v>
          </cell>
        </row>
        <row r="5487">
          <cell r="D5487"/>
          <cell r="E5487"/>
          <cell r="J5487"/>
          <cell r="K5487">
            <v>0</v>
          </cell>
        </row>
        <row r="5488">
          <cell r="D5488"/>
          <cell r="E5488"/>
          <cell r="J5488"/>
          <cell r="K5488">
            <v>0</v>
          </cell>
        </row>
        <row r="5489">
          <cell r="D5489"/>
          <cell r="E5489"/>
          <cell r="J5489"/>
          <cell r="K5489">
            <v>0</v>
          </cell>
        </row>
        <row r="5490">
          <cell r="D5490"/>
          <cell r="E5490"/>
          <cell r="J5490"/>
          <cell r="K5490">
            <v>0</v>
          </cell>
        </row>
        <row r="5491">
          <cell r="D5491"/>
          <cell r="E5491"/>
          <cell r="J5491"/>
          <cell r="K5491">
            <v>0</v>
          </cell>
        </row>
        <row r="5492">
          <cell r="D5492"/>
          <cell r="E5492"/>
          <cell r="J5492"/>
          <cell r="K5492">
            <v>0</v>
          </cell>
        </row>
        <row r="5493">
          <cell r="D5493"/>
          <cell r="E5493"/>
          <cell r="J5493"/>
          <cell r="K5493">
            <v>0</v>
          </cell>
        </row>
        <row r="5494">
          <cell r="D5494"/>
          <cell r="E5494"/>
          <cell r="J5494"/>
          <cell r="K5494">
            <v>0</v>
          </cell>
        </row>
        <row r="5495">
          <cell r="D5495"/>
          <cell r="E5495"/>
          <cell r="J5495"/>
          <cell r="K5495">
            <v>0</v>
          </cell>
        </row>
        <row r="5496">
          <cell r="D5496"/>
          <cell r="E5496"/>
          <cell r="J5496"/>
          <cell r="K5496">
            <v>0</v>
          </cell>
        </row>
        <row r="5497">
          <cell r="D5497"/>
          <cell r="E5497"/>
          <cell r="J5497"/>
          <cell r="K5497">
            <v>0</v>
          </cell>
        </row>
        <row r="5498">
          <cell r="D5498"/>
          <cell r="E5498"/>
          <cell r="J5498"/>
          <cell r="K5498"/>
        </row>
        <row r="5499">
          <cell r="D5499"/>
          <cell r="E5499"/>
          <cell r="J5499"/>
          <cell r="K5499"/>
        </row>
        <row r="5500">
          <cell r="D5500"/>
          <cell r="J5500">
            <v>0</v>
          </cell>
          <cell r="K5500"/>
        </row>
        <row r="5501">
          <cell r="D5501"/>
          <cell r="J5501"/>
          <cell r="K5501"/>
        </row>
        <row r="5502">
          <cell r="D5502"/>
          <cell r="J5502"/>
          <cell r="K5502">
            <v>0</v>
          </cell>
        </row>
        <row r="5503">
          <cell r="D5503"/>
          <cell r="J5503"/>
          <cell r="K5503"/>
        </row>
        <row r="5504">
          <cell r="D5504"/>
          <cell r="E5504" t="str">
            <v>Hormat Kami,</v>
          </cell>
          <cell r="J5504">
            <v>0</v>
          </cell>
          <cell r="K5504"/>
        </row>
        <row r="5505">
          <cell r="D5505"/>
          <cell r="J5505"/>
          <cell r="K5505"/>
        </row>
        <row r="5506">
          <cell r="D5506"/>
          <cell r="E5506"/>
          <cell r="J5506"/>
          <cell r="K5506">
            <v>0</v>
          </cell>
        </row>
        <row r="5507">
          <cell r="D5507"/>
          <cell r="E5507"/>
          <cell r="J5507"/>
          <cell r="K5507"/>
        </row>
        <row r="5508">
          <cell r="D5508"/>
          <cell r="J5508"/>
          <cell r="K5508"/>
        </row>
        <row r="5509">
          <cell r="D5509"/>
          <cell r="J5509"/>
          <cell r="K5509"/>
        </row>
        <row r="5510">
          <cell r="D5510"/>
          <cell r="J5510"/>
          <cell r="K5510"/>
        </row>
        <row r="5511">
          <cell r="D5511"/>
          <cell r="E5511"/>
          <cell r="J5511"/>
          <cell r="K5511"/>
        </row>
        <row r="5512">
          <cell r="D5512" t="str">
            <v>AM</v>
          </cell>
          <cell r="E5512">
            <v>23030049</v>
          </cell>
          <cell r="J5512"/>
          <cell r="K5512"/>
        </row>
        <row r="5513">
          <cell r="D5513"/>
          <cell r="E5513"/>
          <cell r="J5513"/>
          <cell r="K5513"/>
        </row>
        <row r="5514">
          <cell r="D5514">
            <v>0</v>
          </cell>
          <cell r="E5514"/>
          <cell r="J5514"/>
          <cell r="K5514"/>
        </row>
        <row r="5515">
          <cell r="D5515"/>
          <cell r="E5515"/>
          <cell r="J5515"/>
          <cell r="K5515"/>
        </row>
        <row r="5516">
          <cell r="D5516">
            <v>0</v>
          </cell>
          <cell r="E5516"/>
          <cell r="J5516"/>
          <cell r="K5516"/>
        </row>
        <row r="5517">
          <cell r="D5517"/>
          <cell r="E5517"/>
          <cell r="J5517"/>
          <cell r="K5517"/>
        </row>
        <row r="5518">
          <cell r="D5518" t="str">
            <v>C</v>
          </cell>
          <cell r="E5518"/>
          <cell r="J5518" t="str">
            <v>Disc 2</v>
          </cell>
          <cell r="K5518" t="str">
            <v>Amount</v>
          </cell>
        </row>
        <row r="5519">
          <cell r="D5519"/>
          <cell r="E5519"/>
          <cell r="J5519"/>
          <cell r="K5519"/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6">
          <cell r="D5536"/>
          <cell r="E5536"/>
          <cell r="J5536"/>
          <cell r="K5536"/>
        </row>
        <row r="5537">
          <cell r="D5537"/>
          <cell r="E5537"/>
          <cell r="J5537"/>
          <cell r="K5537"/>
        </row>
        <row r="5538">
          <cell r="D5538"/>
          <cell r="E5538"/>
          <cell r="J5538">
            <v>0</v>
          </cell>
          <cell r="K5538"/>
        </row>
        <row r="5539">
          <cell r="D5539"/>
          <cell r="E5539"/>
          <cell r="J5539"/>
          <cell r="K5539"/>
        </row>
        <row r="5540">
          <cell r="D5540"/>
          <cell r="E5540"/>
          <cell r="J5540">
            <v>0</v>
          </cell>
          <cell r="K5540">
            <v>0</v>
          </cell>
        </row>
        <row r="5541">
          <cell r="D5541"/>
          <cell r="E5541"/>
          <cell r="J5541"/>
          <cell r="K5541"/>
        </row>
        <row r="5542">
          <cell r="D5542"/>
          <cell r="E5542" t="str">
            <v>Hormat Kami,</v>
          </cell>
          <cell r="J5542">
            <v>0</v>
          </cell>
          <cell r="K5542"/>
        </row>
        <row r="5543">
          <cell r="D5543"/>
          <cell r="E5543"/>
          <cell r="J5543"/>
          <cell r="K5543"/>
        </row>
        <row r="5544">
          <cell r="D5544"/>
          <cell r="E5544"/>
          <cell r="J5544"/>
          <cell r="K5544">
            <v>0</v>
          </cell>
        </row>
        <row r="5545">
          <cell r="D5545"/>
          <cell r="E5545"/>
          <cell r="J5545"/>
          <cell r="K5545"/>
        </row>
        <row r="5546">
          <cell r="D5546"/>
          <cell r="E5546"/>
          <cell r="J5546">
            <v>0</v>
          </cell>
          <cell r="K5546"/>
        </row>
        <row r="5547">
          <cell r="D5547"/>
          <cell r="E5547"/>
          <cell r="J5547">
            <v>0</v>
          </cell>
          <cell r="K5547"/>
        </row>
        <row r="5548">
          <cell r="D5548"/>
          <cell r="E5548"/>
          <cell r="J5548"/>
          <cell r="K5548"/>
        </row>
        <row r="5549">
          <cell r="D5549"/>
          <cell r="E5549"/>
          <cell r="J5549"/>
          <cell r="K5549"/>
        </row>
        <row r="5550">
          <cell r="D5550" t="str">
            <v>AM</v>
          </cell>
          <cell r="E5550">
            <v>23030049</v>
          </cell>
          <cell r="J5550"/>
          <cell r="K5550"/>
        </row>
        <row r="5551">
          <cell r="D5551"/>
          <cell r="E5551"/>
          <cell r="J5551"/>
          <cell r="K5551"/>
        </row>
        <row r="5552">
          <cell r="D5552">
            <v>0</v>
          </cell>
          <cell r="E5552"/>
          <cell r="J5552"/>
          <cell r="K5552"/>
        </row>
        <row r="5553">
          <cell r="D5553"/>
          <cell r="E5553"/>
          <cell r="J5553"/>
          <cell r="K5553"/>
        </row>
        <row r="5554">
          <cell r="D5554">
            <v>0</v>
          </cell>
          <cell r="E5554"/>
          <cell r="J5554"/>
          <cell r="K5554"/>
        </row>
        <row r="5555">
          <cell r="D5555"/>
          <cell r="E5555"/>
          <cell r="J5555"/>
          <cell r="K5555"/>
        </row>
        <row r="5556">
          <cell r="D5556" t="str">
            <v>C</v>
          </cell>
          <cell r="E5556"/>
          <cell r="J5556" t="str">
            <v>Disc 2</v>
          </cell>
          <cell r="K5556" t="str">
            <v>Amount</v>
          </cell>
        </row>
        <row r="5557">
          <cell r="D5557"/>
          <cell r="E5557"/>
          <cell r="J5557"/>
          <cell r="K5557"/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4">
          <cell r="D5574"/>
          <cell r="E5574"/>
          <cell r="J5574"/>
          <cell r="K5574"/>
        </row>
        <row r="5575">
          <cell r="D5575"/>
          <cell r="E5575"/>
          <cell r="J5575"/>
          <cell r="K5575"/>
        </row>
        <row r="5576">
          <cell r="D5576"/>
          <cell r="E5576"/>
          <cell r="J5576">
            <v>0</v>
          </cell>
          <cell r="K5576"/>
        </row>
        <row r="5577">
          <cell r="D5577"/>
          <cell r="E5577"/>
          <cell r="J5577"/>
          <cell r="K5577"/>
        </row>
        <row r="5578">
          <cell r="D5578"/>
          <cell r="E5578"/>
          <cell r="J5578">
            <v>0</v>
          </cell>
          <cell r="K5578">
            <v>0</v>
          </cell>
        </row>
        <row r="5579">
          <cell r="D5579"/>
          <cell r="E5579"/>
          <cell r="J5579"/>
          <cell r="K5579"/>
        </row>
        <row r="5580">
          <cell r="D5580"/>
          <cell r="E5580" t="str">
            <v>Hormat Kami,</v>
          </cell>
          <cell r="J5580">
            <v>0</v>
          </cell>
          <cell r="K5580"/>
        </row>
        <row r="5581">
          <cell r="D5581"/>
          <cell r="E5581"/>
          <cell r="J5581"/>
          <cell r="K5581"/>
        </row>
        <row r="5582">
          <cell r="D5582"/>
          <cell r="E5582"/>
          <cell r="J5582"/>
          <cell r="K5582">
            <v>0</v>
          </cell>
        </row>
        <row r="5583">
          <cell r="D5583"/>
          <cell r="E5583"/>
          <cell r="J5583"/>
          <cell r="K5583"/>
        </row>
        <row r="5584">
          <cell r="D5584"/>
          <cell r="E5584"/>
          <cell r="J5584">
            <v>0</v>
          </cell>
          <cell r="K5584"/>
        </row>
        <row r="5585">
          <cell r="D5585"/>
          <cell r="E5585"/>
          <cell r="J5585">
            <v>0</v>
          </cell>
          <cell r="K5585"/>
        </row>
        <row r="5586">
          <cell r="D5586"/>
          <cell r="E5586"/>
          <cell r="J5586"/>
          <cell r="K5586"/>
        </row>
        <row r="5587">
          <cell r="D5587"/>
          <cell r="J5587"/>
        </row>
        <row r="5588">
          <cell r="D5588" t="str">
            <v>AM</v>
          </cell>
          <cell r="E5588">
            <v>23030050</v>
          </cell>
          <cell r="J5588"/>
          <cell r="K5588"/>
        </row>
        <row r="5589">
          <cell r="D5589"/>
          <cell r="E5589"/>
          <cell r="J5589"/>
          <cell r="K5589"/>
        </row>
        <row r="5590">
          <cell r="D5590"/>
          <cell r="E5590"/>
          <cell r="J5590"/>
          <cell r="K5590"/>
        </row>
        <row r="5591">
          <cell r="D5591"/>
          <cell r="E5591"/>
          <cell r="J5591"/>
          <cell r="K5591"/>
        </row>
        <row r="5592">
          <cell r="D5592"/>
          <cell r="E5592"/>
          <cell r="J5592"/>
          <cell r="K5592"/>
        </row>
        <row r="5593">
          <cell r="D5593"/>
          <cell r="J5593"/>
          <cell r="K5593"/>
        </row>
        <row r="5594">
          <cell r="D5594" t="str">
            <v>C</v>
          </cell>
          <cell r="E5594"/>
          <cell r="J5594" t="str">
            <v>Disc 2</v>
          </cell>
          <cell r="K5594" t="str">
            <v>Amount</v>
          </cell>
        </row>
        <row r="5595">
          <cell r="D5595"/>
          <cell r="E5595"/>
          <cell r="J5595"/>
          <cell r="K5595"/>
        </row>
        <row r="5596">
          <cell r="D5596"/>
          <cell r="E5596"/>
          <cell r="J5596"/>
          <cell r="K5596">
            <v>0</v>
          </cell>
        </row>
        <row r="5597">
          <cell r="D5597"/>
          <cell r="E5597"/>
          <cell r="J5597"/>
          <cell r="K5597">
            <v>0</v>
          </cell>
        </row>
        <row r="5598">
          <cell r="D5598"/>
          <cell r="E5598"/>
          <cell r="J5598"/>
          <cell r="K5598">
            <v>0</v>
          </cell>
        </row>
        <row r="5599">
          <cell r="D5599"/>
          <cell r="E5599"/>
          <cell r="J5599"/>
          <cell r="K5599">
            <v>0</v>
          </cell>
        </row>
        <row r="5600">
          <cell r="D5600"/>
          <cell r="E5600"/>
          <cell r="J5600"/>
          <cell r="K5600">
            <v>0</v>
          </cell>
        </row>
        <row r="5601">
          <cell r="D5601"/>
          <cell r="E5601"/>
          <cell r="J5601"/>
          <cell r="K5601">
            <v>0</v>
          </cell>
        </row>
        <row r="5602">
          <cell r="D5602"/>
          <cell r="E5602"/>
          <cell r="J5602"/>
          <cell r="K5602">
            <v>0</v>
          </cell>
        </row>
        <row r="5603">
          <cell r="D5603"/>
          <cell r="E5603"/>
          <cell r="J5603"/>
          <cell r="K5603">
            <v>0</v>
          </cell>
        </row>
        <row r="5604">
          <cell r="D5604"/>
          <cell r="E5604"/>
          <cell r="J5604"/>
          <cell r="K5604">
            <v>0</v>
          </cell>
        </row>
        <row r="5605">
          <cell r="D5605"/>
          <cell r="E5605"/>
          <cell r="J5605"/>
          <cell r="K5605">
            <v>0</v>
          </cell>
        </row>
        <row r="5606">
          <cell r="D5606"/>
          <cell r="E5606"/>
          <cell r="J5606"/>
          <cell r="K5606">
            <v>0</v>
          </cell>
        </row>
        <row r="5607">
          <cell r="D5607"/>
          <cell r="E5607"/>
          <cell r="J5607"/>
          <cell r="K5607">
            <v>0</v>
          </cell>
        </row>
        <row r="5608">
          <cell r="D5608"/>
          <cell r="E5608"/>
          <cell r="J5608"/>
          <cell r="K5608">
            <v>0</v>
          </cell>
        </row>
        <row r="5609">
          <cell r="D5609"/>
          <cell r="E5609"/>
          <cell r="J5609"/>
          <cell r="K5609">
            <v>0</v>
          </cell>
        </row>
        <row r="5610">
          <cell r="D5610"/>
          <cell r="E5610"/>
          <cell r="J5610"/>
          <cell r="K5610">
            <v>0</v>
          </cell>
        </row>
        <row r="5611">
          <cell r="D5611"/>
          <cell r="E5611"/>
          <cell r="J5611"/>
          <cell r="K5611">
            <v>0</v>
          </cell>
        </row>
        <row r="5612">
          <cell r="D5612"/>
          <cell r="E5612"/>
          <cell r="J5612"/>
          <cell r="K5612"/>
        </row>
        <row r="5613">
          <cell r="D5613"/>
          <cell r="E5613"/>
          <cell r="J5613"/>
          <cell r="K5613"/>
        </row>
        <row r="5614">
          <cell r="D5614"/>
          <cell r="J5614">
            <v>0</v>
          </cell>
          <cell r="K5614"/>
        </row>
        <row r="5615">
          <cell r="D5615"/>
          <cell r="J5615"/>
          <cell r="K5615"/>
        </row>
        <row r="5616">
          <cell r="D5616"/>
          <cell r="J5616"/>
          <cell r="K5616">
            <v>0</v>
          </cell>
        </row>
        <row r="5617">
          <cell r="D5617"/>
          <cell r="J5617"/>
          <cell r="K5617"/>
        </row>
        <row r="5618">
          <cell r="D5618"/>
          <cell r="E5618" t="str">
            <v>Hormat Kami,</v>
          </cell>
          <cell r="J5618">
            <v>0</v>
          </cell>
          <cell r="K5618"/>
        </row>
        <row r="5619">
          <cell r="D5619"/>
          <cell r="J5619"/>
          <cell r="K5619"/>
        </row>
        <row r="5620">
          <cell r="D5620"/>
          <cell r="E5620"/>
          <cell r="J5620"/>
          <cell r="K5620">
            <v>0</v>
          </cell>
        </row>
        <row r="5621">
          <cell r="D5621"/>
          <cell r="E5621"/>
          <cell r="J5621"/>
          <cell r="K5621"/>
        </row>
        <row r="5622">
          <cell r="D5622"/>
          <cell r="J5622"/>
          <cell r="K5622"/>
        </row>
        <row r="5623">
          <cell r="D5623"/>
          <cell r="J5623"/>
          <cell r="K5623"/>
        </row>
        <row r="5624">
          <cell r="D5624"/>
          <cell r="J5624"/>
          <cell r="K5624"/>
        </row>
        <row r="5625">
          <cell r="D5625"/>
          <cell r="E5625"/>
          <cell r="J5625"/>
          <cell r="K5625"/>
        </row>
        <row r="5626">
          <cell r="D5626" t="str">
            <v>AM</v>
          </cell>
          <cell r="E5626">
            <v>23030050</v>
          </cell>
          <cell r="J5626"/>
          <cell r="K5626"/>
        </row>
        <row r="5627">
          <cell r="D5627"/>
          <cell r="E5627"/>
          <cell r="J5627"/>
          <cell r="K5627"/>
        </row>
        <row r="5628">
          <cell r="D5628">
            <v>0</v>
          </cell>
          <cell r="E5628"/>
          <cell r="J5628"/>
          <cell r="K5628"/>
        </row>
        <row r="5629">
          <cell r="D5629"/>
          <cell r="E5629"/>
          <cell r="J5629"/>
          <cell r="K5629"/>
        </row>
        <row r="5630">
          <cell r="D5630">
            <v>0</v>
          </cell>
          <cell r="E5630"/>
          <cell r="J5630"/>
          <cell r="K5630"/>
        </row>
        <row r="5631">
          <cell r="D5631"/>
          <cell r="E5631"/>
          <cell r="J5631"/>
          <cell r="K5631"/>
        </row>
        <row r="5632">
          <cell r="D5632" t="str">
            <v>C</v>
          </cell>
          <cell r="E5632"/>
          <cell r="J5632" t="str">
            <v>Disc 2</v>
          </cell>
          <cell r="K5632" t="str">
            <v>Amount</v>
          </cell>
        </row>
        <row r="5633">
          <cell r="D5633"/>
          <cell r="E5633"/>
          <cell r="J5633"/>
          <cell r="K5633"/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0">
          <cell r="D5650"/>
          <cell r="E5650"/>
          <cell r="J5650"/>
          <cell r="K5650"/>
        </row>
        <row r="5651">
          <cell r="D5651"/>
          <cell r="E5651"/>
          <cell r="J5651"/>
          <cell r="K5651"/>
        </row>
        <row r="5652">
          <cell r="D5652"/>
          <cell r="E5652"/>
          <cell r="J5652">
            <v>0</v>
          </cell>
          <cell r="K5652"/>
        </row>
        <row r="5653">
          <cell r="D5653"/>
          <cell r="E5653"/>
          <cell r="J5653"/>
          <cell r="K5653"/>
        </row>
        <row r="5654">
          <cell r="D5654"/>
          <cell r="E5654"/>
          <cell r="J5654">
            <v>0</v>
          </cell>
          <cell r="K5654">
            <v>0</v>
          </cell>
        </row>
        <row r="5655">
          <cell r="D5655"/>
          <cell r="E5655"/>
          <cell r="J5655"/>
          <cell r="K5655"/>
        </row>
        <row r="5656">
          <cell r="D5656"/>
          <cell r="E5656" t="str">
            <v>Hormat Kami,</v>
          </cell>
          <cell r="J5656">
            <v>0</v>
          </cell>
          <cell r="K5656"/>
        </row>
        <row r="5657">
          <cell r="D5657"/>
          <cell r="E5657"/>
          <cell r="J5657"/>
          <cell r="K5657"/>
        </row>
        <row r="5658">
          <cell r="D5658"/>
          <cell r="E5658"/>
          <cell r="J5658"/>
          <cell r="K5658">
            <v>0</v>
          </cell>
        </row>
        <row r="5659">
          <cell r="D5659"/>
          <cell r="E5659"/>
          <cell r="J5659"/>
          <cell r="K5659"/>
        </row>
        <row r="5660">
          <cell r="D5660"/>
          <cell r="E5660"/>
          <cell r="J5660">
            <v>0</v>
          </cell>
          <cell r="K5660"/>
        </row>
        <row r="5661">
          <cell r="D5661"/>
          <cell r="E5661"/>
          <cell r="J5661">
            <v>0</v>
          </cell>
          <cell r="K5661"/>
        </row>
        <row r="5662">
          <cell r="D5662"/>
          <cell r="E5662"/>
          <cell r="J5662"/>
          <cell r="K5662"/>
        </row>
        <row r="5663">
          <cell r="D5663"/>
          <cell r="E5663"/>
          <cell r="J5663"/>
          <cell r="K5663"/>
        </row>
        <row r="5664">
          <cell r="D5664" t="str">
            <v>AM</v>
          </cell>
          <cell r="E5664">
            <v>23030050</v>
          </cell>
          <cell r="J5664"/>
          <cell r="K5664"/>
        </row>
        <row r="5665">
          <cell r="D5665"/>
          <cell r="E5665"/>
          <cell r="J5665"/>
          <cell r="K5665"/>
        </row>
        <row r="5666">
          <cell r="D5666">
            <v>0</v>
          </cell>
          <cell r="E5666"/>
          <cell r="J5666"/>
          <cell r="K5666"/>
        </row>
        <row r="5667">
          <cell r="D5667"/>
          <cell r="E5667"/>
          <cell r="J5667"/>
          <cell r="K5667"/>
        </row>
        <row r="5668">
          <cell r="D5668">
            <v>0</v>
          </cell>
          <cell r="E5668"/>
          <cell r="J5668"/>
          <cell r="K5668"/>
        </row>
        <row r="5669">
          <cell r="D5669"/>
          <cell r="E5669"/>
          <cell r="J5669"/>
          <cell r="K5669"/>
        </row>
        <row r="5670">
          <cell r="D5670" t="str">
            <v>C</v>
          </cell>
          <cell r="E5670"/>
          <cell r="J5670" t="str">
            <v>Disc 2</v>
          </cell>
          <cell r="K5670" t="str">
            <v>Amount</v>
          </cell>
        </row>
        <row r="5671">
          <cell r="D5671"/>
          <cell r="E5671"/>
          <cell r="J5671"/>
          <cell r="K5671"/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88">
          <cell r="D5688"/>
          <cell r="E5688"/>
          <cell r="J5688"/>
          <cell r="K5688"/>
        </row>
        <row r="5689">
          <cell r="D5689"/>
          <cell r="E5689"/>
          <cell r="J5689"/>
          <cell r="K5689"/>
        </row>
        <row r="5690">
          <cell r="D5690"/>
          <cell r="E5690"/>
          <cell r="J5690">
            <v>0</v>
          </cell>
          <cell r="K5690"/>
        </row>
        <row r="5691">
          <cell r="D5691"/>
          <cell r="E5691"/>
          <cell r="J5691"/>
          <cell r="K5691"/>
        </row>
        <row r="5692">
          <cell r="D5692"/>
          <cell r="E5692"/>
          <cell r="J5692">
            <v>0</v>
          </cell>
          <cell r="K5692">
            <v>0</v>
          </cell>
        </row>
        <row r="5693">
          <cell r="D5693"/>
          <cell r="E5693"/>
          <cell r="J5693"/>
          <cell r="K5693"/>
        </row>
        <row r="5694">
          <cell r="D5694"/>
          <cell r="E5694" t="str">
            <v>Hormat Kami,</v>
          </cell>
          <cell r="J5694">
            <v>0</v>
          </cell>
          <cell r="K5694"/>
        </row>
        <row r="5695">
          <cell r="D5695"/>
          <cell r="E5695"/>
          <cell r="J5695"/>
          <cell r="K5695"/>
        </row>
        <row r="5696">
          <cell r="D5696"/>
          <cell r="E5696"/>
          <cell r="J5696"/>
          <cell r="K5696">
            <v>0</v>
          </cell>
        </row>
        <row r="5697">
          <cell r="D5697"/>
          <cell r="E5697"/>
          <cell r="J5697"/>
          <cell r="K5697"/>
        </row>
        <row r="5698">
          <cell r="D5698"/>
          <cell r="E5698"/>
          <cell r="J5698">
            <v>0</v>
          </cell>
          <cell r="K5698"/>
        </row>
        <row r="5699">
          <cell r="D5699"/>
          <cell r="E5699"/>
          <cell r="J5699">
            <v>0</v>
          </cell>
          <cell r="K5699"/>
        </row>
        <row r="5700">
          <cell r="D5700"/>
          <cell r="E5700"/>
          <cell r="J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3%20MAR\KELUAR%200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17.577850694448" createdVersion="5" refreshedVersion="5" minRefreshableVersion="3" recordCount="213">
  <cacheSource type="worksheet">
    <worksheetSource name="Table1" r:id="rId2"/>
  </cacheSource>
  <cacheFields count="31">
    <cacheField name="//" numFmtId="0">
      <sharedItems containsMixedTypes="1" containsNumber="1" containsInteger="1" minValue="3" maxValue="164" count="45">
        <n v="3"/>
        <s v=""/>
        <n v="5"/>
        <n v="9"/>
        <n v="11"/>
        <n v="14"/>
        <n v="17"/>
        <n v="20"/>
        <n v="22"/>
        <n v="24"/>
        <n v="27"/>
        <n v="29"/>
        <n v="31"/>
        <n v="34"/>
        <n v="36"/>
        <n v="39"/>
        <n v="41"/>
        <n v="44"/>
        <n v="55"/>
        <n v="57"/>
        <n v="59"/>
        <n v="66"/>
        <n v="68"/>
        <n v="74"/>
        <n v="76"/>
        <n v="79"/>
        <n v="81"/>
        <n v="87"/>
        <n v="89"/>
        <n v="100"/>
        <n v="104"/>
        <n v="107"/>
        <n v="113"/>
        <n v="118"/>
        <n v="132"/>
        <n v="134"/>
        <n v="136"/>
        <n v="142"/>
        <n v="147"/>
        <n v="149"/>
        <n v="151"/>
        <n v="156"/>
        <n v="158"/>
        <n v="161"/>
        <n v="164"/>
      </sharedItems>
    </cacheField>
    <cacheField name="h_No. Invoice :" numFmtId="0">
      <sharedItems containsMixedTypes="1" containsNumber="1" containsInteger="1" minValue="23030001" maxValue="23030044"/>
    </cacheField>
    <cacheField name="Tgl Invoice :" numFmtId="164">
      <sharedItems containsNonDate="0" containsDate="1" containsString="0" containsBlank="1" minDate="2023-03-03T00:00:00" maxDate="2023-04-01T00:00:00"/>
    </cacheField>
    <cacheField name="h_Kode Sales :_1" numFmtId="0">
      <sharedItems containsBlank="1"/>
    </cacheField>
    <cacheField name="h_Kode Sales :_2" numFmtId="0">
      <sharedItems containsBlank="1" containsMixedTypes="1" containsNumber="1" containsInteger="1" minValue="2989" maxValue="2989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7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228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containsInteger="1" minValue="25920" maxValue="242892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64"/>
    </cacheField>
    <cacheField name="h_jumlahbarang" numFmtId="0">
      <sharedItems containsMixedTypes="1" containsNumber="1" containsInteger="1" minValue="1" maxValue="13"/>
    </cacheField>
    <cacheField name="h_hargasebelumdiskon" numFmtId="43">
      <sharedItems containsMixedTypes="1" containsNumber="1" containsInteger="1" minValue="28800" maxValue="28080000"/>
    </cacheField>
    <cacheField name="h_disc 1" numFmtId="43">
      <sharedItems containsMixedTypes="1" containsNumber="1" minValue="0" maxValue="3790800.0000000005"/>
    </cacheField>
    <cacheField name="h_disc 2" numFmtId="43">
      <sharedItems containsMixedTypes="1" containsNumber="1" containsInteger="1" minValue="0" maxValue="420000"/>
    </cacheField>
    <cacheField name="h_diskon" numFmtId="43">
      <sharedItems containsMixedTypes="1" containsNumber="1" minValue="0" maxValue="3790800.0000000005"/>
    </cacheField>
    <cacheField name="h_hargasetelahdiskon" numFmtId="43">
      <sharedItems containsMixedTypes="1" containsNumber="1" containsInteger="1" minValue="25920" maxValue="24289200"/>
    </cacheField>
    <cacheField name="Total Invoice" numFmtId="43">
      <sharedItems containsMixedTypes="1" containsNumber="1" containsInteger="1" minValue="388800" maxValue="64381975"/>
    </cacheField>
    <cacheField name="KETERANGAN" numFmtId="43">
      <sharedItems containsNonDate="0" containsString="0" containsBlank="1"/>
    </cacheField>
    <cacheField name="H_A1" numFmtId="43">
      <sharedItems count="111">
        <s v="STAPLER KENKO HD-10LSN93000"/>
        <s v=""/>
        <s v="CRAYON / OIL PASTEL JOYKO OP-72S PP CASE SEA WORLDPCS96000"/>
        <s v="BINDER CLIP JOYKO 260GRS177000"/>
        <s v="PLAKBAND KAIN HITAM KENKO 48 MM (2&quot;) BLUE COREPCS12200"/>
        <s v="ISI CUTTER 18 MM KENKO L-150 (BESAR)LSN64800"/>
        <s v="BINDER CLIP JOYKO 105GRS27600"/>
        <s v="PENSIL WARNA KENKO CP-12F CLASSIC (PANJANG)LSN124200"/>
        <s v="LEM STICK KENKO 8 GR (KECIL) isi 30 pcBOX66000"/>
        <s v="LEM STICK KENKO 15 GR (TANGGUNG) isi 20 pcBOX72000"/>
        <s v="GEL PEN KENKO KE-303 T-GEL TRIANGULAR HITAMLSN21600"/>
        <s v="ISI STAPLER (STAPLES) GREATWALL GW-NO. 10 (KECIL)PAK13250"/>
        <s v="PENSIL WARNA JOYKO CP-12PB (PANJANG)SET10600"/>
        <s v="CORRECTION TAPE JOYKO CT-533LSN102000"/>
        <s v="PUNCH JOYKO 30XLLSN155400"/>
        <s v="GEL PEN KENKO EASY GELLSN26100"/>
        <s v="GEL PEN KENKO HI-TECH-H 0.28 MM FUN COLOR BIRULSN39000"/>
        <s v="STAPLER KENKO HD-50LSN228000"/>
        <s v="LABEL HARGA JOYKO LB-P2CC (2 LINE, CAH-CAH)PCS3300"/>
        <s v="CRAYON / OIL PASTEL JOYKO OP-48S PP CASE SEA WORLDPCS58900"/>
        <s v="PAPER TRIGONAL CLIP KENKO NO. 1PCS1700"/>
        <s v="PUSH PIN KENKO PN-30LSN33000"/>
        <s v="GEL PEN TIZO 1.0 MM TG-340 HITAMLSN33000"/>
        <s v="HIGHLIGHTER / STABILLO TIZO TF-616 (isi 24 pc)BOX53500"/>
        <s v="STAPLER JOYKO HD-10CLLSN84000"/>
        <s v="STIP / PENGHAPUS JOYKO 526-B40P PUTIHBOX28300"/>
        <s v="STIP / PENGHAPUS JOYKO 526-B20 PUTIHBOX34100"/>
        <s v="CLIP BULLDOG JOYKO 6-145LSN108900"/>
        <s v="GUNTING JOYKO SC-828PCS4350"/>
        <s v="GUNTING JOYKO SC-838PCS6500"/>
        <s v="GUNTING JOYKO SC-848PCS9750"/>
        <s v="PENSIL WARNA JOYKO CP-12PB (PANJANG)PCS10600"/>
        <s v="PENSIL WARNA JOYKO CP-S12 MINI (PENDEK)PCS6700"/>
        <s v="PENSIL WARNA JOYKO CP-24PB (PANJANG)PCS21200"/>
        <s v="CALCULATOR JOYKO DTC-1313CHPCS40000"/>
        <s v="GEL PEN TIZO 1.0 MM TG-340BI BIRULSN33000"/>
        <s v="GEL PEN TIZO TG31763-EL FANCYLSN18000"/>
        <s v="GEL PEN TIZO TG31035-E FANCYLSN18000"/>
        <s v="GEL PEN TIZO TG30802-E FANCYLSN18000"/>
        <s v="GEL PEN TIZO TG30801-E FANCYLSN18000"/>
        <s v="GEL PEN TIZO TG31590-E FANCYLSN18000"/>
        <s v="GEL PEN TIZO TG31762-E FANCYLSN18000"/>
        <s v="BINDER CLIP KENKO NO. 260GRS180000"/>
        <s v="STAND PEN SPIRAL KENKO STP-300SGLSN49200"/>
        <s v="GEL PEN KENKO HI-TECH-H 0.28 MM HITAMLSN39000"/>
        <s v="CORRECTION FLUID KENKO KE-01LSN54300"/>
        <s v="PENSIL KENKO 2B-6800 PLATINUMLSN8800"/>
        <s v="PUSH PIN KENKO PN-30 WARNALSN33000"/>
        <s v="PUNCH KENKO NO. 30XLPCS15000"/>
        <s v="CUTTER 18 MM JOYKO L-500 + ISI (BESAR)LSN162000"/>
        <s v="BINDER CLIP KENKO NO. 200GRS120000"/>
        <s v="BINDER CLIP KENKO NO. 260LSN15000"/>
        <s v="GEL PEN TIZO 1.0 MM TG-340 HITAMLSN35000"/>
        <s v="GEL PEN TIZO 1.0 MM TG-340BI BIRULSN35000"/>
        <s v="BALLPEN KENKO NK-7 / 7B HITAMLSN12000"/>
        <s v="LEM STICK JOYKO 8 GR GS-09 isi 12 pcBOX25200"/>
        <s v="LEM STICK JOYKO 15 GR GS-104 TG (ANIMAL KINGDOM) isi 24 pcBOX58800"/>
        <s v="STIP / PENGHAPUS JOYKO ER-B20BL HITAMBOX34100"/>
        <s v="STAPLER JOYKO HD-10LSN85200"/>
        <s v="JANGKA (MATH SET) JOYKO MS-402SET12000"/>
        <s v="BINDER NOTE JOYKO A5 (CAMPUS/CLASSIC)PCS15800"/>
        <s v="PENCIL CASE KENKO PC-0719 POLOSLSN57600"/>
        <s v="PENCIL CASE KENKO PC-0719 FANCYLSN57600"/>
        <s v="CALCULATOR JOYKO CC-8APCS47000"/>
        <s v="KUAS SET JOYKO BR-1SET8800"/>
        <s v="PAPER FASTENER (ACCO) KENKO PF-508 ISI 50 PC WARNAPAK9800"/>
        <s v="PAPER TRIGONAL CLIP KENKO NO. 3PAK1600"/>
        <s v="PAPER JUMBO CLIP KENKO NO. 5PAK4300"/>
        <s v="PENSIL WARNA JOYKO CP-S12 MINI (PENDEK)LSN80400"/>
        <s v="PUNCH KENKO NO. 30PCS13000"/>
        <s v="KENKO HIGHLIGHTER HL-100 HIJAUPCS3050"/>
        <s v="KENKO HIGHLIGHTER HL-100 PINKPCS3050"/>
        <s v="PAPER CLIP WARNA KENKO 3100LSN41400"/>
        <s v="GEL PEN ZHIXIN G-5001 + REFILLLSN18000"/>
        <s v="GEL PEN ZHIXIN G-3132 + REFILLLSN18000"/>
        <s v="GEL PEN ZHIXIN G-3136 + REFILLLSN18000"/>
        <s v="GEL PEN ZHIXIN G-5004 + REFILLLSN18000"/>
        <s v="GEL PEN JOYKO GP-266 ITECH 2 HITAMLSN27600"/>
        <s v="ISI BENSIA LANTU LT 11-32 (40 SET)PCS2750"/>
        <s v="PENSIL WARNA KENKO CP-12HALF CLASSIC (PENDEK)SET6600"/>
        <s v="PENSIL WARNA KENKO CP-24F CLASSIC (PANJANG)SET20700"/>
        <s v="GEL PEN VANCO GP-559 HI-TOUCH HITAMLSN26000"/>
        <s v="BUKU KAS KWARTOPCS9500"/>
        <s v="LOOSE LEAF JOYKO A5-7020 (50S)PAK3600"/>
        <s v="STIP / PENGHAPUS KENKO ERB-40SQ HITAMPAK27500"/>
        <s v="ISI CUTTER 9 MM KENKO A-100 (KECIL)LSN32400"/>
        <s v="BINDER CLIP KENKO NO. 105GRS28800"/>
        <s v="BINDER CLIP KENKO NO. 111GRS49200"/>
        <s v="PENSIL WARNA JOYKO CP-12PB (PANJANG)LSN127200"/>
        <s v="PUNCH KENKO NO. 85XLPCS59000"/>
        <s v="ISI STAPLER (STAPLES) KENKO 1210 PREMIUM (23/10)BOX 4200"/>
        <s v="STAMP PLATE DATER KENKO S-68 (Cap Lunas)LSN99600"/>
        <s v="CALCULATOR JOYKO CC-15APCS47000"/>
        <s v="CALCULATOR JOYKO CC-8CO WARNAPCS46000"/>
        <s v="CALCULATOR JOYKO CC-47CO WARNAPCS32500"/>
        <s v="BINDER CLIP KENKO NO. 155GRS69000"/>
        <s v="GEL PEN KENKO K-1 HITAMLSN39600"/>
        <s v="BENSIA SF-9939 A ISI 32 PC (LOVE DADU)BOX56000"/>
        <s v="PUNCH KENKO NO. 85NPCS42500"/>
        <s v="CUTTER 18 MM KENKO L-500 (BESAR)LSN147600"/>
        <s v="CORRECTION TAPE KENKO CT-919 (12M x 5MM)LSN55800"/>
        <s v="JANGKA (MATH SET) JOYKO MS-75LSN90600"/>
        <s v="JANGKA (MATH SET) JOYKO MS-25LSN89400"/>
        <s v="JANGKA (MATH SET) JOYKO MS-55LSN89400"/>
        <s v="STAND PEN SPIRAL KENKO STP-300SGLSN49800" u="1"/>
        <s v="KENKO HIGHLIGHTER HL-100PCS3050" u="1"/>
        <s v="GEL PEN GP-559 HI-TOUCH BLACKLSN26000" u="1"/>
        <s v="BINDER CLIP KENKO NO. 260GRS177000" u="1"/>
        <s v="STAPLER JOYKO HD-10CLLSN85200" u="1"/>
        <s v="GEL PEN TIZO TG31763-E FANCYLSN18000" u="1"/>
        <s v="PENSIL WARNA KENKO CP-12F CLASSIC (PANJANG)SET1035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x v="0"/>
    <n v="23030001"/>
    <d v="2023-03-03T00:00:00"/>
    <s v="KO"/>
    <s v="1182"/>
    <s v="ANUGERAH"/>
    <s v="AM 23030001"/>
    <s v="KO 1182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3"/>
    <n v="1"/>
    <n v="9300000"/>
    <n v="1255500"/>
    <n v="0"/>
    <n v="1255500"/>
    <n v="8044500"/>
    <n v="80445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30002"/>
    <d v="2023-03-03T00:00:00"/>
    <s v="KO"/>
    <s v="1097"/>
    <s v="CENTRAAL"/>
    <s v="AM 23030002"/>
    <s v="KO 1097"/>
    <s v="CV TRINITY CENTRAAL PURWOKERTO"/>
    <n v="24"/>
    <s v="PCS"/>
    <n v="1"/>
    <s v="OPJK72W"/>
    <s v="CRAYON / OIL PASTEL JOYKO OP-72S PP CASE SEA WORLD"/>
    <s v="CRAYON / OIL PASTEL JOYKO OP-72S PP CASE SEA WORLD"/>
    <n v="96000"/>
    <n v="0.13"/>
    <m/>
    <n v="2004480"/>
    <s v="NOVI / CONDRO"/>
    <m/>
    <n v="5"/>
    <n v="3"/>
    <n v="2304000"/>
    <n v="299520"/>
    <n v="0"/>
    <n v="299520"/>
    <n v="2004480"/>
    <n v="4048110"/>
    <m/>
    <x v="2"/>
  </r>
  <r>
    <x v="1"/>
    <s v=""/>
    <m/>
    <m/>
    <m/>
    <m/>
    <s v=""/>
    <s v=" "/>
    <s v=""/>
    <n v="5"/>
    <s v="GRS"/>
    <n v="1"/>
    <s v="CLIjk260"/>
    <s v="BINDER CLIP JOYKO 260"/>
    <s v="BINDER CLIP JOYKO 260"/>
    <n v="177000"/>
    <n v="0.13"/>
    <m/>
    <n v="769950"/>
    <m/>
    <m/>
    <n v="5"/>
    <n v="3"/>
    <n v="885000"/>
    <n v="115050"/>
    <n v="0"/>
    <n v="115050"/>
    <n v="769950"/>
    <s v=""/>
    <m/>
    <x v="3"/>
  </r>
  <r>
    <x v="1"/>
    <s v=""/>
    <m/>
    <m/>
    <m/>
    <m/>
    <s v=""/>
    <s v=" "/>
    <s v=""/>
    <n v="120"/>
    <s v="PCS"/>
    <n v="1"/>
    <m/>
    <s v=""/>
    <s v="PLAKBAND KAIN HITAM KENKO 48 MM (2&quot;) BLUE CORE"/>
    <n v="12200"/>
    <n v="0.13"/>
    <m/>
    <n v="1273680"/>
    <m/>
    <m/>
    <n v="5"/>
    <n v="3"/>
    <n v="1464000"/>
    <n v="190320"/>
    <n v="0"/>
    <n v="190320"/>
    <n v="127368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30003"/>
    <d v="2023-03-03T00:00:00"/>
    <s v="G"/>
    <s v="1012"/>
    <s v="REJOAGUNG"/>
    <s v="AM 23030003"/>
    <s v="G 1012"/>
    <s v="LILY JULIAWATI (REJO AGUNG) JOMBANG"/>
    <n v="180"/>
    <s v="LSN"/>
    <n v="3"/>
    <s v="ISIKENBESAR"/>
    <s v="ISI CUTTER 18 MM KENKO L-150 (BESAR)"/>
    <s v="ISI CUTTER 18 MM KENKO L-150 (BESAR)"/>
    <n v="64800"/>
    <n v="0.125"/>
    <m/>
    <n v="10206000"/>
    <s v="NOVI / CONDRO"/>
    <m/>
    <n v="9"/>
    <n v="1"/>
    <n v="11664000"/>
    <n v="1458000"/>
    <n v="0"/>
    <n v="1458000"/>
    <n v="10206000"/>
    <n v="10206000"/>
    <m/>
    <x v="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30004"/>
    <d v="2023-03-06T00:00:00"/>
    <s v="KO"/>
    <s v="1192"/>
    <s v="WISUDA"/>
    <s v="AM 23030004"/>
    <s v="KO 1192"/>
    <s v="CV  WISUDA PURWOKERTO"/>
    <n v="20"/>
    <s v="GRS"/>
    <m/>
    <s v="CLIJK105"/>
    <s v="BINDER CLIP JOYKO 105"/>
    <s v="BINDER CLIP JOYKO 105"/>
    <n v="27600"/>
    <n v="0.1"/>
    <m/>
    <n v="496800"/>
    <s v="NOVI / CONDRO"/>
    <m/>
    <n v="11"/>
    <n v="2"/>
    <n v="552000"/>
    <n v="55200"/>
    <n v="0"/>
    <n v="55200"/>
    <n v="496800"/>
    <n v="832140"/>
    <m/>
    <x v="6"/>
  </r>
  <r>
    <x v="1"/>
    <s v=""/>
    <m/>
    <m/>
    <m/>
    <m/>
    <s v=""/>
    <s v=" "/>
    <s v=""/>
    <n v="3"/>
    <s v="LSN"/>
    <m/>
    <s v="PWKEN12WPANJANG"/>
    <s v="PENSIL WARNA KENKO CP-12F CLASSIC (PANJANG)"/>
    <s v="PENSIL WARNA KENKO CP-12F CLASSIC (PANJANG)"/>
    <n v="124200"/>
    <n v="0.1"/>
    <m/>
    <n v="335340"/>
    <m/>
    <m/>
    <n v="11"/>
    <n v="2"/>
    <n v="372600"/>
    <n v="37260"/>
    <n v="0"/>
    <n v="37260"/>
    <n v="33534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30005"/>
    <d v="2023-03-06T00:00:00"/>
    <s v="KO"/>
    <s v="2906"/>
    <s v="CENTRAAL"/>
    <s v="AM 23030005"/>
    <s v="KO 2906"/>
    <s v="CV TRINITY CENTRAAL PURWOKERTO"/>
    <n v="36"/>
    <s v="BOX"/>
    <n v="1"/>
    <s v="LEMKEN8GR"/>
    <s v="LEM STICK KENKO 8 GR (KECIL) isi 30 pc"/>
    <s v="LEM STICK KENKO 8 GR (KECIL) isi 30 pc"/>
    <n v="66000"/>
    <n v="0.13"/>
    <m/>
    <n v="2067120"/>
    <s v="NOVI / CONDRO"/>
    <m/>
    <n v="14"/>
    <n v="2"/>
    <n v="2376000"/>
    <n v="308880"/>
    <n v="0"/>
    <n v="308880"/>
    <n v="2067120"/>
    <n v="4322160"/>
    <m/>
    <x v="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"/>
    <m/>
    <n v="2255040"/>
    <m/>
    <m/>
    <n v="14"/>
    <n v="2"/>
    <n v="2592000"/>
    <n v="336960"/>
    <n v="0"/>
    <n v="336960"/>
    <n v="225504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30006"/>
    <d v="2023-03-06T00:00:00"/>
    <s v="KO"/>
    <s v="2907"/>
    <s v="ANUGERAH"/>
    <s v="AM 23030006"/>
    <s v="KO 2907"/>
    <s v="CV PELITA JAYA (ANUGERAH SEJAHTERA) PURWOKERTO"/>
    <n v="36"/>
    <s v="BOX"/>
    <n v="1"/>
    <s v="LEMKEN8GR"/>
    <s v="LEM STICK KENKO 8 GR (KECIL) isi 30 pc"/>
    <s v="LEM STICK KENKO 8 GR (KECIL) isi 30 pc"/>
    <n v="66000"/>
    <n v="0.13500000000000001"/>
    <m/>
    <n v="2055240"/>
    <s v="NOVI / CONDRO"/>
    <m/>
    <n v="17"/>
    <n v="2"/>
    <n v="2376000"/>
    <n v="320760"/>
    <n v="0"/>
    <n v="320760"/>
    <n v="2055240"/>
    <n v="10126728"/>
    <m/>
    <x v="8"/>
  </r>
  <r>
    <x v="1"/>
    <s v=""/>
    <m/>
    <m/>
    <m/>
    <m/>
    <s v=""/>
    <s v=" "/>
    <s v=""/>
    <n v="432"/>
    <s v="LSN"/>
    <n v="3"/>
    <s v="PENKENKE303HITAM"/>
    <s v="GEL PEN KENKO KE-303 T-GEL TRIANGULAR HITAM"/>
    <s v="GEL PEN KENKO KE-303 T-GEL TRIANGULAR HITAM"/>
    <n v="21600"/>
    <n v="0.13500000000000001"/>
    <m/>
    <n v="8071488"/>
    <m/>
    <m/>
    <n v="17"/>
    <n v="2"/>
    <n v="9331200"/>
    <n v="1259712"/>
    <n v="0"/>
    <n v="1259712"/>
    <n v="8071488"/>
    <s v="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30007"/>
    <d v="2023-03-07T00:00:00"/>
    <s v="KO"/>
    <s v="2909"/>
    <s v="bendan"/>
    <s v="AM 23030007"/>
    <s v="KO 2909"/>
    <s v="HARNOYO (BENDAN) PEKALONGAN"/>
    <n v="600"/>
    <s v="PAK"/>
    <n v="6"/>
    <s v="ISIGWNO10"/>
    <s v="ISI STAPLER (STAPLES) GREATWALL GW-NO. 10 (KECIL)"/>
    <s v="ISI STAPLER (STAPLES) GREATWALL GW-NO. 10 (KECIL)"/>
    <n v="13250"/>
    <m/>
    <m/>
    <n v="7950000"/>
    <s v="NOVI / CONDRO"/>
    <m/>
    <n v="20"/>
    <n v="1"/>
    <n v="7950000"/>
    <n v="0"/>
    <n v="0"/>
    <n v="0"/>
    <n v="7950000"/>
    <n v="7950000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30008"/>
    <d v="2023-03-08T00:00:00"/>
    <s v="KO"/>
    <s v="1009"/>
    <s v="LANCAR"/>
    <s v="AM 23030008"/>
    <s v="KO 1009"/>
    <s v="SOEYANTO LOPULUSI ( LANCAR ) MALANG"/>
    <n v="288"/>
    <s v="SET"/>
    <n v="2"/>
    <s v="PWJK12WPANJANG"/>
    <s v="PENSIL WARNA JOYKO CP-12PB (PANJANG)"/>
    <s v="PENSIL WARNA JOYKO CP-12PB (PANJANG)"/>
    <n v="10600"/>
    <n v="0.125"/>
    <m/>
    <n v="2671200"/>
    <s v="NOVI / CONDRO"/>
    <m/>
    <n v="22"/>
    <n v="1"/>
    <n v="3052800"/>
    <n v="381600"/>
    <n v="0"/>
    <n v="381600"/>
    <n v="2671200"/>
    <n v="2671200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30009"/>
    <d v="2023-03-09T00:00:00"/>
    <s v="KO"/>
    <s v="0734"/>
    <s v="LANCAR"/>
    <s v="AM 23030009"/>
    <s v="KO 0734"/>
    <s v="SOEYANTO LOPULUSI ( LANCAR ) MALANG"/>
    <n v="80"/>
    <s v="LSN"/>
    <n v="2"/>
    <s v="TIPJKCT533"/>
    <s v="CORRECTION TAPE JOYKO CT-533"/>
    <s v="CORRECTION TAPE JOYKO CT-533"/>
    <n v="102000"/>
    <n v="0.125"/>
    <m/>
    <n v="7140000"/>
    <s v="NOVI / CONDRO"/>
    <m/>
    <n v="24"/>
    <n v="2"/>
    <n v="8160000"/>
    <n v="1020000"/>
    <n v="0"/>
    <n v="1020000"/>
    <n v="7140000"/>
    <n v="8499750"/>
    <m/>
    <x v="13"/>
  </r>
  <r>
    <x v="1"/>
    <s v=""/>
    <m/>
    <m/>
    <m/>
    <m/>
    <s v=""/>
    <s v=" "/>
    <s v=""/>
    <n v="10"/>
    <s v="LSN"/>
    <n v="1"/>
    <s v="PUNJK30XL"/>
    <s v="PUNCH JOYKO 30XL"/>
    <s v="PUNCH JOYKO 30XL"/>
    <n v="155400"/>
    <n v="0.125"/>
    <m/>
    <n v="1359750"/>
    <m/>
    <m/>
    <n v="24"/>
    <n v="2"/>
    <n v="1554000"/>
    <n v="194250"/>
    <n v="0"/>
    <n v="194250"/>
    <n v="1359750"/>
    <s v="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30010"/>
    <d v="2023-03-10T00:00:00"/>
    <s v="KO"/>
    <s v="1224"/>
    <s v="CENTRAAL"/>
    <s v="AM 23030010"/>
    <s v="KO 1224"/>
    <s v="CV TRINITY CENTRAAL PURWOKERTO"/>
    <n v="48"/>
    <s v="LSN"/>
    <m/>
    <s v="PENKENEASYGEL"/>
    <s v="GEL PEN KENKO EASY GEL"/>
    <s v="GEL PEN KENKO EASY GEL"/>
    <n v="26100"/>
    <n v="0.13"/>
    <m/>
    <n v="1089936"/>
    <s v="NOVI / CONDRO"/>
    <m/>
    <n v="27"/>
    <n v="1"/>
    <n v="1252800"/>
    <n v="162864"/>
    <n v="0"/>
    <n v="162864"/>
    <n v="1089936"/>
    <n v="1089936"/>
    <m/>
    <x v="1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30011"/>
    <d v="2023-03-11T00:00:00"/>
    <s v="G"/>
    <s v="2966"/>
    <s v="UTAMA"/>
    <s v="AM 23030011"/>
    <s v="G 2966"/>
    <s v="CV UTAMA PUTRA TULUNG AGUNG"/>
    <n v="35"/>
    <s v="LSN"/>
    <m/>
    <s v="penkenhitech028funcolorbiru"/>
    <s v="GEL PEN KENKO HI-TECH-H 0.28 MM FUN COLOR BIRU"/>
    <s v="GEL PEN KENKO HI-TECH-H 0.28 MM FUN COLOR BIRU"/>
    <n v="39000"/>
    <n v="0.125"/>
    <m/>
    <n v="1194375"/>
    <s v="NOVI / CONDRO"/>
    <m/>
    <n v="29"/>
    <n v="1"/>
    <n v="1365000"/>
    <n v="170625"/>
    <n v="0"/>
    <n v="170625"/>
    <n v="1194375"/>
    <n v="1194375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2"/>
    <n v="23030012"/>
    <d v="2023-03-13T00:00:00"/>
    <s v="KO"/>
    <s v="2970"/>
    <s v="ANUGERAH"/>
    <s v="AM 23030012"/>
    <s v="KO 297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31"/>
    <n v="2"/>
    <n v="4560000"/>
    <n v="615600"/>
    <n v="0"/>
    <n v="615600"/>
    <n v="3944400"/>
    <n v="5371650"/>
    <m/>
    <x v="17"/>
  </r>
  <r>
    <x v="1"/>
    <s v=""/>
    <m/>
    <m/>
    <m/>
    <m/>
    <s v=""/>
    <s v=" "/>
    <s v=""/>
    <n v="500"/>
    <s v="PCS"/>
    <n v="1"/>
    <s v="ISIJK2BARIS"/>
    <e v="#N/A"/>
    <s v="LABEL HARGA JOYKO LB-P2CC (2 LINE, CAH-CAH)"/>
    <n v="3300"/>
    <n v="0.13500000000000001"/>
    <m/>
    <n v="1427250"/>
    <m/>
    <m/>
    <n v="31"/>
    <n v="2"/>
    <n v="1650000"/>
    <n v="222750.00000000003"/>
    <n v="0"/>
    <n v="222750.00000000003"/>
    <n v="1427250"/>
    <s v=""/>
    <m/>
    <x v="1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3"/>
    <n v="23030013"/>
    <d v="2023-03-13T00:00:00"/>
    <s v="KO"/>
    <s v="2977"/>
    <s v="CENTRAAL"/>
    <s v="AM 23030013"/>
    <s v="KO 2977"/>
    <s v="CV TRINITY CENTRAAL PURWOKERTO"/>
    <n v="24"/>
    <s v="PCS"/>
    <n v="1"/>
    <s v="OPJK48W"/>
    <s v="CRAYON / OIL PASTEL JOYKO OP-48S PP CASE SEA WORLD"/>
    <s v="CRAYON / OIL PASTEL JOYKO OP-48S PP CASE SEA WORLD"/>
    <n v="58900"/>
    <n v="0.13"/>
    <m/>
    <n v="1229832"/>
    <s v="NOVI / CONDRO"/>
    <m/>
    <n v="34"/>
    <n v="1"/>
    <n v="1413600"/>
    <n v="183768"/>
    <n v="0"/>
    <n v="183768"/>
    <n v="1229832"/>
    <n v="1229832"/>
    <m/>
    <x v="1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4"/>
    <n v="23030014"/>
    <d v="2023-03-13T00:00:00"/>
    <s v="KO"/>
    <s v="2981"/>
    <s v="bendan"/>
    <s v="AM 23030014"/>
    <s v="KO 2981"/>
    <s v="HARNOYO (BENDAN) PEKALONGAN"/>
    <n v="500"/>
    <s v="PCS"/>
    <m/>
    <s v="CLIKEN1"/>
    <s v="PAPER TRIGONAL CLIP KENKO NO. 1"/>
    <s v="PAPER TRIGONAL CLIP KENKO NO. 1"/>
    <n v="1700"/>
    <n v="0.14000000000000001"/>
    <m/>
    <n v="731000"/>
    <s v="NOVI / CONDRO"/>
    <m/>
    <n v="36"/>
    <n v="2"/>
    <n v="850000"/>
    <n v="119000.00000000001"/>
    <n v="0"/>
    <n v="119000.00000000001"/>
    <n v="731000"/>
    <n v="1071560"/>
    <m/>
    <x v="20"/>
  </r>
  <r>
    <x v="1"/>
    <s v=""/>
    <m/>
    <m/>
    <m/>
    <m/>
    <s v=""/>
    <s v=" "/>
    <s v=""/>
    <n v="12"/>
    <s v="LSN"/>
    <m/>
    <s v="PUSKENPN30"/>
    <s v="PUSH PIN KENKO PN-30 WARNA"/>
    <s v="PUSH PIN KENKO PN-30"/>
    <n v="33000"/>
    <n v="0.14000000000000001"/>
    <m/>
    <n v="340560"/>
    <m/>
    <m/>
    <n v="36"/>
    <n v="2"/>
    <n v="396000"/>
    <n v="55440.000000000007"/>
    <n v="0"/>
    <n v="55440.000000000007"/>
    <n v="34056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5"/>
    <n v="23030015"/>
    <d v="2023-03-14T00:00:00"/>
    <s v="KO"/>
    <s v="2985"/>
    <s v="ANUGERAH"/>
    <s v="AM 23030015"/>
    <s v="KO 2985"/>
    <s v="CV PELITA JAYA (ANUGERAH SEJAHTERA) PURWOKERTO"/>
    <n v="288"/>
    <s v="LSN"/>
    <n v="2"/>
    <s v="PENKENEASYGEL"/>
    <s v="GEL PEN KENKO EASY GEL"/>
    <s v="GEL PEN KENKO EASY GEL"/>
    <n v="26100"/>
    <n v="0.13500000000000001"/>
    <m/>
    <n v="6502032"/>
    <s v="NOVI / CONDRO"/>
    <m/>
    <n v="39"/>
    <n v="1"/>
    <n v="7516800"/>
    <n v="1014768.0000000001"/>
    <n v="0"/>
    <n v="1014768.0000000001"/>
    <n v="6502032"/>
    <n v="6502032"/>
    <m/>
    <x v="1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6"/>
    <n v="23030016"/>
    <d v="2023-03-15T00:00:00"/>
    <s v="G"/>
    <n v="2989"/>
    <s v="REJOAGUNG"/>
    <s v="AM 23030016"/>
    <s v="G 2989"/>
    <s v="LILY JULIAWATI (REJO AGUNG) JOMBANG"/>
    <n v="288"/>
    <s v="LSN"/>
    <n v="3"/>
    <s v="PENTG340HITAM"/>
    <e v="#N/A"/>
    <s v="GEL PEN TIZO 1.0 MM TG-340 HITAM"/>
    <n v="33000"/>
    <m/>
    <m/>
    <n v="9504000"/>
    <s v="NOVI / CONDRO"/>
    <m/>
    <n v="41"/>
    <n v="2"/>
    <n v="9504000"/>
    <n v="0"/>
    <n v="0"/>
    <n v="0"/>
    <n v="9504000"/>
    <n v="11216000"/>
    <m/>
    <x v="22"/>
  </r>
  <r>
    <x v="1"/>
    <s v=""/>
    <m/>
    <m/>
    <m/>
    <m/>
    <s v=""/>
    <s v=" "/>
    <s v=""/>
    <n v="32"/>
    <s v="BOX"/>
    <n v="1"/>
    <s v="STATF616"/>
    <e v="#N/A"/>
    <s v="HIGHLIGHTER / STABILLO TIZO TF-616 (isi 24 pc)"/>
    <n v="53500"/>
    <m/>
    <m/>
    <n v="1712000"/>
    <m/>
    <m/>
    <n v="41"/>
    <n v="2"/>
    <n v="1712000"/>
    <n v="0"/>
    <n v="0"/>
    <n v="0"/>
    <n v="1712000"/>
    <s v="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7"/>
    <n v="23030017"/>
    <d v="2023-03-15T00:00:00"/>
    <s v="KO"/>
    <s v="0748"/>
    <s v="LANCAR"/>
    <s v="AM 23030017"/>
    <s v="KO 0748"/>
    <s v="SOEYANTO LOPULUSI ( LANCAR ) MALANG"/>
    <n v="100"/>
    <s v="LSN"/>
    <n v="5"/>
    <s v="STAJKHD10CL"/>
    <s v="STAPLER JOYKO HD-10CL"/>
    <s v="STAPLER JOYKO HD-10CL"/>
    <n v="84000"/>
    <n v="0.125"/>
    <m/>
    <n v="7350000"/>
    <s v="NOVI / CONDRO"/>
    <m/>
    <n v="44"/>
    <n v="10"/>
    <n v="8400000"/>
    <n v="1050000"/>
    <n v="0"/>
    <n v="1050000"/>
    <n v="7350000"/>
    <n v="28078400"/>
    <m/>
    <x v="24"/>
  </r>
  <r>
    <x v="1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4"/>
    <n v="10"/>
    <n v="5660000"/>
    <n v="707500"/>
    <n v="0"/>
    <n v="707500"/>
    <n v="4952500"/>
    <s v=""/>
    <m/>
    <x v="25"/>
  </r>
  <r>
    <x v="1"/>
    <s v=""/>
    <m/>
    <m/>
    <m/>
    <m/>
    <s v=""/>
    <s v=" "/>
    <s v=""/>
    <n v="100"/>
    <s v="BOX"/>
    <n v="2"/>
    <s v="STIJK20PUTIH"/>
    <s v="STIP / PENGHAPUS JOYKO 526-B20 PUTIH"/>
    <s v="STIP / PENGHAPUS JOYKO 526-B20 PUTIH"/>
    <n v="34100"/>
    <n v="0.125"/>
    <m/>
    <n v="2983750"/>
    <m/>
    <m/>
    <n v="44"/>
    <n v="10"/>
    <n v="3410000"/>
    <n v="426250"/>
    <n v="0"/>
    <n v="426250"/>
    <n v="2983750"/>
    <s v=""/>
    <m/>
    <x v="26"/>
  </r>
  <r>
    <x v="1"/>
    <s v=""/>
    <m/>
    <m/>
    <m/>
    <m/>
    <s v=""/>
    <s v=" "/>
    <s v=""/>
    <n v="20"/>
    <s v="LSN"/>
    <n v="1"/>
    <s v="CLIJKBULLDOG6"/>
    <s v="CLIP BULLDOG JOYKO 6-145"/>
    <s v="CLIP BULLDOG JOYKO 6-145"/>
    <n v="108900"/>
    <n v="0.125"/>
    <m/>
    <n v="1905750"/>
    <m/>
    <m/>
    <n v="44"/>
    <n v="10"/>
    <n v="2178000"/>
    <n v="272250"/>
    <n v="0"/>
    <n v="272250"/>
    <n v="1905750"/>
    <s v=""/>
    <m/>
    <x v="27"/>
  </r>
  <r>
    <x v="1"/>
    <s v=""/>
    <m/>
    <m/>
    <m/>
    <m/>
    <s v=""/>
    <s v=" "/>
    <s v=""/>
    <n v="288"/>
    <s v="PCS"/>
    <n v="2"/>
    <s v="GUNJKSC828"/>
    <s v="GUNTING JOYKO SC-828"/>
    <s v="GUNTING JOYKO SC-828"/>
    <n v="4350"/>
    <n v="0.125"/>
    <m/>
    <n v="1096200"/>
    <m/>
    <m/>
    <n v="44"/>
    <n v="10"/>
    <n v="1252800"/>
    <n v="156600"/>
    <n v="0"/>
    <n v="156600"/>
    <n v="1096200"/>
    <s v=""/>
    <m/>
    <x v="28"/>
  </r>
  <r>
    <x v="1"/>
    <s v=""/>
    <m/>
    <m/>
    <m/>
    <m/>
    <s v=""/>
    <s v=" "/>
    <s v=""/>
    <n v="288"/>
    <s v="PCS"/>
    <n v="2"/>
    <s v="GUNJKSC838"/>
    <s v="GUNTING JOYKO SC-838"/>
    <s v="GUNTING JOYKO SC-838"/>
    <n v="6500"/>
    <n v="0.125"/>
    <m/>
    <n v="1638000"/>
    <m/>
    <m/>
    <n v="44"/>
    <n v="10"/>
    <n v="1872000"/>
    <n v="234000"/>
    <n v="0"/>
    <n v="234000"/>
    <n v="1638000"/>
    <s v=""/>
    <m/>
    <x v="29"/>
  </r>
  <r>
    <x v="1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44"/>
    <n v="10"/>
    <n v="2808000"/>
    <n v="351000"/>
    <n v="0"/>
    <n v="351000"/>
    <n v="2457000"/>
    <s v=""/>
    <m/>
    <x v="30"/>
  </r>
  <r>
    <x v="1"/>
    <s v=""/>
    <m/>
    <m/>
    <m/>
    <m/>
    <s v=""/>
    <s v=" "/>
    <s v=""/>
    <n v="288"/>
    <s v="PCS"/>
    <n v="2"/>
    <s v="PWJK12WPANJANG"/>
    <s v="PENSIL WARNA JOYKO CP-12PB (PANJANG)"/>
    <s v="PENSIL WARNA JOYKO CP-12PB (PANJANG)"/>
    <n v="10600"/>
    <n v="0.125"/>
    <m/>
    <n v="2671200"/>
    <m/>
    <m/>
    <n v="44"/>
    <n v="10"/>
    <n v="3052800"/>
    <n v="381600"/>
    <n v="0"/>
    <n v="381600"/>
    <n v="2671200"/>
    <s v=""/>
    <m/>
    <x v="31"/>
  </r>
  <r>
    <x v="1"/>
    <s v=""/>
    <m/>
    <m/>
    <m/>
    <m/>
    <s v=""/>
    <s v=" "/>
    <s v=""/>
    <n v="288"/>
    <s v="PCS"/>
    <n v="1"/>
    <s v="PWJK12WPENDEK"/>
    <s v="PENSIL WARNA JOYKO CP-S12 MINI (PENDEK)"/>
    <s v="PENSIL WARNA JOYKO CP-S12 MINI (PENDEK)"/>
    <n v="6700"/>
    <n v="0.125"/>
    <m/>
    <n v="1688400"/>
    <m/>
    <m/>
    <n v="44"/>
    <n v="10"/>
    <n v="1929600"/>
    <n v="241200"/>
    <n v="0"/>
    <n v="241200"/>
    <n v="1688400"/>
    <s v=""/>
    <m/>
    <x v="32"/>
  </r>
  <r>
    <x v="1"/>
    <s v=""/>
    <m/>
    <m/>
    <m/>
    <m/>
    <s v=""/>
    <s v=" "/>
    <s v=""/>
    <n v="72"/>
    <s v="PCS"/>
    <n v="1"/>
    <s v="PWJK24WPANJANG"/>
    <s v="PENSIL WARNA JOYKO CP-24PB (PANJANG)"/>
    <s v="PENSIL WARNA JOYKO CP-24PB (PANJANG)"/>
    <n v="21200"/>
    <n v="0.125"/>
    <m/>
    <n v="1335600"/>
    <m/>
    <m/>
    <n v="44"/>
    <n v="10"/>
    <n v="1526400"/>
    <n v="190800"/>
    <n v="0"/>
    <n v="190800"/>
    <n v="1335600"/>
    <s v=""/>
    <m/>
    <x v="3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8"/>
    <n v="23030018"/>
    <d v="2023-03-15T00:00:00"/>
    <s v="G"/>
    <s v="2991"/>
    <s v="REJOAGUNG"/>
    <s v="AM 23030018"/>
    <s v="G 2991"/>
    <s v="LILY JULIAWATI (REJO AGUNG) JOMBANG"/>
    <n v="240"/>
    <s v="PCS"/>
    <n v="2"/>
    <s v="CALJKDTC1313CH"/>
    <s v="CALCULATOR JOYKO DTC-1313CH"/>
    <s v="CALCULATOR JOYKO DTC-1313CH"/>
    <n v="40000"/>
    <n v="0.125"/>
    <m/>
    <n v="8400000"/>
    <s v="NOVI / CONDRO"/>
    <m/>
    <n v="55"/>
    <n v="1"/>
    <n v="9600000"/>
    <n v="1200000"/>
    <n v="0"/>
    <n v="1200000"/>
    <n v="8400000"/>
    <n v="8400000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9"/>
    <n v="23030019"/>
    <d v="2023-03-16T00:00:00"/>
    <s v="G"/>
    <s v="2998"/>
    <s v="REJOAGUNG"/>
    <s v="AM 23030019"/>
    <s v="G 2998"/>
    <s v="LILY JULIAWATI (REJO AGUNG) JOMBANG"/>
    <n v="192"/>
    <s v="LSN"/>
    <n v="2"/>
    <s v="PENTG340biru"/>
    <s v="GEL PEN TIZO 1.0 MM TG-340BI BIRU"/>
    <s v="GEL PEN TIZO 1.0 MM TG-340BI BIRU"/>
    <n v="33000"/>
    <m/>
    <m/>
    <n v="6336000"/>
    <s v="NOVI / CONDRO"/>
    <m/>
    <n v="57"/>
    <n v="1"/>
    <n v="6336000"/>
    <n v="0"/>
    <n v="0"/>
    <n v="0"/>
    <n v="6336000"/>
    <n v="63360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0"/>
    <n v="23030020"/>
    <d v="2023-03-17T00:00:00"/>
    <s v="N"/>
    <s v="1302"/>
    <s v="RENI"/>
    <s v="AM 23030020"/>
    <s v="N 1302"/>
    <s v="RENI (JATI MULYO) KEBUMEN"/>
    <n v="144"/>
    <s v="LSN"/>
    <n v="1"/>
    <m/>
    <s v=""/>
    <s v="GEL PEN TIZO TG31763-EL FANCY"/>
    <n v="18000"/>
    <m/>
    <m/>
    <n v="2592000"/>
    <s v="NOVI / CONDRO"/>
    <m/>
    <n v="59"/>
    <n v="6"/>
    <n v="2592000"/>
    <n v="0"/>
    <n v="0"/>
    <n v="0"/>
    <n v="2592000"/>
    <n v="15552000"/>
    <m/>
    <x v="36"/>
  </r>
  <r>
    <x v="1"/>
    <s v=""/>
    <m/>
    <m/>
    <m/>
    <m/>
    <s v=""/>
    <s v=" "/>
    <s v=""/>
    <n v="144"/>
    <s v="LSN"/>
    <n v="1"/>
    <m/>
    <s v=""/>
    <s v="GEL PEN TIZO TG31035-E FANCY"/>
    <n v="18000"/>
    <m/>
    <m/>
    <n v="2592000"/>
    <m/>
    <m/>
    <n v="59"/>
    <n v="6"/>
    <n v="2592000"/>
    <n v="0"/>
    <n v="0"/>
    <n v="0"/>
    <n v="2592000"/>
    <s v=""/>
    <m/>
    <x v="37"/>
  </r>
  <r>
    <x v="1"/>
    <s v=""/>
    <m/>
    <m/>
    <m/>
    <m/>
    <s v=""/>
    <s v=" "/>
    <s v=""/>
    <n v="144"/>
    <s v="LSN"/>
    <n v="1"/>
    <m/>
    <s v=""/>
    <s v="GEL PEN TIZO TG30802-E FANCY"/>
    <n v="18000"/>
    <m/>
    <m/>
    <n v="2592000"/>
    <m/>
    <m/>
    <n v="59"/>
    <n v="6"/>
    <n v="2592000"/>
    <n v="0"/>
    <n v="0"/>
    <n v="0"/>
    <n v="2592000"/>
    <s v=""/>
    <m/>
    <x v="38"/>
  </r>
  <r>
    <x v="1"/>
    <s v=""/>
    <m/>
    <m/>
    <m/>
    <m/>
    <s v=""/>
    <s v=" "/>
    <s v=""/>
    <n v="144"/>
    <s v="LSN"/>
    <n v="1"/>
    <m/>
    <s v=""/>
    <s v="GEL PEN TIZO TG30801-E FANCY"/>
    <n v="18000"/>
    <m/>
    <m/>
    <n v="2592000"/>
    <m/>
    <m/>
    <n v="59"/>
    <n v="6"/>
    <n v="2592000"/>
    <n v="0"/>
    <n v="0"/>
    <n v="0"/>
    <n v="2592000"/>
    <s v=""/>
    <m/>
    <x v="39"/>
  </r>
  <r>
    <x v="1"/>
    <s v=""/>
    <m/>
    <m/>
    <m/>
    <m/>
    <s v=""/>
    <s v=" "/>
    <s v=""/>
    <n v="144"/>
    <s v="LSN"/>
    <n v="1"/>
    <m/>
    <s v=""/>
    <s v="GEL PEN TIZO TG31590-E FANCY"/>
    <n v="18000"/>
    <m/>
    <m/>
    <n v="2592000"/>
    <m/>
    <m/>
    <n v="59"/>
    <n v="6"/>
    <n v="2592000"/>
    <n v="0"/>
    <n v="0"/>
    <n v="0"/>
    <n v="2592000"/>
    <s v=""/>
    <m/>
    <x v="40"/>
  </r>
  <r>
    <x v="1"/>
    <s v=""/>
    <m/>
    <m/>
    <m/>
    <m/>
    <s v=""/>
    <s v=" "/>
    <s v=""/>
    <n v="144"/>
    <s v="LSN"/>
    <n v="1"/>
    <m/>
    <s v=""/>
    <s v="GEL PEN TIZO TG31762-E FANCY"/>
    <n v="18000"/>
    <m/>
    <m/>
    <n v="2592000"/>
    <m/>
    <m/>
    <n v="59"/>
    <n v="6"/>
    <n v="2592000"/>
    <n v="0"/>
    <n v="0"/>
    <n v="0"/>
    <n v="2592000"/>
    <s v=""/>
    <m/>
    <x v="4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1"/>
    <n v="23030021"/>
    <d v="2023-03-17T00:00:00"/>
    <s v="KO"/>
    <s v="1307"/>
    <s v="WISUDA"/>
    <s v="AM 23030021"/>
    <s v="KO 1307"/>
    <s v="CV  WISUDA PURWOKERTO"/>
    <n v="5"/>
    <s v="GRS"/>
    <n v="1"/>
    <s v="CLIKEN260"/>
    <s v="BINDER CLIP KENKO NO. 260"/>
    <s v="BINDER CLIP KENKO NO. 260"/>
    <n v="180000"/>
    <n v="0.1"/>
    <m/>
    <n v="810000"/>
    <s v="NOVI / CONDRO"/>
    <m/>
    <n v="66"/>
    <n v="1"/>
    <n v="900000"/>
    <n v="90000"/>
    <n v="0"/>
    <n v="90000"/>
    <n v="810000"/>
    <n v="810000"/>
    <m/>
    <x v="4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2"/>
    <n v="23030022"/>
    <d v="2023-03-17T00:00:00"/>
    <s v="KO"/>
    <s v="1232"/>
    <s v="DWIJAYA"/>
    <s v="AM 23030022"/>
    <s v="KO 1232"/>
    <s v="CV DWI JAYA YOGYAKARTA"/>
    <n v="5"/>
    <s v="LSN"/>
    <m/>
    <s v="PENKENSTP300SG"/>
    <s v="STAND PEN SPIRAL KENKO STP-300SG"/>
    <s v="STAND PEN SPIRAL KENKO STP-300SG"/>
    <n v="49200"/>
    <n v="0.1"/>
    <m/>
    <n v="221400"/>
    <s v="NOVI / CONDRO"/>
    <m/>
    <n v="68"/>
    <n v="5"/>
    <n v="246000"/>
    <n v="24600"/>
    <n v="0"/>
    <n v="24600"/>
    <n v="221400"/>
    <n v="1319400"/>
    <m/>
    <x v="43"/>
  </r>
  <r>
    <x v="1"/>
    <s v=""/>
    <m/>
    <m/>
    <m/>
    <m/>
    <s v=""/>
    <s v=" "/>
    <s v=""/>
    <n v="12"/>
    <s v="LSN"/>
    <m/>
    <s v="penkenhitech028HITAM"/>
    <s v="GEL PEN KENKO HI-TECH-H 0.28 MM HITAM"/>
    <s v="GEL PEN KENKO HI-TECH-H 0.28 MM HITAM"/>
    <n v="39000"/>
    <n v="0.1"/>
    <m/>
    <n v="421200"/>
    <m/>
    <m/>
    <n v="68"/>
    <n v="5"/>
    <n v="468000"/>
    <n v="46800"/>
    <n v="0"/>
    <n v="46800"/>
    <n v="421200"/>
    <s v=""/>
    <m/>
    <x v="44"/>
  </r>
  <r>
    <x v="1"/>
    <s v=""/>
    <m/>
    <m/>
    <m/>
    <m/>
    <s v=""/>
    <s v=" "/>
    <s v=""/>
    <n v="10"/>
    <s v="LSN"/>
    <m/>
    <s v="TIPKENKE01"/>
    <s v="CORRECTION FLUID KENKO KE-01"/>
    <s v="CORRECTION FLUID KENKO KE-01"/>
    <n v="54300"/>
    <n v="0.1"/>
    <m/>
    <n v="488700"/>
    <m/>
    <m/>
    <n v="68"/>
    <n v="5"/>
    <n v="543000"/>
    <n v="54300"/>
    <n v="0"/>
    <n v="54300"/>
    <n v="488700"/>
    <s v=""/>
    <m/>
    <x v="45"/>
  </r>
  <r>
    <x v="1"/>
    <s v=""/>
    <m/>
    <m/>
    <m/>
    <m/>
    <s v=""/>
    <s v=" "/>
    <s v=""/>
    <n v="5"/>
    <s v="LSN"/>
    <m/>
    <s v="PENKEN6800"/>
    <s v="PENSIL KENKO 2B-6800 PLATINUM"/>
    <s v="PENSIL KENKO 2B-6800 PLATINUM"/>
    <n v="8800"/>
    <n v="0.1"/>
    <m/>
    <n v="39600"/>
    <m/>
    <m/>
    <n v="68"/>
    <n v="5"/>
    <n v="44000"/>
    <n v="4400"/>
    <n v="0"/>
    <n v="4400"/>
    <n v="39600"/>
    <s v=""/>
    <m/>
    <x v="46"/>
  </r>
  <r>
    <x v="1"/>
    <s v=""/>
    <m/>
    <m/>
    <m/>
    <m/>
    <s v=""/>
    <s v=" "/>
    <s v=""/>
    <n v="5"/>
    <s v="LSN"/>
    <m/>
    <s v="PUSKENPN30"/>
    <s v="PUSH PIN KENKO PN-30 WARNA"/>
    <s v="PUSH PIN KENKO PN-30 WARNA"/>
    <n v="33000"/>
    <n v="0.1"/>
    <m/>
    <n v="148500"/>
    <m/>
    <m/>
    <n v="68"/>
    <n v="5"/>
    <n v="165000"/>
    <n v="16500"/>
    <n v="0"/>
    <n v="16500"/>
    <n v="148500"/>
    <s v=""/>
    <m/>
    <x v="4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3"/>
    <n v="23030023"/>
    <d v="2023-03-18T00:00:00"/>
    <s v="KO"/>
    <s v="1318"/>
    <s v="ARMADA"/>
    <s v="AM 23030023"/>
    <s v="KO 1318"/>
    <s v="SANTOSO BUDIONO (  ARMADA  ) PURWOKERTO"/>
    <n v="60"/>
    <s v="LSN"/>
    <n v="1"/>
    <s v="ISIKENBESAR"/>
    <s v="ISI CUTTER 18 MM KENKO L-150 (BESAR)"/>
    <s v="ISI CUTTER 18 MM KENKO L-150 (BESAR)"/>
    <n v="64800"/>
    <n v="0.13"/>
    <m/>
    <n v="3382560"/>
    <s v="NOVI / CONDRO"/>
    <m/>
    <n v="74"/>
    <n v="1"/>
    <n v="3888000"/>
    <n v="505440"/>
    <n v="0"/>
    <n v="505440"/>
    <n v="3382560"/>
    <n v="3382560"/>
    <m/>
    <x v="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4"/>
    <n v="23030024"/>
    <d v="2023-03-20T00:00:00"/>
    <s v="KO"/>
    <s v="1324"/>
    <s v="ANUGERAH"/>
    <s v="AM 23030024"/>
    <s v="KO 1324"/>
    <s v="CV PELITA JAYA (ANUGERAH SEJAHTERA) PURWOKERTO"/>
    <n v="96"/>
    <s v="PCS"/>
    <n v="1"/>
    <s v="PUNKEN30XL"/>
    <s v="PUNCH KENKO NO. 30XL"/>
    <s v="PUNCH KENKO NO. 30XL"/>
    <n v="15000"/>
    <n v="0.13500000000000001"/>
    <m/>
    <n v="1245600"/>
    <s v="NOVI / CONDRO"/>
    <m/>
    <n v="76"/>
    <n v="1"/>
    <n v="1440000"/>
    <n v="194400"/>
    <n v="0"/>
    <n v="194400"/>
    <n v="1245600"/>
    <n v="1245600"/>
    <m/>
    <x v="4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5"/>
    <n v="23030025"/>
    <d v="2023-03-21T00:00:00"/>
    <s v="G"/>
    <s v="1330"/>
    <s v="REJOAGUNG"/>
    <s v="AM 23030025"/>
    <s v="G 1330"/>
    <s v="LILY JULIAWATI (REJO AGUNG) JOMBANG"/>
    <n v="60"/>
    <s v="LSN"/>
    <n v="1"/>
    <s v="ISIKENBESAR"/>
    <s v="ISI CUTTER 18 MM KENKO L-150 (BESAR)"/>
    <s v="ISI CUTTER 18 MM KENKO L-150 (BESAR)"/>
    <n v="64800"/>
    <n v="0.125"/>
    <m/>
    <n v="3402000"/>
    <s v="NOVI / CONDRO"/>
    <m/>
    <n v="79"/>
    <n v="1"/>
    <n v="3888000"/>
    <n v="486000"/>
    <n v="0"/>
    <n v="486000"/>
    <n v="3402000"/>
    <n v="3402000"/>
    <m/>
    <x v="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6"/>
    <n v="23030026"/>
    <d v="2023-03-23T00:00:00"/>
    <s v="KO"/>
    <s v="1332"/>
    <s v="GANESHA"/>
    <s v="AM 23030026"/>
    <s v="KO 1332"/>
    <s v="CV GANESHA WONOSOBO"/>
    <n v="5"/>
    <s v="LSN"/>
    <m/>
    <s v="CUTJKL500"/>
    <s v="CUTTER 18 MM JOYKO L-500 + ISI (BESAR)"/>
    <s v="CUTTER 18 MM JOYKO L-500 + ISI (BESAR)"/>
    <n v="162000"/>
    <n v="0.1"/>
    <m/>
    <n v="729000"/>
    <s v="NOVI / CONDRO"/>
    <m/>
    <n v="81"/>
    <n v="5"/>
    <n v="810000"/>
    <n v="81000"/>
    <n v="0"/>
    <n v="81000"/>
    <n v="729000"/>
    <n v="1748000"/>
    <m/>
    <x v="49"/>
  </r>
  <r>
    <x v="1"/>
    <s v=""/>
    <m/>
    <m/>
    <m/>
    <m/>
    <s v=""/>
    <s v=" "/>
    <s v=""/>
    <n v="2"/>
    <s v="GRS"/>
    <m/>
    <s v="CLIKEN200"/>
    <s v="BINDER CLIP KENKO NO. 200"/>
    <s v="BINDER CLIP KENKO NO. 200"/>
    <n v="120000"/>
    <n v="0.1"/>
    <m/>
    <n v="216000"/>
    <m/>
    <m/>
    <n v="81"/>
    <n v="5"/>
    <n v="240000"/>
    <n v="24000"/>
    <n v="0"/>
    <n v="24000"/>
    <n v="216000"/>
    <s v=""/>
    <m/>
    <x v="50"/>
  </r>
  <r>
    <x v="1"/>
    <s v=""/>
    <m/>
    <m/>
    <m/>
    <m/>
    <s v=""/>
    <s v=" "/>
    <s v=""/>
    <n v="18"/>
    <s v="LSN"/>
    <m/>
    <s v="CLIKEN260"/>
    <s v="BINDER CLIP KENKO NO. 260"/>
    <s v="BINDER CLIP KENKO NO. 260"/>
    <n v="15000"/>
    <n v="0.1"/>
    <m/>
    <n v="243000"/>
    <m/>
    <m/>
    <n v="81"/>
    <n v="5"/>
    <n v="270000"/>
    <n v="27000"/>
    <n v="0"/>
    <n v="27000"/>
    <n v="243000"/>
    <s v=""/>
    <m/>
    <x v="51"/>
  </r>
  <r>
    <x v="1"/>
    <s v=""/>
    <m/>
    <m/>
    <m/>
    <m/>
    <s v=""/>
    <s v=" "/>
    <s v=""/>
    <n v="8"/>
    <s v="LSN"/>
    <m/>
    <s v="PENTG340HITAM"/>
    <e v="#N/A"/>
    <s v="GEL PEN TIZO 1.0 MM TG-340 HITAM"/>
    <n v="35000"/>
    <m/>
    <m/>
    <n v="280000"/>
    <m/>
    <m/>
    <n v="81"/>
    <n v="5"/>
    <n v="280000"/>
    <n v="0"/>
    <n v="0"/>
    <n v="0"/>
    <n v="280000"/>
    <s v=""/>
    <m/>
    <x v="52"/>
  </r>
  <r>
    <x v="1"/>
    <s v=""/>
    <m/>
    <m/>
    <m/>
    <m/>
    <s v=""/>
    <s v=" "/>
    <s v=""/>
    <n v="8"/>
    <s v="LSN"/>
    <m/>
    <s v="PENTG340BIRU"/>
    <s v="GEL PEN TIZO 1.0 MM TG-340BI BIRU"/>
    <s v="GEL PEN TIZO 1.0 MM TG-340BI BIRU"/>
    <n v="35000"/>
    <m/>
    <m/>
    <n v="280000"/>
    <m/>
    <m/>
    <n v="81"/>
    <n v="5"/>
    <n v="280000"/>
    <n v="0"/>
    <n v="0"/>
    <n v="0"/>
    <n v="2800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7"/>
    <n v="23030027"/>
    <d v="2023-03-23T00:00:00"/>
    <s v="G"/>
    <s v="1333"/>
    <s v="SINARBHAKTI"/>
    <s v="AM 23030027"/>
    <s v="G 1333"/>
    <s v="SINAR BHAKTI YOGYAKARTA"/>
    <n v="36"/>
    <s v="LSN"/>
    <m/>
    <s v="PENKENNK7HITAM"/>
    <s v="BALLPEN KENKO NK-7 / 7B HITAM"/>
    <s v="BALLPEN KENKO NK-7 / 7B HITAM"/>
    <n v="12000"/>
    <n v="0.1"/>
    <m/>
    <n v="388800"/>
    <s v="NOVI / CONDRO"/>
    <m/>
    <n v="87"/>
    <n v="1"/>
    <n v="432000"/>
    <n v="43200"/>
    <n v="0"/>
    <n v="43200"/>
    <n v="388800"/>
    <n v="38880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8"/>
    <n v="23030028"/>
    <d v="2023-03-23T00:00:00"/>
    <s v="G"/>
    <s v="1338"/>
    <s v="REJOAGUNG"/>
    <s v="AM 23030028"/>
    <s v="G 1338"/>
    <s v="LILY JULIAWATI (REJO AGUNG) JOMBANG"/>
    <n v="320"/>
    <s v="BOX"/>
    <n v="5"/>
    <s v="LEMJKGS09"/>
    <s v="LEM STICK JOYKO 8 GR GS-09 isi 12 pc"/>
    <s v="LEM STICK JOYKO 8 GR GS-09 isi 12 pc"/>
    <n v="25200"/>
    <n v="0.125"/>
    <m/>
    <n v="7056000"/>
    <s v="NOVI / CONDRO"/>
    <m/>
    <n v="89"/>
    <n v="10"/>
    <n v="8064000"/>
    <n v="1008000"/>
    <n v="0"/>
    <n v="1008000"/>
    <n v="7056000"/>
    <n v="64381975"/>
    <m/>
    <x v="55"/>
  </r>
  <r>
    <x v="1"/>
    <s v=""/>
    <m/>
    <m/>
    <m/>
    <m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89"/>
    <n v="10"/>
    <n v="21168000"/>
    <n v="2646000"/>
    <n v="0"/>
    <n v="2646000"/>
    <n v="18522000"/>
    <s v=""/>
    <m/>
    <x v="56"/>
  </r>
  <r>
    <x v="1"/>
    <s v=""/>
    <m/>
    <m/>
    <m/>
    <m/>
    <s v=""/>
    <s v=" "/>
    <s v=""/>
    <n v="250"/>
    <s v="BOX"/>
    <n v="5"/>
    <s v="STIJK20HITAM"/>
    <s v="STIP / PENGHAPUS JOYKO ER-B20BL HITAM"/>
    <s v="STIP / PENGHAPUS JOYKO ER-B20BL HITAM"/>
    <n v="34100"/>
    <n v="0.125"/>
    <m/>
    <n v="7459375"/>
    <m/>
    <m/>
    <n v="89"/>
    <n v="10"/>
    <n v="8525000"/>
    <n v="1065625"/>
    <n v="0"/>
    <n v="1065625"/>
    <n v="7459375"/>
    <s v=""/>
    <m/>
    <x v="57"/>
  </r>
  <r>
    <x v="1"/>
    <s v=""/>
    <m/>
    <m/>
    <m/>
    <m/>
    <s v=""/>
    <s v=" "/>
    <s v=""/>
    <n v="100"/>
    <s v="LSN"/>
    <n v="5"/>
    <s v="STAJKHD10"/>
    <s v="STAPLER JOYKO HD-10"/>
    <s v="STAPLER JOYKO HD-10"/>
    <n v="85200"/>
    <n v="0.125"/>
    <m/>
    <n v="7455000"/>
    <m/>
    <m/>
    <n v="89"/>
    <n v="10"/>
    <n v="8520000"/>
    <n v="1065000"/>
    <n v="0"/>
    <n v="1065000"/>
    <n v="7455000"/>
    <s v=""/>
    <m/>
    <x v="58"/>
  </r>
  <r>
    <x v="1"/>
    <s v=""/>
    <m/>
    <m/>
    <m/>
    <m/>
    <s v=""/>
    <s v=" "/>
    <s v=""/>
    <n v="288"/>
    <s v="SET"/>
    <n v="1"/>
    <s v="JANJKMS402"/>
    <s v="JANGKA (MATH SET) JOYKO MS-402"/>
    <s v="JANGKA (MATH SET) JOYKO MS-402"/>
    <n v="12000"/>
    <n v="0.125"/>
    <m/>
    <n v="3024000"/>
    <m/>
    <m/>
    <n v="89"/>
    <n v="10"/>
    <n v="3456000"/>
    <n v="432000"/>
    <n v="0"/>
    <n v="432000"/>
    <n v="3024000"/>
    <s v=""/>
    <m/>
    <x v="59"/>
  </r>
  <r>
    <x v="1"/>
    <s v=""/>
    <m/>
    <m/>
    <m/>
    <m/>
    <s v=""/>
    <s v=" "/>
    <s v=""/>
    <n v="360"/>
    <s v="PCS"/>
    <n v="5"/>
    <s v="BNJKA5CAMPUS"/>
    <e v="#N/A"/>
    <s v="BINDER NOTE JOYKO A5 (CAMPUS/CLASSIC)"/>
    <n v="15800"/>
    <n v="0.125"/>
    <m/>
    <n v="4977000"/>
    <m/>
    <m/>
    <n v="89"/>
    <n v="10"/>
    <n v="5688000"/>
    <n v="711000"/>
    <n v="0"/>
    <n v="711000"/>
    <n v="4977000"/>
    <s v=""/>
    <m/>
    <x v="60"/>
  </r>
  <r>
    <x v="1"/>
    <s v=""/>
    <m/>
    <m/>
    <m/>
    <m/>
    <s v=""/>
    <s v=" "/>
    <s v=""/>
    <n v="72"/>
    <s v="LSN"/>
    <n v="3"/>
    <s v="PCJKPC0719POLOS"/>
    <e v="#N/A"/>
    <s v="PENCIL CASE KENKO PC-0719 POLOS"/>
    <n v="57600"/>
    <n v="0.125"/>
    <m/>
    <n v="3628800"/>
    <m/>
    <m/>
    <n v="89"/>
    <n v="10"/>
    <n v="4147200"/>
    <n v="518400"/>
    <n v="0"/>
    <n v="518400"/>
    <n v="3628800"/>
    <s v=""/>
    <m/>
    <x v="61"/>
  </r>
  <r>
    <x v="1"/>
    <s v=""/>
    <m/>
    <m/>
    <m/>
    <m/>
    <s v=""/>
    <s v=" "/>
    <s v=""/>
    <n v="72"/>
    <s v="LSN"/>
    <n v="3"/>
    <s v="PCJKPC0719FANCY"/>
    <e v="#N/A"/>
    <s v="PENCIL CASE KENKO PC-0719 FANCY"/>
    <n v="57600"/>
    <n v="0.125"/>
    <m/>
    <n v="3628800"/>
    <m/>
    <m/>
    <n v="89"/>
    <n v="10"/>
    <n v="4147200"/>
    <n v="518400"/>
    <n v="0"/>
    <n v="518400"/>
    <n v="3628800"/>
    <s v=""/>
    <m/>
    <x v="62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89"/>
    <n v="10"/>
    <n v="5640000"/>
    <n v="705000"/>
    <n v="0"/>
    <n v="705000"/>
    <n v="4935000"/>
    <s v=""/>
    <m/>
    <x v="63"/>
  </r>
  <r>
    <x v="1"/>
    <s v=""/>
    <m/>
    <m/>
    <m/>
    <m/>
    <s v=""/>
    <s v=" "/>
    <s v=""/>
    <n v="480"/>
    <s v="SET"/>
    <n v="2"/>
    <s v="KUAJKBR1"/>
    <s v="KUAS SET JOYKO BR-1"/>
    <s v="KUAS SET JOYKO BR-1"/>
    <n v="8800"/>
    <n v="0.125"/>
    <m/>
    <n v="3696000"/>
    <m/>
    <m/>
    <n v="89"/>
    <n v="10"/>
    <n v="4224000"/>
    <n v="528000"/>
    <n v="0"/>
    <n v="528000"/>
    <n v="3696000"/>
    <s v="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9"/>
    <n v="23030029"/>
    <d v="2023-03-24T00:00:00"/>
    <s v="KO"/>
    <s v="1339"/>
    <s v="DWIJAYA"/>
    <s v="AM 23030029"/>
    <s v="KO 1339"/>
    <s v="CV DWI JAYA YOGYAKARTA"/>
    <n v="100"/>
    <s v="PAK"/>
    <n v="1"/>
    <s v="ACCKENWARNA"/>
    <s v="PAPER FASTENER (ACCO) KENKO PF-508 ISI 50 PC WARNA"/>
    <s v="PAPER FASTENER (ACCO) KENKO PF-508 ISI 50 PC WARNA"/>
    <n v="9800"/>
    <n v="0.1"/>
    <m/>
    <n v="882000"/>
    <s v="NOVI / CONDRO"/>
    <m/>
    <n v="100"/>
    <n v="3"/>
    <n v="980000"/>
    <n v="98000"/>
    <n v="0"/>
    <n v="98000"/>
    <n v="882000"/>
    <n v="2376000"/>
    <m/>
    <x v="65"/>
  </r>
  <r>
    <x v="1"/>
    <s v=""/>
    <m/>
    <m/>
    <m/>
    <m/>
    <s v=""/>
    <s v=" "/>
    <s v=""/>
    <n v="500"/>
    <s v="PAK"/>
    <n v="1"/>
    <s v="CLIKEN3"/>
    <s v="PAPER TRIGONAL CLIP KENKO NO. 3"/>
    <s v="PAPER TRIGONAL CLIP KENKO NO. 3"/>
    <n v="1600"/>
    <n v="0.1"/>
    <m/>
    <n v="720000"/>
    <m/>
    <m/>
    <n v="100"/>
    <n v="3"/>
    <n v="800000"/>
    <n v="80000"/>
    <n v="0"/>
    <n v="80000"/>
    <n v="720000"/>
    <s v=""/>
    <m/>
    <x v="66"/>
  </r>
  <r>
    <x v="1"/>
    <s v=""/>
    <m/>
    <m/>
    <m/>
    <m/>
    <s v=""/>
    <s v=" "/>
    <s v=""/>
    <n v="200"/>
    <s v="PAK"/>
    <n v="1"/>
    <s v="CLIKEN5"/>
    <s v="PAPER JUMBO CLIP KENKO NO. 5"/>
    <s v="PAPER JUMBO CLIP KENKO NO. 5"/>
    <n v="4300"/>
    <n v="0.1"/>
    <m/>
    <n v="774000"/>
    <m/>
    <m/>
    <n v="100"/>
    <n v="3"/>
    <n v="860000"/>
    <n v="86000"/>
    <n v="0"/>
    <n v="86000"/>
    <n v="774000"/>
    <s v=""/>
    <m/>
    <x v="6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0"/>
    <n v="23030030"/>
    <d v="2023-03-24T00:00:00"/>
    <s v="KO"/>
    <s v="1342"/>
    <s v="ANUGERAH"/>
    <s v="AM 23030030"/>
    <s v="KO 1342"/>
    <s v="CV PELITA JAYA (ANUGERAH SEJAHTERA) PURWOKERTO"/>
    <n v="48"/>
    <s v="LSN"/>
    <n v="2"/>
    <s v="PWJK12WPENDEK"/>
    <s v="PENSIL WARNA JOYKO CP-S12 MINI (PENDEK)"/>
    <s v="PENSIL WARNA JOYKO CP-S12 MINI (PENDEK)"/>
    <n v="80400"/>
    <n v="0.13500000000000001"/>
    <m/>
    <n v="3338208"/>
    <s v="NOVI / CONDRO"/>
    <m/>
    <n v="104"/>
    <n v="2"/>
    <n v="3859200"/>
    <n v="520992.00000000006"/>
    <n v="0"/>
    <n v="520992.00000000006"/>
    <n v="3338208"/>
    <n v="8494992"/>
    <m/>
    <x v="68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500000000000001"/>
    <m/>
    <n v="5156784"/>
    <m/>
    <m/>
    <n v="104"/>
    <n v="2"/>
    <n v="5961600"/>
    <n v="804816"/>
    <n v="0"/>
    <n v="804816"/>
    <n v="5156784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1"/>
    <n v="23030031"/>
    <d v="2023-03-24T00:00:00"/>
    <s v="KO"/>
    <s v="1345"/>
    <s v="bendan"/>
    <s v="AM 23030031"/>
    <s v="KO 1345"/>
    <s v="HARNOYO (BENDAN) PEKALONGAN"/>
    <n v="10"/>
    <s v="GRS"/>
    <n v="1"/>
    <s v="CLIKEN200"/>
    <s v="BINDER CLIP KENKO NO. 200"/>
    <s v="BINDER CLIP KENKO NO. 200"/>
    <n v="120000"/>
    <n v="0.14000000000000001"/>
    <m/>
    <n v="1032000"/>
    <s v="NOVI / CONDRO"/>
    <m/>
    <n v="107"/>
    <n v="5"/>
    <n v="1200000"/>
    <n v="168000.00000000003"/>
    <n v="0"/>
    <n v="168000.00000000003"/>
    <n v="1032000"/>
    <n v="3325448"/>
    <m/>
    <x v="50"/>
  </r>
  <r>
    <x v="1"/>
    <s v=""/>
    <m/>
    <m/>
    <m/>
    <m/>
    <s v=""/>
    <s v=" "/>
    <s v=""/>
    <n v="120"/>
    <s v="PCS"/>
    <n v="1"/>
    <s v="PUNKEN30"/>
    <s v="PUNCH KENKO NO. 30"/>
    <s v="PUNCH KENKO NO. 30"/>
    <n v="13000"/>
    <n v="0.14000000000000001"/>
    <m/>
    <n v="1341600"/>
    <m/>
    <m/>
    <n v="107"/>
    <n v="5"/>
    <n v="1560000"/>
    <n v="218400.00000000003"/>
    <n v="0"/>
    <n v="218400.00000000003"/>
    <n v="1341600"/>
    <s v=""/>
    <m/>
    <x v="69"/>
  </r>
  <r>
    <x v="1"/>
    <s v=""/>
    <m/>
    <m/>
    <m/>
    <m/>
    <s v=""/>
    <s v=" "/>
    <s v=""/>
    <n v="80"/>
    <s v="PCS"/>
    <m/>
    <s v="STAKENKECIL"/>
    <e v="#N/A"/>
    <s v="KENKO HIGHLIGHTER HL-100 HIJAU"/>
    <n v="3050"/>
    <n v="0.14000000000000001"/>
    <m/>
    <n v="209840"/>
    <m/>
    <m/>
    <n v="107"/>
    <n v="5"/>
    <n v="244000"/>
    <n v="34160"/>
    <n v="0"/>
    <n v="34160"/>
    <n v="209840"/>
    <s v=""/>
    <m/>
    <x v="70"/>
  </r>
  <r>
    <x v="1"/>
    <s v=""/>
    <m/>
    <m/>
    <m/>
    <m/>
    <s v=""/>
    <s v=" "/>
    <s v=""/>
    <n v="120"/>
    <s v="PCS"/>
    <m/>
    <s v="STAKENH5"/>
    <e v="#N/A"/>
    <s v="KENKO HIGHLIGHTER HL-100 PINK"/>
    <n v="3050"/>
    <n v="0.14000000000000001"/>
    <m/>
    <n v="314760"/>
    <m/>
    <m/>
    <n v="107"/>
    <n v="5"/>
    <n v="366000"/>
    <n v="51240.000000000007"/>
    <n v="0"/>
    <n v="51240.000000000007"/>
    <n v="314760"/>
    <s v=""/>
    <m/>
    <x v="71"/>
  </r>
  <r>
    <x v="1"/>
    <s v=""/>
    <m/>
    <m/>
    <m/>
    <m/>
    <s v=""/>
    <s v=" "/>
    <s v=""/>
    <n v="12"/>
    <s v="LSN"/>
    <m/>
    <s v="CLIKEN3100"/>
    <s v="PAPER CLIP WARNA KENKO 3100"/>
    <s v="PAPER CLIP WARNA KENKO 3100"/>
    <n v="41400"/>
    <n v="0.14000000000000001"/>
    <m/>
    <n v="427248"/>
    <m/>
    <m/>
    <n v="107"/>
    <n v="5"/>
    <n v="496800"/>
    <n v="69552"/>
    <n v="0"/>
    <n v="69552"/>
    <n v="427248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2"/>
    <n v="23030032"/>
    <d v="2023-03-24T00:00:00"/>
    <s v="N"/>
    <s v="1346"/>
    <s v="TIARA"/>
    <s v="AM 23030032"/>
    <s v="N 1346"/>
    <s v="CV TIARA SOLO"/>
    <n v="120"/>
    <s v="LSN"/>
    <n v="1"/>
    <m/>
    <s v=""/>
    <s v="GEL PEN ZHIXIN G-5001 + REFILL"/>
    <n v="18000"/>
    <m/>
    <m/>
    <n v="2160000"/>
    <s v="NOVI / CONDRO"/>
    <m/>
    <n v="113"/>
    <n v="4"/>
    <n v="2160000"/>
    <n v="0"/>
    <n v="0"/>
    <n v="0"/>
    <n v="2160000"/>
    <n v="8640000"/>
    <m/>
    <x v="73"/>
  </r>
  <r>
    <x v="1"/>
    <s v=""/>
    <m/>
    <m/>
    <m/>
    <m/>
    <s v=""/>
    <s v=" "/>
    <s v=""/>
    <n v="120"/>
    <s v="LSN"/>
    <n v="1"/>
    <m/>
    <s v=""/>
    <s v="GEL PEN ZHIXIN G-3132 + REFILL"/>
    <n v="18000"/>
    <m/>
    <m/>
    <n v="2160000"/>
    <m/>
    <m/>
    <n v="113"/>
    <n v="4"/>
    <n v="2160000"/>
    <n v="0"/>
    <n v="0"/>
    <n v="0"/>
    <n v="2160000"/>
    <s v=""/>
    <m/>
    <x v="74"/>
  </r>
  <r>
    <x v="1"/>
    <s v=""/>
    <m/>
    <m/>
    <m/>
    <m/>
    <s v=""/>
    <s v=" "/>
    <s v=""/>
    <n v="120"/>
    <s v="LSN"/>
    <n v="1"/>
    <m/>
    <s v=""/>
    <s v="GEL PEN ZHIXIN G-3136 + REFILL"/>
    <n v="18000"/>
    <m/>
    <m/>
    <n v="2160000"/>
    <m/>
    <m/>
    <n v="113"/>
    <n v="4"/>
    <n v="2160000"/>
    <n v="0"/>
    <n v="0"/>
    <n v="0"/>
    <n v="2160000"/>
    <s v=""/>
    <m/>
    <x v="75"/>
  </r>
  <r>
    <x v="1"/>
    <s v=""/>
    <m/>
    <m/>
    <m/>
    <m/>
    <s v=""/>
    <s v=" "/>
    <s v=""/>
    <n v="120"/>
    <s v="LSN"/>
    <n v="1"/>
    <m/>
    <s v=""/>
    <s v="GEL PEN ZHIXIN G-5004 + REFILL"/>
    <n v="18000"/>
    <m/>
    <m/>
    <n v="2160000"/>
    <m/>
    <m/>
    <n v="113"/>
    <n v="4"/>
    <n v="2160000"/>
    <n v="0"/>
    <n v="0"/>
    <n v="0"/>
    <n v="2160000"/>
    <s v=""/>
    <m/>
    <x v="7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3"/>
    <n v="23030033"/>
    <d v="2023-03-24T00:00:00"/>
    <s v="KO"/>
    <s v="1243"/>
    <s v="NIRMALA"/>
    <s v="AM 23030033"/>
    <s v="KO 1243"/>
    <s v="CV SINAR CAHAYA NIRMALA BREBES"/>
    <n v="3"/>
    <s v="LSN"/>
    <m/>
    <s v="PENJKGP266HT"/>
    <s v="GEL PEN JOYKO GP-266 ITECH 2 HITAM"/>
    <s v="GEL PEN JOYKO GP-266 ITECH 2 HITAM"/>
    <n v="27600"/>
    <n v="0.1"/>
    <m/>
    <n v="74520"/>
    <s v="RISMA / CONDRO"/>
    <m/>
    <n v="118"/>
    <n v="13"/>
    <n v="82800"/>
    <n v="8280"/>
    <n v="0"/>
    <n v="8280"/>
    <n v="74520"/>
    <n v="1512310"/>
    <m/>
    <x v="77"/>
  </r>
  <r>
    <x v="1"/>
    <s v=""/>
    <m/>
    <m/>
    <m/>
    <m/>
    <s v=""/>
    <s v=" "/>
    <s v=""/>
    <n v="40"/>
    <s v="PCS"/>
    <m/>
    <s v="BENLT1132"/>
    <s v="ISI BENSIA LANTU LT 11-32 (40 SET)"/>
    <s v="ISI BENSIA LANTU LT 11-32 (40 SET)"/>
    <n v="2750"/>
    <m/>
    <m/>
    <n v="110000"/>
    <m/>
    <m/>
    <n v="118"/>
    <n v="13"/>
    <n v="110000"/>
    <n v="0"/>
    <n v="0"/>
    <n v="0"/>
    <n v="110000"/>
    <s v=""/>
    <m/>
    <x v="78"/>
  </r>
  <r>
    <x v="1"/>
    <s v=""/>
    <m/>
    <m/>
    <m/>
    <m/>
    <s v=""/>
    <s v=" "/>
    <s v=""/>
    <n v="24"/>
    <s v="SET"/>
    <m/>
    <s v="PWKEN12WPENDEK"/>
    <s v="PENSIL WARNA KENKO CP-12HALF CLASSIC (PENDEK)"/>
    <s v="PENSIL WARNA KENKO CP-12HALF CLASSIC (PENDEK)"/>
    <n v="6600"/>
    <n v="0.1"/>
    <m/>
    <n v="142560"/>
    <m/>
    <m/>
    <n v="118"/>
    <n v="13"/>
    <n v="158400"/>
    <n v="15840"/>
    <n v="0"/>
    <n v="15840"/>
    <n v="142560"/>
    <s v=""/>
    <m/>
    <x v="79"/>
  </r>
  <r>
    <x v="1"/>
    <s v=""/>
    <m/>
    <m/>
    <m/>
    <m/>
    <s v=""/>
    <s v=" "/>
    <s v=""/>
    <n v="24"/>
    <s v="SET"/>
    <m/>
    <s v="PWKEN24WPANJANG"/>
    <s v="PENSIL WARNA KENKO CP-24F CLASSIC (PANJANG)"/>
    <s v="PENSIL WARNA KENKO CP-24F CLASSIC (PANJANG)"/>
    <n v="20700"/>
    <n v="0.1"/>
    <m/>
    <n v="447120"/>
    <m/>
    <m/>
    <n v="118"/>
    <n v="13"/>
    <n v="496800"/>
    <n v="49680"/>
    <n v="0"/>
    <n v="49680"/>
    <n v="447120"/>
    <s v=""/>
    <m/>
    <x v="80"/>
  </r>
  <r>
    <x v="1"/>
    <s v=""/>
    <m/>
    <m/>
    <m/>
    <m/>
    <s v=""/>
    <s v=" "/>
    <s v=""/>
    <n v="3"/>
    <s v="LSN"/>
    <m/>
    <s v="PENVANGP559"/>
    <s v="GEL PEN VANCO GP-559 HI-TOUCH BLACK"/>
    <s v="GEL PEN VANCO GP-559 HI-TOUCH HITAM"/>
    <n v="26000"/>
    <m/>
    <m/>
    <n v="78000"/>
    <m/>
    <m/>
    <n v="118"/>
    <n v="13"/>
    <n v="78000"/>
    <n v="0"/>
    <n v="0"/>
    <n v="0"/>
    <n v="78000"/>
    <s v=""/>
    <m/>
    <x v="81"/>
  </r>
  <r>
    <x v="1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118"/>
    <n v="13"/>
    <n v="95000"/>
    <n v="0"/>
    <n v="0"/>
    <n v="0"/>
    <n v="95000"/>
    <s v=""/>
    <m/>
    <x v="82"/>
  </r>
  <r>
    <x v="1"/>
    <s v=""/>
    <m/>
    <m/>
    <m/>
    <m/>
    <s v=""/>
    <s v=" "/>
    <s v=""/>
    <n v="50"/>
    <s v="PAK"/>
    <m/>
    <s v="LLJKA550"/>
    <s v="LOOSE LEAF JOYKO A5-7020 (50S)"/>
    <s v="LOOSE LEAF JOYKO A5-7020 (50S)"/>
    <n v="3600"/>
    <n v="0.1"/>
    <m/>
    <n v="162000"/>
    <m/>
    <m/>
    <n v="118"/>
    <n v="13"/>
    <n v="180000"/>
    <n v="18000"/>
    <n v="0"/>
    <n v="18000"/>
    <n v="162000"/>
    <s v=""/>
    <m/>
    <x v="83"/>
  </r>
  <r>
    <x v="1"/>
    <s v=""/>
    <m/>
    <m/>
    <m/>
    <m/>
    <s v=""/>
    <s v=" "/>
    <s v=""/>
    <n v="3"/>
    <s v="PAK"/>
    <m/>
    <s v="STIKEN40HITAM"/>
    <s v="STIP / PENGHAPUS KENKO ERB-40SQ HITAM"/>
    <s v="STIP / PENGHAPUS KENKO ERB-40SQ HITAM"/>
    <n v="27500"/>
    <n v="0.1"/>
    <m/>
    <n v="74250"/>
    <m/>
    <m/>
    <n v="118"/>
    <n v="13"/>
    <n v="82500"/>
    <n v="8250"/>
    <n v="0"/>
    <n v="8250"/>
    <n v="74250"/>
    <s v=""/>
    <m/>
    <x v="84"/>
  </r>
  <r>
    <x v="1"/>
    <s v=""/>
    <m/>
    <m/>
    <m/>
    <m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118"/>
    <n v="13"/>
    <n v="64800"/>
    <n v="6480"/>
    <n v="0"/>
    <n v="6480"/>
    <n v="58320"/>
    <s v=""/>
    <m/>
    <x v="85"/>
  </r>
  <r>
    <x v="1"/>
    <s v=""/>
    <m/>
    <m/>
    <m/>
    <m/>
    <s v=""/>
    <s v=" "/>
    <s v=""/>
    <n v="2"/>
    <s v="LSN"/>
    <m/>
    <s v="ISIKENBESAR"/>
    <s v="ISI CUTTER 18 MM KENKO L-150 (BESAR)"/>
    <s v="ISI CUTTER 18 MM KENKO L-150 (BESAR)"/>
    <n v="64800"/>
    <n v="0.1"/>
    <m/>
    <n v="116640"/>
    <m/>
    <m/>
    <n v="118"/>
    <n v="13"/>
    <n v="129600"/>
    <n v="12960"/>
    <n v="0"/>
    <n v="12960"/>
    <n v="116640"/>
    <s v=""/>
    <m/>
    <x v="5"/>
  </r>
  <r>
    <x v="1"/>
    <s v=""/>
    <m/>
    <m/>
    <m/>
    <m/>
    <s v=""/>
    <s v=" "/>
    <s v=""/>
    <n v="1"/>
    <s v="GRS"/>
    <m/>
    <s v="CLIKEN105"/>
    <s v="BINDER CLIP KENKO NO. 105"/>
    <s v="BINDER CLIP KENKO NO. 105"/>
    <n v="28800"/>
    <n v="0.1"/>
    <m/>
    <n v="25920"/>
    <m/>
    <m/>
    <n v="118"/>
    <n v="13"/>
    <n v="28800"/>
    <n v="2880"/>
    <n v="0"/>
    <n v="2880"/>
    <n v="25920"/>
    <s v=""/>
    <m/>
    <x v="86"/>
  </r>
  <r>
    <x v="1"/>
    <s v=""/>
    <m/>
    <m/>
    <m/>
    <m/>
    <s v=""/>
    <s v=" "/>
    <s v=""/>
    <n v="1"/>
    <s v="GRS"/>
    <m/>
    <s v="CLIKEN111"/>
    <s v="BINDER CLIP KENKO NO. 111"/>
    <s v="BINDER CLIP KENKO NO. 111"/>
    <n v="49200"/>
    <n v="0.1"/>
    <m/>
    <n v="44280"/>
    <m/>
    <m/>
    <n v="118"/>
    <n v="13"/>
    <n v="49200"/>
    <n v="4920"/>
    <n v="0"/>
    <n v="4920"/>
    <n v="44280"/>
    <s v=""/>
    <m/>
    <x v="87"/>
  </r>
  <r>
    <x v="1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18"/>
    <n v="13"/>
    <n v="93000"/>
    <n v="9300"/>
    <n v="0"/>
    <n v="9300"/>
    <n v="8370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4"/>
    <n v="23030034"/>
    <d v="2023-03-29T00:00:00"/>
    <s v="KO"/>
    <s v="1364"/>
    <s v="ANUGERAH"/>
    <s v="AM 23030034"/>
    <s v="KO 1364"/>
    <s v="CV PELITA JAYA (ANUGERAH SEJAHTERA) PURWOKERTO"/>
    <n v="36"/>
    <s v="LSN"/>
    <n v="3"/>
    <s v="PWJK12WPANJANG"/>
    <s v="PENSIL WARNA JOYKO CP-12PB (PANJANG)"/>
    <s v="PENSIL WARNA JOYKO CP-12PB (PANJANG)"/>
    <n v="127200"/>
    <n v="0.13500000000000001"/>
    <m/>
    <n v="3961008"/>
    <s v="NOVI / CONDRO"/>
    <m/>
    <n v="132"/>
    <n v="1"/>
    <n v="4579200"/>
    <n v="618192"/>
    <n v="0"/>
    <n v="618192"/>
    <n v="3961008"/>
    <n v="3961008"/>
    <m/>
    <x v="8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5"/>
    <n v="23030035"/>
    <d v="2023-03-30T00:00:00"/>
    <s v="KO"/>
    <s v="1371"/>
    <s v="ARMADA"/>
    <s v="AM 23030035"/>
    <s v="KO 1371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134"/>
    <n v="1"/>
    <n v="5616000"/>
    <n v="758160"/>
    <n v="0"/>
    <n v="758160"/>
    <n v="4857840"/>
    <n v="4857840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6"/>
    <n v="23030036"/>
    <d v="2023-03-30T00:00:00"/>
    <s v="KO"/>
    <s v="1370"/>
    <s v="ANUGERAH"/>
    <s v="AM 23030036"/>
    <s v="KO 1370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136"/>
    <n v="5"/>
    <n v="28080000"/>
    <n v="3790800.0000000005"/>
    <n v="0"/>
    <n v="3790800.0000000005"/>
    <n v="24289200"/>
    <n v="35246328"/>
    <m/>
    <x v="44"/>
  </r>
  <r>
    <x v="1"/>
    <s v=""/>
    <m/>
    <m/>
    <m/>
    <m/>
    <s v=""/>
    <s v=" "/>
    <s v=""/>
    <n v="144"/>
    <s v="LSN"/>
    <n v="2"/>
    <s v="TIPKENKE01"/>
    <s v="CORRECTION FLUID KENKO KE-01"/>
    <s v="CORRECTION FLUID KENKO KE-01"/>
    <n v="54300"/>
    <n v="0.13500000000000001"/>
    <m/>
    <n v="6763608"/>
    <m/>
    <m/>
    <n v="136"/>
    <n v="5"/>
    <n v="7819200"/>
    <n v="1055592"/>
    <n v="0"/>
    <n v="1055592"/>
    <n v="6763608"/>
    <s v=""/>
    <m/>
    <x v="45"/>
  </r>
  <r>
    <x v="1"/>
    <s v=""/>
    <m/>
    <m/>
    <m/>
    <m/>
    <s v=""/>
    <s v=" "/>
    <s v=""/>
    <n v="24"/>
    <s v="PCS"/>
    <n v="1"/>
    <s v="PUNKEN85XL"/>
    <s v="PUNCH KENKO NO. 85XL"/>
    <s v="PUNCH KENKO NO. 85XL"/>
    <n v="59000"/>
    <n v="0.13500000000000001"/>
    <m/>
    <n v="1224840"/>
    <m/>
    <m/>
    <n v="136"/>
    <n v="5"/>
    <n v="1416000"/>
    <n v="191160"/>
    <n v="0"/>
    <n v="191160"/>
    <n v="1224840"/>
    <s v=""/>
    <m/>
    <x v="89"/>
  </r>
  <r>
    <x v="1"/>
    <s v=""/>
    <m/>
    <m/>
    <m/>
    <m/>
    <s v=""/>
    <s v=" "/>
    <s v=""/>
    <n v="200"/>
    <s v="BOX "/>
    <n v="1"/>
    <s v="ISIKEN1210"/>
    <s v="ISI STAPLER (STAPLES) KENKO 1210 PREMIUM (23/10)"/>
    <s v="ISI STAPLER (STAPLES) KENKO 1210 PREMIUM (23/10)"/>
    <n v="4200"/>
    <n v="0.13500000000000001"/>
    <m/>
    <n v="726600"/>
    <m/>
    <m/>
    <n v="136"/>
    <n v="5"/>
    <n v="840000"/>
    <n v="113400.00000000001"/>
    <n v="0"/>
    <n v="113400.00000000001"/>
    <n v="726600"/>
    <s v=""/>
    <m/>
    <x v="90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136"/>
    <n v="5"/>
    <n v="2592000"/>
    <n v="349920"/>
    <n v="0"/>
    <n v="349920"/>
    <n v="224208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7"/>
    <n v="23030037"/>
    <d v="2023-03-30T00:00:00"/>
    <s v="KO"/>
    <s v="1249"/>
    <s v="WISUDA"/>
    <s v="AM 23030037"/>
    <s v="KO 1249"/>
    <s v="CV  WISUDA PURWOKERTO"/>
    <n v="10"/>
    <s v="LSN"/>
    <m/>
    <s v="TIPKENKE01"/>
    <s v="CORRECTION FLUID KENKO KE-01"/>
    <s v="CORRECTION FLUID KENKO KE-01"/>
    <n v="54300"/>
    <n v="0.1"/>
    <m/>
    <n v="488700"/>
    <s v="NOVI / CONDRO"/>
    <m/>
    <n v="142"/>
    <n v="4"/>
    <n v="543000"/>
    <n v="54300"/>
    <n v="0"/>
    <n v="54300"/>
    <n v="488700"/>
    <n v="2138700"/>
    <m/>
    <x v="45"/>
  </r>
  <r>
    <x v="1"/>
    <s v=""/>
    <m/>
    <m/>
    <m/>
    <m/>
    <s v=""/>
    <s v=" "/>
    <s v=""/>
    <n v="12"/>
    <s v="LSN"/>
    <m/>
    <s v="PENTG340HITAM"/>
    <s v="GEL PEN TIZO 1.0 MM TG-340 HITAM"/>
    <s v="GEL PEN TIZO 1.0 MM TG-340 HITAM"/>
    <n v="35000"/>
    <m/>
    <m/>
    <n v="420000"/>
    <m/>
    <m/>
    <n v="142"/>
    <n v="4"/>
    <n v="420000"/>
    <n v="0"/>
    <n v="0"/>
    <n v="0"/>
    <n v="420000"/>
    <s v=""/>
    <m/>
    <x v="52"/>
  </r>
  <r>
    <x v="1"/>
    <s v=""/>
    <m/>
    <m/>
    <m/>
    <m/>
    <s v=""/>
    <s v=" "/>
    <s v=""/>
    <n v="12"/>
    <s v="LSN"/>
    <m/>
    <s v="PENTG340BIRU"/>
    <s v="GEL PEN TIZO 1.0 MM TG-340BI BIRU"/>
    <s v="GEL PEN TIZO 1.0 MM TG-340BI BIRU"/>
    <n v="35000"/>
    <m/>
    <m/>
    <n v="420000"/>
    <m/>
    <m/>
    <n v="142"/>
    <n v="4"/>
    <n v="420000"/>
    <n v="0"/>
    <n v="0"/>
    <n v="0"/>
    <n v="420000"/>
    <s v=""/>
    <m/>
    <x v="53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142"/>
    <n v="4"/>
    <n v="900000"/>
    <n v="90000"/>
    <n v="0"/>
    <n v="90000"/>
    <n v="810000"/>
    <s v=""/>
    <m/>
    <x v="4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8"/>
    <n v="23030038"/>
    <d v="2023-03-30T00:00:00"/>
    <s v="KO"/>
    <s v="1376"/>
    <s v="ANUGERAH"/>
    <s v="AM 23030038"/>
    <s v="KO 1376"/>
    <s v="CV PELITA JAYA (ANUGERAH SEJAHTERA) PURWOKERTO"/>
    <n v="360"/>
    <s v="LSN"/>
    <n v="3"/>
    <s v="ISIKENKECIL"/>
    <s v="ISI CUTTER 9 MM KENKO A-100 (KECIL)"/>
    <s v="ISI CUTTER 9 MM KENKO A-100 (KECIL)"/>
    <n v="32400"/>
    <n v="0.13500000000000001"/>
    <m/>
    <n v="10089360"/>
    <s v="NOVI / CONDRO"/>
    <m/>
    <n v="147"/>
    <n v="1"/>
    <n v="11664000"/>
    <n v="1574640"/>
    <n v="0"/>
    <n v="1574640"/>
    <n v="10089360"/>
    <n v="10089360"/>
    <m/>
    <x v="8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9"/>
    <n v="23030039"/>
    <d v="2023-03-30T00:00:00"/>
    <s v="KO"/>
    <s v="1250"/>
    <s v="CENTRAAL"/>
    <s v="AM 23030039"/>
    <s v="KO 1250"/>
    <s v="CV TRINITY CENTRAAL PURWOKERTO"/>
    <n v="6"/>
    <s v="LSN"/>
    <m/>
    <s v="STAKENS68"/>
    <s v="STAMP PLATE DATER KENKO S-68 (Cap Lunas)"/>
    <s v="STAMP PLATE DATER KENKO S-68 (Cap Lunas)"/>
    <n v="99600"/>
    <n v="0.13"/>
    <m/>
    <n v="519912"/>
    <s v="NOVI / CONDRO"/>
    <m/>
    <n v="149"/>
    <n v="1"/>
    <n v="597600"/>
    <n v="77688"/>
    <n v="0"/>
    <n v="77688"/>
    <n v="519912"/>
    <n v="519912"/>
    <m/>
    <x v="9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0"/>
    <n v="23030040"/>
    <d v="2023-03-31T00:00:00"/>
    <s v="G"/>
    <s v="2916"/>
    <s v="REJOAGUNG"/>
    <s v="AM 23030040"/>
    <s v="G 2916"/>
    <s v="LILY JULIAWATI (REJO AGUNG) JOMBANG"/>
    <n v="120"/>
    <s v="PCS"/>
    <n v="1"/>
    <s v="CALJKCC15A"/>
    <s v="CALCULATOR JOYKO CC-15A"/>
    <s v="CALCULATOR JOYKO CC-15A"/>
    <n v="47000"/>
    <n v="0.125"/>
    <n v="0.05"/>
    <n v="4688250"/>
    <s v="NOVI / CONDRO"/>
    <m/>
    <n v="151"/>
    <n v="4"/>
    <n v="5640000"/>
    <n v="705000"/>
    <n v="246750"/>
    <n v="951750"/>
    <n v="4688250"/>
    <n v="20498625"/>
    <m/>
    <x v="92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6000"/>
    <n v="0.125"/>
    <n v="0.05"/>
    <n v="4588500"/>
    <m/>
    <m/>
    <n v="151"/>
    <n v="4"/>
    <n v="5520000"/>
    <n v="690000"/>
    <n v="241500"/>
    <n v="931500"/>
    <n v="4588500"/>
    <s v=""/>
    <m/>
    <x v="93"/>
  </r>
  <r>
    <x v="1"/>
    <s v=""/>
    <m/>
    <m/>
    <m/>
    <m/>
    <s v=""/>
    <s v=" "/>
    <s v=""/>
    <n v="120"/>
    <s v="PCS"/>
    <n v="1"/>
    <s v="CALJKCC47CO"/>
    <s v="CALCULATOR JOYKO CC-47CO WARNA"/>
    <s v="CALCULATOR JOYKO CC-47CO WARNA"/>
    <n v="32500"/>
    <n v="0.125"/>
    <n v="0.05"/>
    <n v="3241875"/>
    <m/>
    <m/>
    <n v="151"/>
    <n v="4"/>
    <n v="3900000"/>
    <n v="487500"/>
    <n v="170625"/>
    <n v="658125"/>
    <n v="3241875"/>
    <s v=""/>
    <m/>
    <x v="94"/>
  </r>
  <r>
    <x v="1"/>
    <s v=""/>
    <m/>
    <m/>
    <m/>
    <m/>
    <s v=""/>
    <s v=" "/>
    <s v=""/>
    <n v="240"/>
    <s v="PCS"/>
    <n v="2"/>
    <s v="CALJKDTC1313CH"/>
    <s v="CALCULATOR JOYKO DTC-1313CH"/>
    <s v="CALCULATOR JOYKO DTC-1313CH"/>
    <n v="40000"/>
    <n v="0.125"/>
    <n v="0.05"/>
    <n v="7980000"/>
    <m/>
    <m/>
    <n v="151"/>
    <n v="4"/>
    <n v="9600000"/>
    <n v="1200000"/>
    <n v="420000"/>
    <n v="1620000"/>
    <n v="79800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1"/>
    <n v="23030041"/>
    <d v="2023-03-31T00:00:00"/>
    <s v="KO"/>
    <s v="2917"/>
    <s v="bendan"/>
    <s v="AM 23030041"/>
    <s v="KO 2917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156"/>
    <n v="1"/>
    <n v="1380000"/>
    <n v="193200.00000000003"/>
    <n v="0"/>
    <n v="193200.00000000003"/>
    <n v="1186800"/>
    <n v="1186800"/>
    <m/>
    <x v="9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2"/>
    <n v="23030042"/>
    <d v="2023-03-31T00:00:00"/>
    <s v="KO"/>
    <s v="1380"/>
    <s v="ANUGERAH"/>
    <s v="AM 23030042"/>
    <s v="KO 1380"/>
    <s v="CV PELITA JAYA (ANUGERAH SEJAHTERA) PURWOKERTO"/>
    <n v="144"/>
    <s v="LSN"/>
    <n v="1"/>
    <s v="PENKENK1HITAM"/>
    <s v="GEL PEN KENKO K-1 HITAM"/>
    <s v="GEL PEN KENKO K-1 HITAM"/>
    <n v="39600"/>
    <n v="0.13500000000000001"/>
    <m/>
    <n v="4932576"/>
    <s v="NOVI / CONDRO"/>
    <m/>
    <n v="158"/>
    <n v="2"/>
    <n v="5702400"/>
    <n v="769824"/>
    <n v="0"/>
    <n v="769824"/>
    <n v="4932576"/>
    <n v="7351776"/>
    <m/>
    <x v="96"/>
  </r>
  <r>
    <x v="1"/>
    <s v=""/>
    <m/>
    <m/>
    <m/>
    <m/>
    <s v=""/>
    <s v=" "/>
    <s v=""/>
    <n v="48"/>
    <s v="BOX"/>
    <n v="1"/>
    <m/>
    <s v=""/>
    <s v="BENSIA SF-9939 A ISI 32 PC (LOVE DADU)"/>
    <n v="56000"/>
    <n v="0.1"/>
    <m/>
    <n v="2419200"/>
    <m/>
    <m/>
    <n v="158"/>
    <n v="2"/>
    <n v="2688000"/>
    <n v="268800"/>
    <n v="0"/>
    <n v="268800"/>
    <n v="24192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3"/>
    <n v="23030043"/>
    <d v="2023-03-31T00:00:00"/>
    <s v="KO"/>
    <s v="1388"/>
    <s v="ANUGERAH"/>
    <s v="AM 23030043"/>
    <s v="KO 1388"/>
    <s v="CV PELITA JAYA (ANUGERAH SEJAHTERA) PURWOKERTO"/>
    <n v="72"/>
    <s v="PCS"/>
    <n v="3"/>
    <s v="PUNKEN85N"/>
    <s v="PUNCH KENKO NO. 85N"/>
    <s v="PUNCH KENKO NO. 85N"/>
    <n v="42500"/>
    <n v="0.13500000000000001"/>
    <m/>
    <n v="2646900"/>
    <s v="NOVI / CONDRO"/>
    <m/>
    <n v="161"/>
    <n v="2"/>
    <n v="3060000"/>
    <n v="413100"/>
    <n v="0"/>
    <n v="413100"/>
    <n v="2646900"/>
    <n v="5200380"/>
    <m/>
    <x v="98"/>
  </r>
  <r>
    <x v="1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3500000000000001"/>
    <m/>
    <n v="2553480"/>
    <m/>
    <m/>
    <n v="161"/>
    <n v="2"/>
    <n v="2952000"/>
    <n v="398520"/>
    <n v="0"/>
    <n v="398520"/>
    <n v="2553480"/>
    <s v="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4"/>
    <n v="23030044"/>
    <d v="2023-03-31T00:00:00"/>
    <s v="KO"/>
    <s v="1019"/>
    <s v="LANCAR"/>
    <s v="AM 23030044"/>
    <s v="KO 1019"/>
    <s v="SOEYANTO LOPULUSI ( LANCAR ) MALANG"/>
    <n v="72"/>
    <s v="LSN"/>
    <n v="2"/>
    <s v="TIPKENCT919"/>
    <s v="CORRECTION TAPE KENKO CT-919 (12M x 5MM)"/>
    <s v="CORRECTION TAPE KENKO CT-919 (12M x 5MM)"/>
    <n v="55800"/>
    <n v="0.125"/>
    <m/>
    <n v="3515400"/>
    <s v="NOVI / CONDRO"/>
    <m/>
    <n v="164"/>
    <n v="4"/>
    <n v="4017600"/>
    <n v="502200"/>
    <n v="0"/>
    <n v="502200"/>
    <n v="3515400"/>
    <n v="9172800"/>
    <m/>
    <x v="100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90600"/>
    <n v="0.125"/>
    <m/>
    <n v="1902600"/>
    <m/>
    <m/>
    <n v="164"/>
    <n v="4"/>
    <n v="2174400"/>
    <n v="271800"/>
    <n v="0"/>
    <n v="271800"/>
    <n v="1902600"/>
    <s v=""/>
    <m/>
    <x v="101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9400"/>
    <n v="0.125"/>
    <m/>
    <n v="1877400"/>
    <m/>
    <m/>
    <n v="164"/>
    <n v="4"/>
    <n v="2145600"/>
    <n v="268200"/>
    <n v="0"/>
    <n v="268200"/>
    <n v="1877400"/>
    <s v=""/>
    <m/>
    <x v="102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64"/>
    <n v="4"/>
    <n v="2145600"/>
    <n v="268200"/>
    <n v="0"/>
    <n v="268200"/>
    <n v="1877400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8" firstHeaderRow="1" firstDataRow="1" firstDataCol="1"/>
  <pivotFields count="31">
    <pivotField axis="axisRow" showAll="0" sortType="ascending">
      <items count="46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formats count="1">
    <format dxfId="4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6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11">
        <item x="1"/>
        <item x="54"/>
        <item x="97"/>
        <item x="6"/>
        <item x="3"/>
        <item x="86"/>
        <item x="87"/>
        <item x="95"/>
        <item x="50"/>
        <item m="1" x="107"/>
        <item x="42"/>
        <item x="51"/>
        <item x="60"/>
        <item x="82"/>
        <item x="92"/>
        <item x="94"/>
        <item x="63"/>
        <item x="93"/>
        <item x="34"/>
        <item x="27"/>
        <item x="45"/>
        <item x="13"/>
        <item x="100"/>
        <item x="19"/>
        <item x="2"/>
        <item x="49"/>
        <item x="99"/>
        <item m="1" x="106"/>
        <item x="77"/>
        <item x="15"/>
        <item x="16"/>
        <item x="44"/>
        <item x="96"/>
        <item x="10"/>
        <item x="22"/>
        <item x="52"/>
        <item x="35"/>
        <item x="53"/>
        <item x="39"/>
        <item x="38"/>
        <item x="37"/>
        <item x="40"/>
        <item x="41"/>
        <item m="1" x="109"/>
        <item x="36"/>
        <item x="81"/>
        <item x="74"/>
        <item x="75"/>
        <item x="73"/>
        <item x="76"/>
        <item x="28"/>
        <item x="29"/>
        <item x="30"/>
        <item x="23"/>
        <item x="78"/>
        <item x="5"/>
        <item x="85"/>
        <item x="11"/>
        <item x="90"/>
        <item x="102"/>
        <item x="59"/>
        <item x="103"/>
        <item x="101"/>
        <item x="70"/>
        <item x="71"/>
        <item m="1" x="105"/>
        <item x="64"/>
        <item x="18"/>
        <item x="56"/>
        <item x="55"/>
        <item x="9"/>
        <item x="8"/>
        <item x="83"/>
        <item x="72"/>
        <item x="65"/>
        <item x="67"/>
        <item x="20"/>
        <item x="66"/>
        <item x="62"/>
        <item x="61"/>
        <item x="46"/>
        <item x="88"/>
        <item x="31"/>
        <item x="12"/>
        <item x="33"/>
        <item x="68"/>
        <item x="32"/>
        <item x="7"/>
        <item m="1" x="110"/>
        <item x="79"/>
        <item x="80"/>
        <item x="4"/>
        <item x="14"/>
        <item x="69"/>
        <item x="48"/>
        <item x="98"/>
        <item x="89"/>
        <item x="47"/>
        <item x="21"/>
        <item x="91"/>
        <item x="43"/>
        <item m="1" x="104"/>
        <item x="24"/>
        <item m="1" x="108"/>
        <item x="58"/>
        <item x="0"/>
        <item x="17"/>
        <item x="26"/>
        <item x="25"/>
        <item x="57"/>
        <item x="84"/>
      </items>
    </pivotField>
  </pivotFields>
  <rowFields count="1">
    <field x="30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16" totalsRowCount="1" headerRowDxfId="106" dataDxfId="105">
  <autoFilter ref="A2:AE215"/>
  <tableColumns count="31">
    <tableColumn id="16" name="//" dataDxfId="104" totalsRowDxfId="103">
      <calculatedColumnFormula>IF(Table1[[#This Row],[No. Invoice :]]="","",ROW())</calculatedColumnFormula>
    </tableColumn>
    <tableColumn id="18" name="h_No. Invoice :" dataDxfId="102" totalsRowDxfId="101">
      <calculatedColumnFormula>IF(Table1[h_Kode Sales :_1]="","",B$1+COUNT(B$2:B2))</calculatedColumnFormula>
    </tableColumn>
    <tableColumn id="2" name="Tgl Invoice :" dataDxfId="100" totalsRowDxfId="99"/>
    <tableColumn id="17" name="h_Kode Sales :_1" dataDxfId="98" totalsRowDxfId="97"/>
    <tableColumn id="19" name="h_Kode Sales :_2" dataDxfId="96" totalsRowDxfId="95"/>
    <tableColumn id="20" name="h_toko" dataDxfId="94" totalsRowDxfId="93"/>
    <tableColumn id="1" name="No. Invoice :" dataDxfId="92" totalsRowDxfId="91">
      <calculatedColumnFormula>IF(Table1[[#This Row],[h_No. Invoice :]]="","",CONCATENATE("AM"," ",Table1[[#This Row],[h_No. Invoice :]]))</calculatedColumnFormula>
    </tableColumn>
    <tableColumn id="3" name="Kode Sales :" dataDxfId="90" totalsRowDxfId="89">
      <calculatedColumnFormula>CONCATENATE(UPPER(Table1[[#This Row],[h_Kode Sales :_1]])," ",Table1[[#This Row],[h_Kode Sales :_2]])</calculatedColumnFormula>
    </tableColumn>
    <tableColumn id="4" name="Toko" dataDxfId="88" totalsRowDxfId="87">
      <calculatedColumnFormula>IF(Table1[[#This Row],[h_toko]]="","",INDEX(Table2[e],IF(Table1[[#This Row],[h_toko]]="","",MATCH(Table1[[#This Row],[h_toko]],Table2[a],0)),))</calculatedColumnFormula>
    </tableColumn>
    <tableColumn id="5" name="Qty" dataDxfId="86" totalsRowDxfId="85"/>
    <tableColumn id="6" name="Unit" dataDxfId="84" totalsRowDxfId="83"/>
    <tableColumn id="7" name="C" dataDxfId="82" totalsRowDxfId="81"/>
    <tableColumn id="8" name="h_Item Description" dataDxfId="80" totalsRowDxfId="79"/>
    <tableColumn id="10" name="Column1" dataDxfId="78" totalsRowDxfId="77">
      <calculatedColumnFormula>IF(Table1[[#This Row],[h_Item Description]]="","",INDEX([1]!db[NB PAJAK],MATCH(Table1[[#This Row],[h_Item Description]],[1]!db[kode],0)))</calculatedColumnFormula>
    </tableColumn>
    <tableColumn id="9" name="Item Description" dataDxfId="76" totalsRowDxfId="75"/>
    <tableColumn id="11" name="Unit Price" dataDxfId="74" totalsRowDxfId="73"/>
    <tableColumn id="12" name="Disc 1" dataDxfId="72" totalsRowDxfId="71"/>
    <tableColumn id="13" name="Disc 2" dataDxfId="70" totalsRowDxfId="69"/>
    <tableColumn id="23" name="Amount" dataDxfId="68" totalsRowDxfId="67">
      <calculatedColumnFormula>Table1[[#This Row],[h_hargasetelahdiskon]]</calculatedColumnFormula>
    </tableColumn>
    <tableColumn id="14" name="pembuat nota :" dataDxfId="66" totalsRowDxfId="65"/>
    <tableColumn id="15" name="edited :" dataDxfId="64" totalsRowDxfId="63"/>
    <tableColumn id="21" name="h_id" dataDxfId="62" totalsRowDxfId="6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0" totalsRowDxfId="59">
      <calculatedColumnFormula>IF(Table1[[#This Row],[h_id]]="","",COUNTIF(Table1[h_id],Table1[[#This Row],[h_id]]))</calculatedColumnFormula>
    </tableColumn>
    <tableColumn id="24" name="h_hargasebelumdiskon" dataDxfId="58" totalsRowDxfId="57">
      <calculatedColumnFormula>IF(Table1[Item Description]="","",Table1[[#This Row],[Qty]]*Table1[[#This Row],[Unit Price]])</calculatedColumnFormula>
    </tableColumn>
    <tableColumn id="31" name="h_disc 1" dataDxfId="56" totalsRowDxfId="55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4" totalsRowDxfId="53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2" totalsRowDxfId="51">
      <calculatedColumnFormula>IF(Table1[Item Description]="","",Table1[[#This Row],[h_disc 1]]+Table1[[#This Row],[h_disc 2]])</calculatedColumnFormula>
    </tableColumn>
    <tableColumn id="26" name="h_hargasetelahdiskon" dataDxfId="50" totalsRowDxfId="49">
      <calculatedColumnFormula>IF(Table1[Item Description]="","",Table1[[#This Row],[h_hargasebelumdiskon]]-Table1[[#This Row],[h_diskon]])</calculatedColumnFormula>
    </tableColumn>
    <tableColumn id="27" name="Total Invoice" dataDxfId="48" totalsRowDxfId="47">
      <calculatedColumnFormula>IF(Table1[//]="","",SUMIF(Table1[h_id],Table1[h_id],Table1[h_hargasetelahdiskon]))</calculatedColumnFormula>
    </tableColumn>
    <tableColumn id="28" name="KETERANGAN" dataDxfId="46" totalsRowDxfId="45"/>
    <tableColumn id="29" name="H_A1" dataDxfId="44" totalsRowDxfId="43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39">
  <autoFilter ref="C2:N55"/>
  <tableColumns count="12">
    <tableColumn id="1" name="//" totalsRowLabel="Total" dataDxfId="38">
      <calculatedColumnFormula>IF(ROW()-2&lt;=jNota,A3,"")</calculatedColumnFormula>
    </tableColumn>
    <tableColumn id="2" name="No. Invoice :" dataDxfId="37">
      <calculatedColumnFormula>IF(pajak[[#This Row],[//]]="","",INDEX(Table1[No. Invoice :],pajak[//]-offset))</calculatedColumnFormula>
    </tableColumn>
    <tableColumn id="3" name="Tgl Invoice :" dataDxfId="36">
      <calculatedColumnFormula>IF(pajak[[#This Row],[//]]="","",INDEX(Table1[Tgl Invoice :],pajak[//]-offset))</calculatedColumnFormula>
    </tableColumn>
    <tableColumn id="4" name="Kode Sales :" dataDxfId="35">
      <calculatedColumnFormula>IF(pajak[[#This Row],[//]]="","",INDEX(Table1[Kode Sales :],pajak[//]-offset))</calculatedColumnFormula>
    </tableColumn>
    <tableColumn id="5" name="Toko" dataDxfId="34">
      <calculatedColumnFormula>IF(pajak[[#This Row],[//]]="","",INDEX(Table1[Toko],pajak[//]-offset))</calculatedColumnFormula>
    </tableColumn>
    <tableColumn id="6" name="Total" totalsRowFunction="sum" dataDxfId="33" totalsRowDxfId="32">
      <calculatedColumnFormula>IF(pajak[[#This Row],[//]]="","",SUMIF(Table1[h_id],pajak[[#This Row],[//]],Table1[h_hargasebelumdiskon]))</calculatedColumnFormula>
    </tableColumn>
    <tableColumn id="7" name="Diskon" totalsRowFunction="sum" dataDxfId="31" totalsRowDxfId="30">
      <calculatedColumnFormula>IF(pajak[[#This Row],[//]]="","",SUMIF(Table1[h_id],pajak[[#This Row],[//]],Table1[h_diskon]))</calculatedColumnFormula>
    </tableColumn>
    <tableColumn id="8" name="Sub Total" totalsRowFunction="sum" dataDxfId="29" totalsRowDxfId="28">
      <calculatedColumnFormula>IF(pajak[[#This Row],[//]]="","",SUMIF(Table1[h_id],pajak[[#This Row],[//]],Table1[h_hargasetelahdiskon]))</calculatedColumnFormula>
    </tableColumn>
    <tableColumn id="9" name="PPN 11%" totalsRowFunction="sum" dataDxfId="27" totalsRowDxfId="26">
      <calculatedColumnFormula>IF(pajak[//]="","",pajak[[#This Row],[Sub Total]]/1.11*11%)</calculatedColumnFormula>
    </tableColumn>
    <tableColumn id="10" name="Total Invoice" totalsRowFunction="sum" dataDxfId="25" totalsRowDxfId="24">
      <calculatedColumnFormula>pajak[[#This Row],[Sub Total]]</calculatedColumnFormula>
    </tableColumn>
    <tableColumn id="14" name="pembuat nota" dataDxfId="23">
      <calculatedColumnFormula>IF(pajak[[#This Row],[//]]="","",INDEX(Table1[pembuat nota :],pajak[//]-offset))</calculatedColumnFormula>
    </tableColumn>
    <tableColumn id="15" name="edited" dataDxfId="22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21">
  <autoFilter ref="P2:U55"/>
  <tableColumns count="6">
    <tableColumn id="1" name="cek_ppn" dataDxfId="20">
      <calculatedColumnFormula>IF(pajak[[#This Row],[Kode Sales :]]="","",MATCH(pajak[[#This Row],[Kode Sales :]],[2]Invoice!$D:$D,0))</calculatedColumnFormula>
    </tableColumn>
    <tableColumn id="7" name="NO INVOICE" dataDxfId="19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18">
      <calculatedColumnFormula>IF((INDEX([2]Invoice!$D:$D,Table4[[#This Row],[cek_ppn]]-2))=pajak[[#This Row],[Tgl Invoice :]],1)</calculatedColumnFormula>
    </tableColumn>
    <tableColumn id="5" name="KODE SALES" dataDxfId="17">
      <calculatedColumnFormula>IF((INDEX([2]Invoice!$D:$D,Table4[[#This Row],[cek_ppn]]))=pajak[[#This Row],[Kode Sales :]],1)</calculatedColumnFormula>
    </tableColumn>
    <tableColumn id="4" name="TOTAL INVOICE" dataDxfId="16">
      <calculatedColumnFormula>IF((INDEX([2]Invoice!$K:$K,Table4[[#This Row],[cek_ppn]]+28))=pajak[[#This Row],[Total Invoice]],1)</calculatedColumnFormula>
    </tableColumn>
    <tableColumn id="3" name="PEMBUAT NOTA" dataDxfId="15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13">
      <calculatedColumnFormula>MATCH(A2,Table1[H_A1],0)</calculatedColumnFormula>
    </tableColumn>
    <tableColumn id="7" name="//DB" dataDxfId="12">
      <calculatedColumnFormula>MATCH(Table5[[#This Row],[NAMA]],[1]!db[NB PAJAK],0)</calculatedColumnFormula>
    </tableColumn>
    <tableColumn id="2" name="NAMA" dataDxfId="11">
      <calculatedColumnFormula>INDEX(Table1[Item Description],Table5[[#This Row],[//NOTA]])</calculatedColumnFormula>
    </tableColumn>
    <tableColumn id="3" name="QTY" dataDxfId="10">
      <calculatedColumnFormula>SUMIF(Table1[H_A1],Sheet5!A2,Table1[Qty])</calculatedColumnFormula>
    </tableColumn>
    <tableColumn id="4" name="UNIT" dataDxfId="9">
      <calculatedColumnFormula>INDEX(Table1[Unit],Table5[[#This Row],[//NOTA]])</calculatedColumnFormula>
    </tableColumn>
    <tableColumn id="5" name="C" dataDxfId="8">
      <calculatedColumnFormula>SUMIF(Table1[H_A1],Sheet5!A2,Table1[C])</calculatedColumnFormula>
    </tableColumn>
    <tableColumn id="6" name="Unit Price" dataDxfId="7">
      <calculatedColumnFormula>INDEX(Table1[Unit Price],Table5[[#This Row],[//NOTA]])</calculatedColumnFormula>
    </tableColumn>
    <tableColumn id="8" name="a1" dataDxfId="6">
      <calculatedColumnFormula>IF(Table5[[#This Row],[a2]]="","",Table5[[#This Row],[QTY]]*12)</calculatedColumnFormula>
    </tableColumn>
    <tableColumn id="9" name="a2" dataDxfId="5">
      <calculatedColumnFormula>IF(Table5[[#This Row],[UNIT]]="grs","LSN",IF(Table5[[#This Row],[UNIT]]="LSN","PCS",""))</calculatedColumnFormula>
    </tableColumn>
    <tableColumn id="10" name="b1" dataDxfId="4">
      <calculatedColumnFormula>IF(Table5[[#This Row],[a2]]="LSN",Table5[[#This Row],[a1]]*12,"")</calculatedColumnFormula>
    </tableColumn>
    <tableColumn id="11" name="b2" dataDxfId="3">
      <calculatedColumnFormula>IF(Table5[[#This Row],[b1]]="","","PCS")</calculatedColumnFormula>
    </tableColumn>
    <tableColumn id="12" name="c1" dataDxfId="2"/>
    <tableColumn id="13" name="c2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9" totalsRowShown="0">
  <autoFilter ref="A2:E19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6"/>
  <sheetViews>
    <sheetView topLeftCell="A148" zoomScale="85" zoomScaleNormal="85" workbookViewId="0">
      <selection activeCell="E190" sqref="E190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23030001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448</v>
      </c>
      <c r="Z2" s="93" t="s">
        <v>449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23030001</v>
      </c>
      <c r="C3" s="98">
        <v>44988</v>
      </c>
      <c r="D3" s="92" t="s">
        <v>118</v>
      </c>
      <c r="E3" s="97" t="s">
        <v>119</v>
      </c>
      <c r="F3" s="92" t="s">
        <v>88</v>
      </c>
      <c r="G3" s="95" t="str">
        <f>IF(Table1[[#This Row],[h_No. Invoice :]]="","",CONCATENATE("AM"," ",Table1[[#This Row],[h_No. Invoice :]]))</f>
        <v>AM 23030001</v>
      </c>
      <c r="H3" s="96" t="str">
        <f>CONCATENATE(UPPER(Table1[[#This Row],[h_Kode Sales :_1]])," ",Table1[[#This Row],[h_Kode Sales :_2]])</f>
        <v>KO 1182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100</v>
      </c>
      <c r="K3" s="92" t="s">
        <v>120</v>
      </c>
      <c r="L3" s="92">
        <v>5</v>
      </c>
      <c r="M3" s="92" t="s">
        <v>121</v>
      </c>
      <c r="N3" s="196" t="str">
        <f>IF(Table1[[#This Row],[h_Item Description]]="","",INDEX([1]!db[NB PAJAK],MATCH(Table1[[#This Row],[h_Item Description]],[1]!db[kode],0)))</f>
        <v>STAPLER KENKO HD-10</v>
      </c>
      <c r="O3" s="92" t="s">
        <v>122</v>
      </c>
      <c r="P3" s="93">
        <v>93000</v>
      </c>
      <c r="Q3" s="94">
        <v>0.13500000000000001</v>
      </c>
      <c r="S3" s="199">
        <f>Table1[[#This Row],[h_hargasetelahdiskon]]</f>
        <v>8044500</v>
      </c>
      <c r="T3" s="93" t="s">
        <v>123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9300000</v>
      </c>
      <c r="Y3" s="93">
        <f>IF(Table1[[#This Row],[h_hargasebelumdiskon]]="","",IF(Table1[[#This Row],[Disc 1]]="",0,Table1[[#This Row],[h_hargasebelumdiskon]]*Table1[[#This Row],[Disc 1]]))</f>
        <v>1255500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1255500</v>
      </c>
      <c r="AB3" s="93">
        <f>IF(Table1[Item Description]="","",Table1[[#This Row],[h_hargasebelumdiskon]]-Table1[[#This Row],[h_diskon]])</f>
        <v>8044500</v>
      </c>
      <c r="AC3" s="93">
        <f ca="1">IF(Table1[//]="","",SUMIF(Table1[h_id],Table1[h_id],Table1[h_hargasetelahdiskon]))</f>
        <v>8044500</v>
      </c>
      <c r="AD3" s="93"/>
      <c r="AE3" s="93" t="str">
        <f>Table1[[#This Row],[Item Description]]&amp;Table1[[#This Row],[Unit]]&amp;Table1[[#This Row],[Unit Price]]</f>
        <v>STAPLER KENKO HD-10LSN93000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:_1]="","",B$1+COUNT(B$2:B3))</f>
        <v>23030002</v>
      </c>
      <c r="C5" s="98">
        <v>44988</v>
      </c>
      <c r="D5" s="92" t="s">
        <v>118</v>
      </c>
      <c r="E5" s="97" t="s">
        <v>124</v>
      </c>
      <c r="F5" s="92" t="s">
        <v>42</v>
      </c>
      <c r="G5" s="95" t="str">
        <f>IF(Table1[[#This Row],[h_No. Invoice :]]="","",CONCATENATE("AM"," ",Table1[[#This Row],[h_No. Invoice :]]))</f>
        <v>AM 23030002</v>
      </c>
      <c r="H5" s="96" t="str">
        <f>CONCATENATE(UPPER(Table1[[#This Row],[h_Kode Sales :_1]])," ",Table1[[#This Row],[h_Kode Sales :_2]])</f>
        <v>KO 1097</v>
      </c>
      <c r="I5" s="95" t="str">
        <f>IF(Table1[[#This Row],[h_toko]]="","",INDEX(Table2[e],IF(Table1[[#This Row],[h_toko]]="","",MATCH(Table1[[#This Row],[h_toko]],Table2[a],0)),))</f>
        <v>CV TRINITY CENTRAAL PURWOKERTO</v>
      </c>
      <c r="J5" s="92">
        <v>24</v>
      </c>
      <c r="K5" s="92" t="s">
        <v>125</v>
      </c>
      <c r="L5" s="92">
        <v>1</v>
      </c>
      <c r="M5" s="92" t="s">
        <v>126</v>
      </c>
      <c r="N5" s="196" t="str">
        <f>IF(Table1[[#This Row],[h_Item Description]]="","",INDEX([1]!db[NB PAJAK],MATCH(Table1[[#This Row],[h_Item Description]],[1]!db[kode],0)))</f>
        <v>CRAYON / OIL PASTEL JOYKO OP-72S PP CASE SEA WORLD</v>
      </c>
      <c r="O5" s="92" t="s">
        <v>129</v>
      </c>
      <c r="P5" s="93">
        <v>96000</v>
      </c>
      <c r="Q5" s="94">
        <v>0.13</v>
      </c>
      <c r="S5" s="199">
        <f>Table1[[#This Row],[h_hargasetelahdiskon]]</f>
        <v>2004480</v>
      </c>
      <c r="T5" s="93" t="s">
        <v>123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3</v>
      </c>
      <c r="X5" s="93">
        <f>IF(Table1[Item Description]="","",Table1[[#This Row],[Qty]]*Table1[[#This Row],[Unit Price]])</f>
        <v>2304000</v>
      </c>
      <c r="Y5" s="93">
        <f>IF(Table1[[#This Row],[h_hargasebelumdiskon]]="","",IF(Table1[[#This Row],[Disc 1]]="",0,Table1[[#This Row],[h_hargasebelumdiskon]]*Table1[[#This Row],[Disc 1]]))</f>
        <v>299520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299520</v>
      </c>
      <c r="AB5" s="93">
        <f>IF(Table1[Item Description]="","",Table1[[#This Row],[h_hargasebelumdiskon]]-Table1[[#This Row],[h_diskon]])</f>
        <v>2004480</v>
      </c>
      <c r="AC5" s="93">
        <f ca="1">IF(Table1[//]="","",SUMIF(Table1[h_id],Table1[h_id],Table1[h_hargasetelahdiskon]))</f>
        <v>4048110</v>
      </c>
      <c r="AD5" s="93"/>
      <c r="AE5" s="93" t="str">
        <f>Table1[[#This Row],[Item Description]]&amp;Table1[[#This Row],[Unit]]&amp;Table1[[#This Row],[Unit Price]]</f>
        <v>CRAYON / OIL PASTEL JOYKO OP-72S PP CASE SEA WORLDPCS96000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5</v>
      </c>
      <c r="K6" s="92" t="s">
        <v>127</v>
      </c>
      <c r="L6" s="92">
        <v>1</v>
      </c>
      <c r="M6" s="92" t="s">
        <v>176</v>
      </c>
      <c r="N6" s="196" t="str">
        <f>IF(Table1[[#This Row],[h_Item Description]]="","",INDEX([1]!db[NB PAJAK],MATCH(Table1[[#This Row],[h_Item Description]],[1]!db[kode],0)))</f>
        <v>BINDER CLIP JOYKO 260</v>
      </c>
      <c r="O6" s="92" t="s">
        <v>177</v>
      </c>
      <c r="P6" s="93">
        <v>177000</v>
      </c>
      <c r="Q6" s="94">
        <v>0.13</v>
      </c>
      <c r="S6" s="199">
        <f>Table1[[#This Row],[h_hargasetelahdiskon]]</f>
        <v>769950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3</v>
      </c>
      <c r="X6" s="93">
        <f>IF(Table1[Item Description]="","",Table1[[#This Row],[Qty]]*Table1[[#This Row],[Unit Price]])</f>
        <v>885000</v>
      </c>
      <c r="Y6" s="93">
        <f>IF(Table1[[#This Row],[h_hargasebelumdiskon]]="","",IF(Table1[[#This Row],[Disc 1]]="",0,Table1[[#This Row],[h_hargasebelumdiskon]]*Table1[[#This Row],[Disc 1]]))</f>
        <v>115050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115050</v>
      </c>
      <c r="AB6" s="93">
        <f>IF(Table1[Item Description]="","",Table1[[#This Row],[h_hargasebelumdiskon]]-Table1[[#This Row],[h_diskon]])</f>
        <v>769950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BINDER CLIP JOYKO 260GRS177000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120</v>
      </c>
      <c r="K7" s="92" t="s">
        <v>125</v>
      </c>
      <c r="L7" s="92">
        <v>1</v>
      </c>
      <c r="N7" s="196" t="str">
        <f>IF(Table1[[#This Row],[h_Item Description]]="","",INDEX([1]!db[NB PAJAK],MATCH(Table1[[#This Row],[h_Item Description]],[1]!db[kode],0)))</f>
        <v/>
      </c>
      <c r="O7" s="92" t="s">
        <v>128</v>
      </c>
      <c r="P7" s="93">
        <v>12200</v>
      </c>
      <c r="Q7" s="94">
        <v>0.13</v>
      </c>
      <c r="S7" s="199">
        <f>Table1[[#This Row],[h_hargasetelahdiskon]]</f>
        <v>1273680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3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190320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190320</v>
      </c>
      <c r="AB7" s="93">
        <f>IF(Table1[Item Description]="","",Table1[[#This Row],[h_hargasebelumdiskon]]-Table1[[#This Row],[h_diskon]])</f>
        <v>1273680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PLAKBAND KAIN HITAM KENKO 48 MM (2") BLUE COREPCS12200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23030003</v>
      </c>
      <c r="C9" s="98">
        <v>44988</v>
      </c>
      <c r="D9" s="92" t="s">
        <v>130</v>
      </c>
      <c r="E9" s="97" t="s">
        <v>131</v>
      </c>
      <c r="F9" s="92" t="s">
        <v>97</v>
      </c>
      <c r="G9" s="95" t="str">
        <f>IF(Table1[[#This Row],[h_No. Invoice :]]="","",CONCATENATE("AM"," ",Table1[[#This Row],[h_No. Invoice :]]))</f>
        <v>AM 23030003</v>
      </c>
      <c r="H9" s="96" t="str">
        <f>CONCATENATE(UPPER(Table1[[#This Row],[h_Kode Sales :_1]])," ",Table1[[#This Row],[h_Kode Sales :_2]])</f>
        <v>G 1012</v>
      </c>
      <c r="I9" s="95" t="str">
        <f>IF(Table1[[#This Row],[h_toko]]="","",INDEX(Table2[e],IF(Table1[[#This Row],[h_toko]]="","",MATCH(Table1[[#This Row],[h_toko]],Table2[a],0)),))</f>
        <v>LILY JULIAWATI (REJO AGUNG) JOMBANG</v>
      </c>
      <c r="J9" s="92">
        <v>180</v>
      </c>
      <c r="K9" s="92" t="s">
        <v>120</v>
      </c>
      <c r="L9" s="92">
        <v>3</v>
      </c>
      <c r="M9" s="92" t="s">
        <v>132</v>
      </c>
      <c r="N9" s="196" t="str">
        <f>IF(Table1[[#This Row],[h_Item Description]]="","",INDEX([1]!db[NB PAJAK],MATCH(Table1[[#This Row],[h_Item Description]],[1]!db[kode],0)))</f>
        <v>ISI CUTTER 18 MM KENKO L-150 (BESAR)</v>
      </c>
      <c r="O9" s="92" t="s">
        <v>133</v>
      </c>
      <c r="P9" s="93">
        <v>64800</v>
      </c>
      <c r="Q9" s="94">
        <v>0.125</v>
      </c>
      <c r="S9" s="199">
        <f>Table1[[#This Row],[h_hargasetelahdiskon]]</f>
        <v>10206000</v>
      </c>
      <c r="T9" s="93" t="s">
        <v>123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1</v>
      </c>
      <c r="X9" s="93">
        <f>IF(Table1[Item Description]="","",Table1[[#This Row],[Qty]]*Table1[[#This Row],[Unit Price]])</f>
        <v>11664000</v>
      </c>
      <c r="Y9" s="93">
        <f>IF(Table1[[#This Row],[h_hargasebelumdiskon]]="","",IF(Table1[[#This Row],[Disc 1]]="",0,Table1[[#This Row],[h_hargasebelumdiskon]]*Table1[[#This Row],[Disc 1]]))</f>
        <v>1458000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1458000</v>
      </c>
      <c r="AB9" s="93">
        <f>IF(Table1[Item Description]="","",Table1[[#This Row],[h_hargasebelumdiskon]]-Table1[[#This Row],[h_diskon]])</f>
        <v>10206000</v>
      </c>
      <c r="AC9" s="93">
        <f ca="1">IF(Table1[//]="","",SUMIF(Table1[h_id],Table1[h_id],Table1[h_hargasetelahdiskon]))</f>
        <v>10206000</v>
      </c>
      <c r="AD9" s="93"/>
      <c r="AE9" s="93" t="str">
        <f>Table1[[#This Row],[Item Description]]&amp;Table1[[#This Row],[Unit]]&amp;Table1[[#This Row],[Unit Price]]</f>
        <v>ISI CUTTER 18 MM KENKO L-150 (BESAR)LSN64800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N10" s="196" t="str">
        <f>IF(Table1[[#This Row],[h_Item Description]]="","",INDEX([1]!db[NB PAJAK],MATCH(Table1[[#This Row],[h_Item Description]],[1]!db[kode],0)))</f>
        <v/>
      </c>
      <c r="P10" s="93"/>
      <c r="Q10" s="94"/>
      <c r="S10" s="199" t="str">
        <f>Table1[[#This Row],[h_hargasetelahdiskon]]</f>
        <v/>
      </c>
      <c r="V10" s="95" t="str">
        <f ca="1">IF(Table1[[#This Row],[Item Description]]="","",IF(Table1[[#This Row],[//]]="",INDIRECT(ADDRESS(ROW()-1,COLUMN())),Table1[[#This Row],[//]]))</f>
        <v/>
      </c>
      <c r="W10" s="95" t="str">
        <f ca="1">IF(Table1[[#This Row],[h_id]]="","",COUNTIF(Table1[h_id],Table1[[#This Row],[h_id]]))</f>
        <v/>
      </c>
      <c r="X10" s="93" t="str">
        <f>IF(Table1[Item Description]="","",Table1[[#This Row],[Qty]]*Table1[[#This Row],[Unit Price]])</f>
        <v/>
      </c>
      <c r="Y10" s="93" t="str">
        <f>IF(Table1[[#This Row],[h_hargasebelumdiskon]]="","",IF(Table1[[#This Row],[Disc 1]]="",0,Table1[[#This Row],[h_hargasebelumdiskon]]*Table1[[#This Row],[Disc 1]]))</f>
        <v/>
      </c>
      <c r="Z10" s="93" t="str">
        <f>IF(Table1[[#This Row],[h_hargasebelumdiskon]]="","",IF(Table1[[#This Row],[Disc 2]]="",0,(Table1[[#This Row],[h_hargasebelumdiskon]]-Table1[[#This Row],[h_disc 1]])*Table1[[#This Row],[Disc 2]]))</f>
        <v/>
      </c>
      <c r="AA10" s="93" t="str">
        <f>IF(Table1[Item Description]="","",Table1[[#This Row],[h_disc 1]]+Table1[[#This Row],[h_disc 2]])</f>
        <v/>
      </c>
      <c r="AB10" s="93" t="str">
        <f>IF(Table1[Item Description]="","",Table1[[#This Row],[h_hargasebelumdiskon]]-Table1[[#This Row],[h_diskon]])</f>
        <v/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/>
      </c>
    </row>
    <row r="11" spans="1:31" x14ac:dyDescent="0.25">
      <c r="A11" s="95">
        <f>IF(Table1[[#This Row],[No. Invoice :]]="","",ROW())</f>
        <v>11</v>
      </c>
      <c r="B11" s="196">
        <f>IF(Table1[h_Kode Sales :_1]="","",B$1+COUNT(B$2:B10))</f>
        <v>23030004</v>
      </c>
      <c r="C11" s="98">
        <v>44991</v>
      </c>
      <c r="D11" s="92" t="s">
        <v>118</v>
      </c>
      <c r="E11" s="97" t="s">
        <v>138</v>
      </c>
      <c r="F11" s="92" t="s">
        <v>95</v>
      </c>
      <c r="G11" s="95" t="str">
        <f>IF(Table1[[#This Row],[h_No. Invoice :]]="","",CONCATENATE("AM"," ",Table1[[#This Row],[h_No. Invoice :]]))</f>
        <v>AM 23030004</v>
      </c>
      <c r="H11" s="96" t="str">
        <f>CONCATENATE(UPPER(Table1[[#This Row],[h_Kode Sales :_1]])," ",Table1[[#This Row],[h_Kode Sales :_2]])</f>
        <v>KO 1192</v>
      </c>
      <c r="I11" s="95" t="str">
        <f>IF(Table1[[#This Row],[h_toko]]="","",INDEX(Table2[e],IF(Table1[[#This Row],[h_toko]]="","",MATCH(Table1[[#This Row],[h_toko]],Table2[a],0)),))</f>
        <v>CV  WISUDA PURWOKERTO</v>
      </c>
      <c r="J11" s="92">
        <v>20</v>
      </c>
      <c r="K11" s="92" t="s">
        <v>127</v>
      </c>
      <c r="M11" s="92" t="s">
        <v>139</v>
      </c>
      <c r="N11" s="196" t="str">
        <f>IF(Table1[[#This Row],[h_Item Description]]="","",INDEX([1]!db[NB PAJAK],MATCH(Table1[[#This Row],[h_Item Description]],[1]!db[kode],0)))</f>
        <v>BINDER CLIP JOYKO 105</v>
      </c>
      <c r="O11" s="92" t="s">
        <v>142</v>
      </c>
      <c r="P11" s="93">
        <v>27600</v>
      </c>
      <c r="Q11" s="94">
        <v>0.1</v>
      </c>
      <c r="S11" s="199">
        <f>Table1[[#This Row],[h_hargasetelahdiskon]]</f>
        <v>496800</v>
      </c>
      <c r="T11" s="93" t="s">
        <v>123</v>
      </c>
      <c r="V11" s="95">
        <f ca="1">IF(Table1[[#This Row],[Item Description]]="","",IF(Table1[[#This Row],[//]]="",INDIRECT(ADDRESS(ROW()-1,COLUMN())),Table1[[#This Row],[//]]))</f>
        <v>11</v>
      </c>
      <c r="W11" s="95">
        <f ca="1">IF(Table1[[#This Row],[h_id]]="","",COUNTIF(Table1[h_id],Table1[[#This Row],[h_id]]))</f>
        <v>2</v>
      </c>
      <c r="X11" s="93">
        <f>IF(Table1[Item Description]="","",Table1[[#This Row],[Qty]]*Table1[[#This Row],[Unit Price]])</f>
        <v>552000</v>
      </c>
      <c r="Y11" s="93">
        <f>IF(Table1[[#This Row],[h_hargasebelumdiskon]]="","",IF(Table1[[#This Row],[Disc 1]]="",0,Table1[[#This Row],[h_hargasebelumdiskon]]*Table1[[#This Row],[Disc 1]]))</f>
        <v>55200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55200</v>
      </c>
      <c r="AB11" s="93">
        <f>IF(Table1[Item Description]="","",Table1[[#This Row],[h_hargasebelumdiskon]]-Table1[[#This Row],[h_diskon]])</f>
        <v>496800</v>
      </c>
      <c r="AC11" s="93">
        <f ca="1">IF(Table1[//]="","",SUMIF(Table1[h_id],Table1[h_id],Table1[h_hargasetelahdiskon]))</f>
        <v>832140</v>
      </c>
      <c r="AD11" s="93"/>
      <c r="AE11" s="93" t="str">
        <f>Table1[[#This Row],[Item Description]]&amp;Table1[[#This Row],[Unit]]&amp;Table1[[#This Row],[Unit Price]]</f>
        <v>BINDER CLIP JOYKO 105GRS27600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3</v>
      </c>
      <c r="K12" s="92" t="s">
        <v>120</v>
      </c>
      <c r="M12" s="92" t="s">
        <v>140</v>
      </c>
      <c r="N12" s="196" t="str">
        <f>IF(Table1[[#This Row],[h_Item Description]]="","",INDEX([1]!db[NB PAJAK],MATCH(Table1[[#This Row],[h_Item Description]],[1]!db[kode],0)))</f>
        <v>PENSIL WARNA KENKO CP-12F CLASSIC (PANJANG)</v>
      </c>
      <c r="O12" s="92" t="s">
        <v>141</v>
      </c>
      <c r="P12" s="93">
        <v>124200</v>
      </c>
      <c r="Q12" s="94">
        <v>0.1</v>
      </c>
      <c r="S12" s="199">
        <f>Table1[[#This Row],[h_hargasetelahdiskon]]</f>
        <v>335340</v>
      </c>
      <c r="V12" s="95">
        <f ca="1">IF(Table1[[#This Row],[Item Description]]="","",IF(Table1[[#This Row],[//]]="",INDIRECT(ADDRESS(ROW()-1,COLUMN())),Table1[[#This Row],[//]]))</f>
        <v>11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372600</v>
      </c>
      <c r="Y12" s="93">
        <f>IF(Table1[[#This Row],[h_hargasebelumdiskon]]="","",IF(Table1[[#This Row],[Disc 1]]="",0,Table1[[#This Row],[h_hargasebelumdiskon]]*Table1[[#This Row],[Disc 1]]))</f>
        <v>37260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37260</v>
      </c>
      <c r="AB12" s="93">
        <f>IF(Table1[Item Description]="","",Table1[[#This Row],[h_hargasebelumdiskon]]-Table1[[#This Row],[h_diskon]])</f>
        <v>335340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PENSIL WARNA KENKO CP-12F CLASSIC (PANJANG)LSN124200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N13" s="196" t="str">
        <f>IF(Table1[[#This Row],[h_Item Description]]="","",INDEX([1]!db[NB PAJAK],MATCH(Table1[[#This Row],[h_Item Description]],[1]!db[kode],0)))</f>
        <v/>
      </c>
      <c r="P13" s="93"/>
      <c r="Q13" s="94"/>
      <c r="S13" s="199" t="str">
        <f>Table1[[#This Row],[h_hargasetelahdiskon]]</f>
        <v/>
      </c>
      <c r="V13" s="95" t="str">
        <f ca="1">IF(Table1[[#This Row],[Item Description]]="","",IF(Table1[[#This Row],[//]]="",INDIRECT(ADDRESS(ROW()-1,COLUMN())),Table1[[#This Row],[//]]))</f>
        <v/>
      </c>
      <c r="W13" s="95" t="str">
        <f ca="1">IF(Table1[[#This Row],[h_id]]="","",COUNTIF(Table1[h_id],Table1[[#This Row],[h_id]]))</f>
        <v/>
      </c>
      <c r="X13" s="93" t="str">
        <f>IF(Table1[Item Description]="","",Table1[[#This Row],[Qty]]*Table1[[#This Row],[Unit Price]])</f>
        <v/>
      </c>
      <c r="Y13" s="93" t="str">
        <f>IF(Table1[[#This Row],[h_hargasebelumdiskon]]="","",IF(Table1[[#This Row],[Disc 1]]="",0,Table1[[#This Row],[h_hargasebelumdiskon]]*Table1[[#This Row],[Disc 1]]))</f>
        <v/>
      </c>
      <c r="Z13" s="93" t="str">
        <f>IF(Table1[[#This Row],[h_hargasebelumdiskon]]="","",IF(Table1[[#This Row],[Disc 2]]="",0,(Table1[[#This Row],[h_hargasebelumdiskon]]-Table1[[#This Row],[h_disc 1]])*Table1[[#This Row],[Disc 2]]))</f>
        <v/>
      </c>
      <c r="AA13" s="93" t="str">
        <f>IF(Table1[Item Description]="","",Table1[[#This Row],[h_disc 1]]+Table1[[#This Row],[h_disc 2]])</f>
        <v/>
      </c>
      <c r="AB13" s="93" t="str">
        <f>IF(Table1[Item Description]="","",Table1[[#This Row],[h_hargasebelumdiskon]]-Table1[[#This Row],[h_diskon]])</f>
        <v/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/>
      </c>
    </row>
    <row r="14" spans="1:31" x14ac:dyDescent="0.25">
      <c r="A14" s="95">
        <f>IF(Table1[[#This Row],[No. Invoice :]]="","",ROW())</f>
        <v>14</v>
      </c>
      <c r="B14" s="196">
        <f>IF(Table1[h_Kode Sales :_1]="","",B$1+COUNT(B$2:B13))</f>
        <v>23030005</v>
      </c>
      <c r="C14" s="98">
        <v>44991</v>
      </c>
      <c r="D14" s="92" t="s">
        <v>118</v>
      </c>
      <c r="E14" s="97" t="s">
        <v>145</v>
      </c>
      <c r="F14" s="92" t="s">
        <v>42</v>
      </c>
      <c r="G14" s="95" t="str">
        <f>IF(Table1[[#This Row],[h_No. Invoice :]]="","",CONCATENATE("AM"," ",Table1[[#This Row],[h_No. Invoice :]]))</f>
        <v>AM 23030005</v>
      </c>
      <c r="H14" s="96" t="str">
        <f>CONCATENATE(UPPER(Table1[[#This Row],[h_Kode Sales :_1]])," ",Table1[[#This Row],[h_Kode Sales :_2]])</f>
        <v>KO 2906</v>
      </c>
      <c r="I14" s="95" t="str">
        <f>IF(Table1[[#This Row],[h_toko]]="","",INDEX(Table2[e],IF(Table1[[#This Row],[h_toko]]="","",MATCH(Table1[[#This Row],[h_toko]],Table2[a],0)),))</f>
        <v>CV TRINITY CENTRAAL PURWOKERTO</v>
      </c>
      <c r="J14" s="92">
        <v>36</v>
      </c>
      <c r="K14" s="92" t="s">
        <v>146</v>
      </c>
      <c r="L14" s="92">
        <v>1</v>
      </c>
      <c r="M14" s="92" t="s">
        <v>147</v>
      </c>
      <c r="N14" s="196" t="str">
        <f>IF(Table1[[#This Row],[h_Item Description]]="","",INDEX([1]!db[NB PAJAK],MATCH(Table1[[#This Row],[h_Item Description]],[1]!db[kode],0)))</f>
        <v>LEM STICK KENKO 8 GR (KECIL) isi 30 pc</v>
      </c>
      <c r="O14" s="92" t="s">
        <v>149</v>
      </c>
      <c r="P14" s="93">
        <v>66000</v>
      </c>
      <c r="Q14" s="94">
        <v>0.13</v>
      </c>
      <c r="S14" s="199">
        <f>Table1[[#This Row],[h_hargasetelahdiskon]]</f>
        <v>2067120</v>
      </c>
      <c r="T14" s="93" t="s">
        <v>123</v>
      </c>
      <c r="V14" s="95">
        <f ca="1">IF(Table1[[#This Row],[Item Description]]="","",IF(Table1[[#This Row],[//]]="",INDIRECT(ADDRESS(ROW()-1,COLUMN())),Table1[[#This Row],[//]]))</f>
        <v>14</v>
      </c>
      <c r="W14" s="95">
        <f ca="1">IF(Table1[[#This Row],[h_id]]="","",COUNTIF(Table1[h_id],Table1[[#This Row],[h_id]]))</f>
        <v>2</v>
      </c>
      <c r="X14" s="93">
        <f>IF(Table1[Item Description]="","",Table1[[#This Row],[Qty]]*Table1[[#This Row],[Unit Price]])</f>
        <v>2376000</v>
      </c>
      <c r="Y14" s="93">
        <f>IF(Table1[[#This Row],[h_hargasebelumdiskon]]="","",IF(Table1[[#This Row],[Disc 1]]="",0,Table1[[#This Row],[h_hargasebelumdiskon]]*Table1[[#This Row],[Disc 1]]))</f>
        <v>308880</v>
      </c>
      <c r="Z14" s="93">
        <f>IF(Table1[[#This Row],[h_hargasebelumdiskon]]="","",IF(Table1[[#This Row],[Disc 2]]="",0,(Table1[[#This Row],[h_hargasebelumdiskon]]-Table1[[#This Row],[h_disc 1]])*Table1[[#This Row],[Disc 2]]))</f>
        <v>0</v>
      </c>
      <c r="AA14" s="93">
        <f>IF(Table1[Item Description]="","",Table1[[#This Row],[h_disc 1]]+Table1[[#This Row],[h_disc 2]])</f>
        <v>308880</v>
      </c>
      <c r="AB14" s="93">
        <f>IF(Table1[Item Description]="","",Table1[[#This Row],[h_hargasebelumdiskon]]-Table1[[#This Row],[h_diskon]])</f>
        <v>2067120</v>
      </c>
      <c r="AC14" s="93">
        <f ca="1">IF(Table1[//]="","",SUMIF(Table1[h_id],Table1[h_id],Table1[h_hargasetelahdiskon]))</f>
        <v>4322160</v>
      </c>
      <c r="AD14" s="93"/>
      <c r="AE14" s="93" t="str">
        <f>Table1[[#This Row],[Item Description]]&amp;Table1[[#This Row],[Unit]]&amp;Table1[[#This Row],[Unit Price]]</f>
        <v>LEM STICK KENKO 8 GR (KECIL) isi 30 pcBOX66000</v>
      </c>
    </row>
    <row r="15" spans="1:31" x14ac:dyDescent="0.25">
      <c r="A15" s="95" t="str">
        <f>IF(Table1[[#This Row],[No. Invoice :]]="","",ROW())</f>
        <v/>
      </c>
      <c r="B15" s="196" t="str">
        <f>IF(Table1[h_Kode Sales :_1]="","",B$1+COUNT(B$2:B14))</f>
        <v/>
      </c>
      <c r="D15" s="197"/>
      <c r="E15" s="198"/>
      <c r="F15" s="197"/>
      <c r="G15" s="95" t="str">
        <f>IF(Table1[[#This Row],[h_No. Invoice :]]="","",CONCATENATE("AM"," ",Table1[[#This Row],[h_No. Invoice :]]))</f>
        <v/>
      </c>
      <c r="H15" s="96" t="str">
        <f>CONCATENATE(UPPER(Table1[[#This Row],[h_Kode Sales :_1]])," ",Table1[[#This Row],[h_Kode Sales :_2]])</f>
        <v xml:space="preserve"> </v>
      </c>
      <c r="I15" s="95" t="str">
        <f>IF(Table1[[#This Row],[h_toko]]="","",INDEX(Table2[e],IF(Table1[[#This Row],[h_toko]]="","",MATCH(Table1[[#This Row],[h_toko]],Table2[a],0)),))</f>
        <v/>
      </c>
      <c r="J15" s="92">
        <v>36</v>
      </c>
      <c r="K15" s="92" t="s">
        <v>146</v>
      </c>
      <c r="L15" s="92">
        <v>1</v>
      </c>
      <c r="M15" s="92" t="s">
        <v>148</v>
      </c>
      <c r="N15" s="196" t="str">
        <f>IF(Table1[[#This Row],[h_Item Description]]="","",INDEX([1]!db[NB PAJAK],MATCH(Table1[[#This Row],[h_Item Description]],[1]!db[kode],0)))</f>
        <v>LEM STICK KENKO 15 GR (TANGGUNG) isi 20 pc</v>
      </c>
      <c r="O15" s="92" t="s">
        <v>150</v>
      </c>
      <c r="P15" s="93">
        <v>72000</v>
      </c>
      <c r="Q15" s="94">
        <v>0.13</v>
      </c>
      <c r="S15" s="199">
        <f>Table1[[#This Row],[h_hargasetelahdiskon]]</f>
        <v>2255040</v>
      </c>
      <c r="V15" s="95">
        <f ca="1">IF(Table1[[#This Row],[Item Description]]="","",IF(Table1[[#This Row],[//]]="",INDIRECT(ADDRESS(ROW()-1,COLUMN())),Table1[[#This Row],[//]]))</f>
        <v>14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2592000</v>
      </c>
      <c r="Y15" s="93">
        <f>IF(Table1[[#This Row],[h_hargasebelumdiskon]]="","",IF(Table1[[#This Row],[Disc 1]]="",0,Table1[[#This Row],[h_hargasebelumdiskon]]*Table1[[#This Row],[Disc 1]]))</f>
        <v>336960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336960</v>
      </c>
      <c r="AB15" s="93">
        <f>IF(Table1[Item Description]="","",Table1[[#This Row],[h_hargasebelumdiskon]]-Table1[[#This Row],[h_diskon]])</f>
        <v>2255040</v>
      </c>
      <c r="AC15" s="93" t="str">
        <f>IF(Table1[//]="","",SUMIF(Table1[h_id],Table1[h_id],Table1[h_hargasetelahdiskon]))</f>
        <v/>
      </c>
      <c r="AD15" s="93"/>
      <c r="AE15" s="93" t="str">
        <f>Table1[[#This Row],[Item Description]]&amp;Table1[[#This Row],[Unit]]&amp;Table1[[#This Row],[Unit Price]]</f>
        <v>LEM STICK KENKO 15 GR (TANGGUNG) isi 20 pcBOX72000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N16" s="196" t="str">
        <f>IF(Table1[[#This Row],[h_Item Description]]="","",INDEX([1]!db[NB PAJAK],MATCH(Table1[[#This Row],[h_Item Description]],[1]!db[kode],0)))</f>
        <v/>
      </c>
      <c r="P16" s="93"/>
      <c r="Q16" s="94"/>
      <c r="S16" s="199" t="str">
        <f>Table1[[#This Row],[h_hargasetelahdiskon]]</f>
        <v/>
      </c>
      <c r="V16" s="95" t="str">
        <f ca="1">IF(Table1[[#This Row],[Item Description]]="","",IF(Table1[[#This Row],[//]]="",INDIRECT(ADDRESS(ROW()-1,COLUMN())),Table1[[#This Row],[//]]))</f>
        <v/>
      </c>
      <c r="W16" s="95" t="str">
        <f ca="1">IF(Table1[[#This Row],[h_id]]="","",COUNTIF(Table1[h_id],Table1[[#This Row],[h_id]]))</f>
        <v/>
      </c>
      <c r="X16" s="93" t="str">
        <f>IF(Table1[Item Description]="","",Table1[[#This Row],[Qty]]*Table1[[#This Row],[Unit Price]])</f>
        <v/>
      </c>
      <c r="Y16" s="93" t="str">
        <f>IF(Table1[[#This Row],[h_hargasebelumdiskon]]="","",IF(Table1[[#This Row],[Disc 1]]="",0,Table1[[#This Row],[h_hargasebelumdiskon]]*Table1[[#This Row],[Disc 1]]))</f>
        <v/>
      </c>
      <c r="Z16" s="93" t="str">
        <f>IF(Table1[[#This Row],[h_hargasebelumdiskon]]="","",IF(Table1[[#This Row],[Disc 2]]="",0,(Table1[[#This Row],[h_hargasebelumdiskon]]-Table1[[#This Row],[h_disc 1]])*Table1[[#This Row],[Disc 2]]))</f>
        <v/>
      </c>
      <c r="AA16" s="93" t="str">
        <f>IF(Table1[Item Description]="","",Table1[[#This Row],[h_disc 1]]+Table1[[#This Row],[h_disc 2]])</f>
        <v/>
      </c>
      <c r="AB16" s="93" t="str">
        <f>IF(Table1[Item Description]="","",Table1[[#This Row],[h_hargasebelumdiskon]]-Table1[[#This Row],[h_diskon]])</f>
        <v/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/>
      </c>
    </row>
    <row r="17" spans="1:31" x14ac:dyDescent="0.25">
      <c r="A17" s="95">
        <f>IF(Table1[[#This Row],[No. Invoice :]]="","",ROW())</f>
        <v>17</v>
      </c>
      <c r="B17" s="196">
        <f>IF(Table1[h_Kode Sales :_1]="","",B$1+COUNT(B$2:B16))</f>
        <v>23030006</v>
      </c>
      <c r="C17" s="98">
        <v>44991</v>
      </c>
      <c r="D17" s="92" t="s">
        <v>118</v>
      </c>
      <c r="E17" s="97" t="s">
        <v>153</v>
      </c>
      <c r="F17" s="92" t="s">
        <v>88</v>
      </c>
      <c r="G17" s="95" t="str">
        <f>IF(Table1[[#This Row],[h_No. Invoice :]]="","",CONCATENATE("AM"," ",Table1[[#This Row],[h_No. Invoice :]]))</f>
        <v>AM 23030006</v>
      </c>
      <c r="H17" s="96" t="str">
        <f>CONCATENATE(UPPER(Table1[[#This Row],[h_Kode Sales :_1]])," ",Table1[[#This Row],[h_Kode Sales :_2]])</f>
        <v>KO 2907</v>
      </c>
      <c r="I17" s="95" t="str">
        <f>IF(Table1[[#This Row],[h_toko]]="","",INDEX(Table2[e],IF(Table1[[#This Row],[h_toko]]="","",MATCH(Table1[[#This Row],[h_toko]],Table2[a],0)),))</f>
        <v>CV PELITA JAYA (ANUGERAH SEJAHTERA) PURWOKERTO</v>
      </c>
      <c r="J17" s="92">
        <v>36</v>
      </c>
      <c r="K17" s="92" t="s">
        <v>146</v>
      </c>
      <c r="L17" s="92">
        <v>1</v>
      </c>
      <c r="M17" s="92" t="s">
        <v>147</v>
      </c>
      <c r="N17" s="196" t="str">
        <f>IF(Table1[[#This Row],[h_Item Description]]="","",INDEX([1]!db[NB PAJAK],MATCH(Table1[[#This Row],[h_Item Description]],[1]!db[kode],0)))</f>
        <v>LEM STICK KENKO 8 GR (KECIL) isi 30 pc</v>
      </c>
      <c r="O17" s="92" t="s">
        <v>149</v>
      </c>
      <c r="P17" s="93">
        <v>66000</v>
      </c>
      <c r="Q17" s="94">
        <v>0.13500000000000001</v>
      </c>
      <c r="S17" s="199">
        <f>Table1[[#This Row],[h_hargasetelahdiskon]]</f>
        <v>2055240</v>
      </c>
      <c r="T17" s="93" t="s">
        <v>123</v>
      </c>
      <c r="V17" s="95">
        <f ca="1">IF(Table1[[#This Row],[Item Description]]="","",IF(Table1[[#This Row],[//]]="",INDIRECT(ADDRESS(ROW()-1,COLUMN())),Table1[[#This Row],[//]]))</f>
        <v>17</v>
      </c>
      <c r="W17" s="95">
        <f ca="1">IF(Table1[[#This Row],[h_id]]="","",COUNTIF(Table1[h_id],Table1[[#This Row],[h_id]]))</f>
        <v>2</v>
      </c>
      <c r="X17" s="93">
        <f>IF(Table1[Item Description]="","",Table1[[#This Row],[Qty]]*Table1[[#This Row],[Unit Price]])</f>
        <v>2376000</v>
      </c>
      <c r="Y17" s="93">
        <f>IF(Table1[[#This Row],[h_hargasebelumdiskon]]="","",IF(Table1[[#This Row],[Disc 1]]="",0,Table1[[#This Row],[h_hargasebelumdiskon]]*Table1[[#This Row],[Disc 1]]))</f>
        <v>320760</v>
      </c>
      <c r="Z17" s="93">
        <f>IF(Table1[[#This Row],[h_hargasebelumdiskon]]="","",IF(Table1[[#This Row],[Disc 2]]="",0,(Table1[[#This Row],[h_hargasebelumdiskon]]-Table1[[#This Row],[h_disc 1]])*Table1[[#This Row],[Disc 2]]))</f>
        <v>0</v>
      </c>
      <c r="AA17" s="93">
        <f>IF(Table1[Item Description]="","",Table1[[#This Row],[h_disc 1]]+Table1[[#This Row],[h_disc 2]])</f>
        <v>320760</v>
      </c>
      <c r="AB17" s="93">
        <f>IF(Table1[Item Description]="","",Table1[[#This Row],[h_hargasebelumdiskon]]-Table1[[#This Row],[h_diskon]])</f>
        <v>2055240</v>
      </c>
      <c r="AC17" s="93">
        <f ca="1">IF(Table1[//]="","",SUMIF(Table1[h_id],Table1[h_id],Table1[h_hargasetelahdiskon]))</f>
        <v>10126728</v>
      </c>
      <c r="AD17" s="93"/>
      <c r="AE17" s="93" t="str">
        <f>Table1[[#This Row],[Item Description]]&amp;Table1[[#This Row],[Unit]]&amp;Table1[[#This Row],[Unit Price]]</f>
        <v>LEM STICK KENKO 8 GR (KECIL) isi 30 pcBOX66000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432</v>
      </c>
      <c r="K18" s="92" t="s">
        <v>120</v>
      </c>
      <c r="L18" s="92">
        <v>3</v>
      </c>
      <c r="M18" s="92" t="s">
        <v>154</v>
      </c>
      <c r="N18" s="196" t="str">
        <f>IF(Table1[[#This Row],[h_Item Description]]="","",INDEX([1]!db[NB PAJAK],MATCH(Table1[[#This Row],[h_Item Description]],[1]!db[kode],0)))</f>
        <v>GEL PEN KENKO KE-303 T-GEL TRIANGULAR HITAM</v>
      </c>
      <c r="O18" s="92" t="s">
        <v>155</v>
      </c>
      <c r="P18" s="93">
        <v>21600</v>
      </c>
      <c r="Q18" s="94">
        <v>0.13500000000000001</v>
      </c>
      <c r="S18" s="199">
        <f>Table1[[#This Row],[h_hargasetelahdiskon]]</f>
        <v>8071488</v>
      </c>
      <c r="V18" s="95">
        <f ca="1">IF(Table1[[#This Row],[Item Description]]="","",IF(Table1[[#This Row],[//]]="",INDIRECT(ADDRESS(ROW()-1,COLUMN())),Table1[[#This Row],[//]]))</f>
        <v>17</v>
      </c>
      <c r="W18" s="95">
        <f ca="1">IF(Table1[[#This Row],[h_id]]="","",COUNTIF(Table1[h_id],Table1[[#This Row],[h_id]]))</f>
        <v>2</v>
      </c>
      <c r="X18" s="93">
        <f>IF(Table1[Item Description]="","",Table1[[#This Row],[Qty]]*Table1[[#This Row],[Unit Price]])</f>
        <v>9331200</v>
      </c>
      <c r="Y18" s="93">
        <f>IF(Table1[[#This Row],[h_hargasebelumdiskon]]="","",IF(Table1[[#This Row],[Disc 1]]="",0,Table1[[#This Row],[h_hargasebelumdiskon]]*Table1[[#This Row],[Disc 1]]))</f>
        <v>1259712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1259712</v>
      </c>
      <c r="AB18" s="93">
        <f>IF(Table1[Item Description]="","",Table1[[#This Row],[h_hargasebelumdiskon]]-Table1[[#This Row],[h_diskon]])</f>
        <v>8071488</v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>GEL PEN KENKO KE-303 T-GEL TRIANGULAR HITAMLSN21600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N19" s="196" t="str">
        <f>IF(Table1[[#This Row],[h_Item Description]]="","",INDEX([1]!db[NB PAJAK],MATCH(Table1[[#This Row],[h_Item Description]],[1]!db[kode],0)))</f>
        <v/>
      </c>
      <c r="P19" s="93"/>
      <c r="Q19" s="94"/>
      <c r="S19" s="199" t="str">
        <f>Table1[[#This Row],[h_hargasetelahdiskon]]</f>
        <v/>
      </c>
      <c r="V19" s="95" t="str">
        <f ca="1">IF(Table1[[#This Row],[Item Description]]="","",IF(Table1[[#This Row],[//]]="",INDIRECT(ADDRESS(ROW()-1,COLUMN())),Table1[[#This Row],[//]]))</f>
        <v/>
      </c>
      <c r="W19" s="95" t="str">
        <f ca="1">IF(Table1[[#This Row],[h_id]]="","",COUNTIF(Table1[h_id],Table1[[#This Row],[h_id]]))</f>
        <v/>
      </c>
      <c r="X19" s="93" t="str">
        <f>IF(Table1[Item Description]="","",Table1[[#This Row],[Qty]]*Table1[[#This Row],[Unit Price]])</f>
        <v/>
      </c>
      <c r="Y19" s="93" t="str">
        <f>IF(Table1[[#This Row],[h_hargasebelumdiskon]]="","",IF(Table1[[#This Row],[Disc 1]]="",0,Table1[[#This Row],[h_hargasebelumdiskon]]*Table1[[#This Row],[Disc 1]]))</f>
        <v/>
      </c>
      <c r="Z19" s="93" t="str">
        <f>IF(Table1[[#This Row],[h_hargasebelumdiskon]]="","",IF(Table1[[#This Row],[Disc 2]]="",0,(Table1[[#This Row],[h_hargasebelumdiskon]]-Table1[[#This Row],[h_disc 1]])*Table1[[#This Row],[Disc 2]]))</f>
        <v/>
      </c>
      <c r="AA19" s="93" t="str">
        <f>IF(Table1[Item Description]="","",Table1[[#This Row],[h_disc 1]]+Table1[[#This Row],[h_disc 2]])</f>
        <v/>
      </c>
      <c r="AB19" s="93" t="str">
        <f>IF(Table1[Item Description]="","",Table1[[#This Row],[h_hargasebelumdiskon]]-Table1[[#This Row],[h_diskon]])</f>
        <v/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/>
      </c>
    </row>
    <row r="20" spans="1:31" x14ac:dyDescent="0.25">
      <c r="A20" s="95">
        <f>IF(Table1[[#This Row],[No. Invoice :]]="","",ROW())</f>
        <v>20</v>
      </c>
      <c r="B20" s="196">
        <f>IF(Table1[h_Kode Sales :_1]="","",B$1+COUNT(B$2:B19))</f>
        <v>23030007</v>
      </c>
      <c r="C20" s="98">
        <v>44992</v>
      </c>
      <c r="D20" s="92" t="s">
        <v>157</v>
      </c>
      <c r="E20" s="97" t="s">
        <v>158</v>
      </c>
      <c r="F20" s="92" t="s">
        <v>159</v>
      </c>
      <c r="G20" s="95" t="str">
        <f>IF(Table1[[#This Row],[h_No. Invoice :]]="","",CONCATENATE("AM"," ",Table1[[#This Row],[h_No. Invoice :]]))</f>
        <v>AM 23030007</v>
      </c>
      <c r="H20" s="96" t="str">
        <f>CONCATENATE(UPPER(Table1[[#This Row],[h_Kode Sales :_1]])," ",Table1[[#This Row],[h_Kode Sales :_2]])</f>
        <v>KO 2909</v>
      </c>
      <c r="I20" s="95" t="str">
        <f>IF(Table1[[#This Row],[h_toko]]="","",INDEX(Table2[e],IF(Table1[[#This Row],[h_toko]]="","",MATCH(Table1[[#This Row],[h_toko]],Table2[a],0)),))</f>
        <v>HARNOYO (BENDAN) PEKALONGAN</v>
      </c>
      <c r="J20" s="92">
        <v>600</v>
      </c>
      <c r="K20" s="92" t="s">
        <v>161</v>
      </c>
      <c r="L20" s="92">
        <v>6</v>
      </c>
      <c r="M20" s="92" t="s">
        <v>160</v>
      </c>
      <c r="N20" s="196" t="str">
        <f>IF(Table1[[#This Row],[h_Item Description]]="","",INDEX([1]!db[NB PAJAK],MATCH(Table1[[#This Row],[h_Item Description]],[1]!db[kode],0)))</f>
        <v>ISI STAPLER (STAPLES) GREATWALL GW-NO. 10 (KECIL)</v>
      </c>
      <c r="O20" s="92" t="s">
        <v>162</v>
      </c>
      <c r="P20" s="93">
        <v>13250</v>
      </c>
      <c r="Q20" s="94"/>
      <c r="S20" s="199">
        <f>Table1[[#This Row],[h_hargasetelahdiskon]]</f>
        <v>7950000</v>
      </c>
      <c r="T20" s="93" t="s">
        <v>123</v>
      </c>
      <c r="V20" s="95">
        <f ca="1">IF(Table1[[#This Row],[Item Description]]="","",IF(Table1[[#This Row],[//]]="",INDIRECT(ADDRESS(ROW()-1,COLUMN())),Table1[[#This Row],[//]]))</f>
        <v>20</v>
      </c>
      <c r="W20" s="95">
        <f ca="1">IF(Table1[[#This Row],[h_id]]="","",COUNTIF(Table1[h_id],Table1[[#This Row],[h_id]]))</f>
        <v>1</v>
      </c>
      <c r="X20" s="93">
        <f>IF(Table1[Item Description]="","",Table1[[#This Row],[Qty]]*Table1[[#This Row],[Unit Price]])</f>
        <v>7950000</v>
      </c>
      <c r="Y20" s="93">
        <f>IF(Table1[[#This Row],[h_hargasebelumdiskon]]="","",IF(Table1[[#This Row],[Disc 1]]="",0,Table1[[#This Row],[h_hargasebelumdiskon]]*Table1[[#This Row],[Disc 1]]))</f>
        <v>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0</v>
      </c>
      <c r="AB20" s="93">
        <f>IF(Table1[Item Description]="","",Table1[[#This Row],[h_hargasebelumdiskon]]-Table1[[#This Row],[h_diskon]])</f>
        <v>7950000</v>
      </c>
      <c r="AC20" s="93">
        <f ca="1">IF(Table1[//]="","",SUMIF(Table1[h_id],Table1[h_id],Table1[h_hargasetelahdiskon]))</f>
        <v>7950000</v>
      </c>
      <c r="AD20" s="93"/>
      <c r="AE20" s="93" t="str">
        <f>Table1[[#This Row],[Item Description]]&amp;Table1[[#This Row],[Unit]]&amp;Table1[[#This Row],[Unit Price]]</f>
        <v>ISI STAPLER (STAPLES) GREATWALL GW-NO. 10 (KECIL)PAK13250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N21" s="196" t="str">
        <f>IF(Table1[[#This Row],[h_Item Description]]="","",INDEX([1]!db[NB PAJAK],MATCH(Table1[[#This Row],[h_Item Description]],[1]!db[kode],0)))</f>
        <v/>
      </c>
      <c r="P21" s="93"/>
      <c r="Q21" s="94"/>
      <c r="S21" s="199" t="str">
        <f>Table1[[#This Row],[h_hargasetelahdiskon]]</f>
        <v/>
      </c>
      <c r="V21" s="95" t="str">
        <f ca="1">IF(Table1[[#This Row],[Item Description]]="","",IF(Table1[[#This Row],[//]]="",INDIRECT(ADDRESS(ROW()-1,COLUMN())),Table1[[#This Row],[//]]))</f>
        <v/>
      </c>
      <c r="W21" s="95" t="str">
        <f ca="1">IF(Table1[[#This Row],[h_id]]="","",COUNTIF(Table1[h_id],Table1[[#This Row],[h_id]]))</f>
        <v/>
      </c>
      <c r="X21" s="93" t="str">
        <f>IF(Table1[Item Description]="","",Table1[[#This Row],[Qty]]*Table1[[#This Row],[Unit Price]])</f>
        <v/>
      </c>
      <c r="Y21" s="93" t="str">
        <f>IF(Table1[[#This Row],[h_hargasebelumdiskon]]="","",IF(Table1[[#This Row],[Disc 1]]="",0,Table1[[#This Row],[h_hargasebelumdiskon]]*Table1[[#This Row],[Disc 1]]))</f>
        <v/>
      </c>
      <c r="Z21" s="93" t="str">
        <f>IF(Table1[[#This Row],[h_hargasebelumdiskon]]="","",IF(Table1[[#This Row],[Disc 2]]="",0,(Table1[[#This Row],[h_hargasebelumdiskon]]-Table1[[#This Row],[h_disc 1]])*Table1[[#This Row],[Disc 2]]))</f>
        <v/>
      </c>
      <c r="AA21" s="93" t="str">
        <f>IF(Table1[Item Description]="","",Table1[[#This Row],[h_disc 1]]+Table1[[#This Row],[h_disc 2]])</f>
        <v/>
      </c>
      <c r="AB21" s="93" t="str">
        <f>IF(Table1[Item Description]="","",Table1[[#This Row],[h_hargasebelumdiskon]]-Table1[[#This Row],[h_diskon]])</f>
        <v/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/>
      </c>
    </row>
    <row r="22" spans="1:31" x14ac:dyDescent="0.25">
      <c r="A22" s="95">
        <f>IF(Table1[[#This Row],[No. Invoice :]]="","",ROW())</f>
        <v>22</v>
      </c>
      <c r="B22" s="196">
        <f>IF(Table1[h_Kode Sales :_1]="","",B$1+COUNT(B$2:B21))</f>
        <v>23030008</v>
      </c>
      <c r="C22" s="98">
        <v>44993</v>
      </c>
      <c r="D22" s="92" t="s">
        <v>118</v>
      </c>
      <c r="E22" s="97" t="s">
        <v>164</v>
      </c>
      <c r="F22" s="92" t="s">
        <v>98</v>
      </c>
      <c r="G22" s="95" t="str">
        <f>IF(Table1[[#This Row],[h_No. Invoice :]]="","",CONCATENATE("AM"," ",Table1[[#This Row],[h_No. Invoice :]]))</f>
        <v>AM 23030008</v>
      </c>
      <c r="H22" s="96" t="str">
        <f>CONCATENATE(UPPER(Table1[[#This Row],[h_Kode Sales :_1]])," ",Table1[[#This Row],[h_Kode Sales :_2]])</f>
        <v>KO 1009</v>
      </c>
      <c r="I22" s="95" t="str">
        <f>IF(Table1[[#This Row],[h_toko]]="","",INDEX(Table2[e],IF(Table1[[#This Row],[h_toko]]="","",MATCH(Table1[[#This Row],[h_toko]],Table2[a],0)),))</f>
        <v>SOEYANTO LOPULUSI ( LANCAR ) MALANG</v>
      </c>
      <c r="J22" s="92">
        <v>288</v>
      </c>
      <c r="K22" s="92" t="s">
        <v>165</v>
      </c>
      <c r="L22" s="92">
        <v>2</v>
      </c>
      <c r="M22" s="92" t="s">
        <v>166</v>
      </c>
      <c r="N22" s="196" t="str">
        <f>IF(Table1[[#This Row],[h_Item Description]]="","",INDEX([1]!db[NB PAJAK],MATCH(Table1[[#This Row],[h_Item Description]],[1]!db[kode],0)))</f>
        <v>PENSIL WARNA JOYKO CP-12PB (PANJANG)</v>
      </c>
      <c r="O22" s="92" t="s">
        <v>167</v>
      </c>
      <c r="P22" s="93">
        <v>10600</v>
      </c>
      <c r="Q22" s="94">
        <v>0.125</v>
      </c>
      <c r="S22" s="199">
        <f>Table1[[#This Row],[h_hargasetelahdiskon]]</f>
        <v>2671200</v>
      </c>
      <c r="T22" s="93" t="s">
        <v>123</v>
      </c>
      <c r="V22" s="95">
        <f ca="1">IF(Table1[[#This Row],[Item Description]]="","",IF(Table1[[#This Row],[//]]="",INDIRECT(ADDRESS(ROW()-1,COLUMN())),Table1[[#This Row],[//]]))</f>
        <v>22</v>
      </c>
      <c r="W22" s="95">
        <f ca="1">IF(Table1[[#This Row],[h_id]]="","",COUNTIF(Table1[h_id],Table1[[#This Row],[h_id]]))</f>
        <v>1</v>
      </c>
      <c r="X22" s="93">
        <f>IF(Table1[Item Description]="","",Table1[[#This Row],[Qty]]*Table1[[#This Row],[Unit Price]])</f>
        <v>3052800</v>
      </c>
      <c r="Y22" s="93">
        <f>IF(Table1[[#This Row],[h_hargasebelumdiskon]]="","",IF(Table1[[#This Row],[Disc 1]]="",0,Table1[[#This Row],[h_hargasebelumdiskon]]*Table1[[#This Row],[Disc 1]]))</f>
        <v>381600</v>
      </c>
      <c r="Z22" s="93">
        <f>IF(Table1[[#This Row],[h_hargasebelumdiskon]]="","",IF(Table1[[#This Row],[Disc 2]]="",0,(Table1[[#This Row],[h_hargasebelumdiskon]]-Table1[[#This Row],[h_disc 1]])*Table1[[#This Row],[Disc 2]]))</f>
        <v>0</v>
      </c>
      <c r="AA22" s="93">
        <f>IF(Table1[Item Description]="","",Table1[[#This Row],[h_disc 1]]+Table1[[#This Row],[h_disc 2]])</f>
        <v>381600</v>
      </c>
      <c r="AB22" s="93">
        <f>IF(Table1[Item Description]="","",Table1[[#This Row],[h_hargasebelumdiskon]]-Table1[[#This Row],[h_diskon]])</f>
        <v>2671200</v>
      </c>
      <c r="AC22" s="93">
        <f ca="1">IF(Table1[//]="","",SUMIF(Table1[h_id],Table1[h_id],Table1[h_hargasetelahdiskon]))</f>
        <v>2671200</v>
      </c>
      <c r="AD22" s="93"/>
      <c r="AE22" s="93" t="str">
        <f>Table1[[#This Row],[Item Description]]&amp;Table1[[#This Row],[Unit]]&amp;Table1[[#This Row],[Unit Price]]</f>
        <v>PENSIL WARNA JOYKO CP-12PB (PANJANG)SET10600</v>
      </c>
    </row>
    <row r="23" spans="1:31" x14ac:dyDescent="0.25">
      <c r="A23" s="95" t="str">
        <f>IF(Table1[[#This Row],[No. Invoice :]]="","",ROW())</f>
        <v/>
      </c>
      <c r="B23" s="196" t="str">
        <f>IF(Table1[h_Kode Sales :_1]="","",B$1+COUNT(B$2:B22))</f>
        <v/>
      </c>
      <c r="D23" s="197"/>
      <c r="E23" s="198"/>
      <c r="F23" s="197"/>
      <c r="G23" s="95" t="str">
        <f>IF(Table1[[#This Row],[h_No. Invoice :]]="","",CONCATENATE("AM"," ",Table1[[#This Row],[h_No. Invoice :]]))</f>
        <v/>
      </c>
      <c r="H23" s="96" t="str">
        <f>CONCATENATE(UPPER(Table1[[#This Row],[h_Kode Sales :_1]])," ",Table1[[#This Row],[h_Kode Sales :_2]])</f>
        <v xml:space="preserve"> </v>
      </c>
      <c r="I23" s="95" t="str">
        <f>IF(Table1[[#This Row],[h_toko]]="","",INDEX(Table2[e],IF(Table1[[#This Row],[h_toko]]="","",MATCH(Table1[[#This Row],[h_toko]],Table2[a],0)),))</f>
        <v/>
      </c>
      <c r="M23" s="197"/>
      <c r="N23" s="196" t="str">
        <f>IF(Table1[[#This Row],[h_Item Description]]="","",INDEX([1]!db[NB PAJAK],MATCH(Table1[[#This Row],[h_Item Description]],[1]!db[kode],0)))</f>
        <v/>
      </c>
      <c r="P23" s="93"/>
      <c r="Q23" s="94"/>
      <c r="S23" s="199" t="str">
        <f>Table1[[#This Row],[h_hargasetelahdiskon]]</f>
        <v/>
      </c>
      <c r="V23" s="95" t="str">
        <f ca="1">IF(Table1[[#This Row],[Item Description]]="","",IF(Table1[[#This Row],[//]]="",INDIRECT(ADDRESS(ROW()-1,COLUMN())),Table1[[#This Row],[//]]))</f>
        <v/>
      </c>
      <c r="W23" s="95" t="str">
        <f ca="1">IF(Table1[[#This Row],[h_id]]="","",COUNTIF(Table1[h_id],Table1[[#This Row],[h_id]]))</f>
        <v/>
      </c>
      <c r="X23" s="93" t="str">
        <f>IF(Table1[Item Description]="","",Table1[[#This Row],[Qty]]*Table1[[#This Row],[Unit Price]])</f>
        <v/>
      </c>
      <c r="Y23" s="93" t="str">
        <f>IF(Table1[[#This Row],[h_hargasebelumdiskon]]="","",IF(Table1[[#This Row],[Disc 1]]="",0,Table1[[#This Row],[h_hargasebelumdiskon]]*Table1[[#This Row],[Disc 1]]))</f>
        <v/>
      </c>
      <c r="Z23" s="93" t="str">
        <f>IF(Table1[[#This Row],[h_hargasebelumdiskon]]="","",IF(Table1[[#This Row],[Disc 2]]="",0,(Table1[[#This Row],[h_hargasebelumdiskon]]-Table1[[#This Row],[h_disc 1]])*Table1[[#This Row],[Disc 2]]))</f>
        <v/>
      </c>
      <c r="AA23" s="93" t="str">
        <f>IF(Table1[Item Description]="","",Table1[[#This Row],[h_disc 1]]+Table1[[#This Row],[h_disc 2]])</f>
        <v/>
      </c>
      <c r="AB23" s="93" t="str">
        <f>IF(Table1[Item Description]="","",Table1[[#This Row],[h_hargasebelumdiskon]]-Table1[[#This Row],[h_diskon]])</f>
        <v/>
      </c>
      <c r="AC23" s="93" t="str">
        <f>IF(Table1[//]="","",SUMIF(Table1[h_id],Table1[h_id],Table1[h_hargasetelahdiskon]))</f>
        <v/>
      </c>
      <c r="AD23" s="93"/>
      <c r="AE23" s="93" t="str">
        <f>Table1[[#This Row],[Item Description]]&amp;Table1[[#This Row],[Unit]]&amp;Table1[[#This Row],[Unit Price]]</f>
        <v/>
      </c>
    </row>
    <row r="24" spans="1:31" x14ac:dyDescent="0.25">
      <c r="A24" s="95">
        <f>IF(Table1[[#This Row],[No. Invoice :]]="","",ROW())</f>
        <v>24</v>
      </c>
      <c r="B24" s="196">
        <f>IF(Table1[h_Kode Sales :_1]="","",B$1+COUNT(B$2:B23))</f>
        <v>23030009</v>
      </c>
      <c r="C24" s="98">
        <v>44994</v>
      </c>
      <c r="D24" s="92" t="s">
        <v>118</v>
      </c>
      <c r="E24" s="97" t="s">
        <v>169</v>
      </c>
      <c r="F24" s="92" t="s">
        <v>98</v>
      </c>
      <c r="G24" s="95" t="str">
        <f>IF(Table1[[#This Row],[h_No. Invoice :]]="","",CONCATENATE("AM"," ",Table1[[#This Row],[h_No. Invoice :]]))</f>
        <v>AM 23030009</v>
      </c>
      <c r="H24" s="96" t="str">
        <f>CONCATENATE(UPPER(Table1[[#This Row],[h_Kode Sales :_1]])," ",Table1[[#This Row],[h_Kode Sales :_2]])</f>
        <v>KO 0734</v>
      </c>
      <c r="I24" s="95" t="str">
        <f>IF(Table1[[#This Row],[h_toko]]="","",INDEX(Table2[e],IF(Table1[[#This Row],[h_toko]]="","",MATCH(Table1[[#This Row],[h_toko]],Table2[a],0)),))</f>
        <v>SOEYANTO LOPULUSI ( LANCAR ) MALANG</v>
      </c>
      <c r="J24" s="92">
        <v>80</v>
      </c>
      <c r="K24" s="92" t="s">
        <v>120</v>
      </c>
      <c r="L24" s="92">
        <v>2</v>
      </c>
      <c r="M24" s="92" t="s">
        <v>170</v>
      </c>
      <c r="N24" s="196" t="str">
        <f>IF(Table1[[#This Row],[h_Item Description]]="","",INDEX([1]!db[NB PAJAK],MATCH(Table1[[#This Row],[h_Item Description]],[1]!db[kode],0)))</f>
        <v>CORRECTION TAPE JOYKO CT-533</v>
      </c>
      <c r="O24" s="92" t="s">
        <v>171</v>
      </c>
      <c r="P24" s="93">
        <v>102000</v>
      </c>
      <c r="Q24" s="94">
        <v>0.125</v>
      </c>
      <c r="S24" s="199">
        <f>Table1[[#This Row],[h_hargasetelahdiskon]]</f>
        <v>7140000</v>
      </c>
      <c r="T24" s="93" t="s">
        <v>123</v>
      </c>
      <c r="V24" s="95">
        <f ca="1">IF(Table1[[#This Row],[Item Description]]="","",IF(Table1[[#This Row],[//]]="",INDIRECT(ADDRESS(ROW()-1,COLUMN())),Table1[[#This Row],[//]]))</f>
        <v>24</v>
      </c>
      <c r="W24" s="95">
        <f ca="1">IF(Table1[[#This Row],[h_id]]="","",COUNTIF(Table1[h_id],Table1[[#This Row],[h_id]]))</f>
        <v>2</v>
      </c>
      <c r="X24" s="93">
        <f>IF(Table1[Item Description]="","",Table1[[#This Row],[Qty]]*Table1[[#This Row],[Unit Price]])</f>
        <v>8160000</v>
      </c>
      <c r="Y24" s="93">
        <f>IF(Table1[[#This Row],[h_hargasebelumdiskon]]="","",IF(Table1[[#This Row],[Disc 1]]="",0,Table1[[#This Row],[h_hargasebelumdiskon]]*Table1[[#This Row],[Disc 1]]))</f>
        <v>1020000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1020000</v>
      </c>
      <c r="AB24" s="93">
        <f>IF(Table1[Item Description]="","",Table1[[#This Row],[h_hargasebelumdiskon]]-Table1[[#This Row],[h_diskon]])</f>
        <v>7140000</v>
      </c>
      <c r="AC24" s="93">
        <f ca="1">IF(Table1[//]="","",SUMIF(Table1[h_id],Table1[h_id],Table1[h_hargasetelahdiskon]))</f>
        <v>8499750</v>
      </c>
      <c r="AD24" s="93"/>
      <c r="AE24" s="93" t="str">
        <f>Table1[[#This Row],[Item Description]]&amp;Table1[[#This Row],[Unit]]&amp;Table1[[#This Row],[Unit Price]]</f>
        <v>CORRECTION TAPE JOYKO CT-533LSN102000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10</v>
      </c>
      <c r="K25" s="92" t="s">
        <v>120</v>
      </c>
      <c r="L25" s="92">
        <v>1</v>
      </c>
      <c r="M25" s="92" t="s">
        <v>172</v>
      </c>
      <c r="N25" s="196" t="str">
        <f>IF(Table1[[#This Row],[h_Item Description]]="","",INDEX([1]!db[NB PAJAK],MATCH(Table1[[#This Row],[h_Item Description]],[1]!db[kode],0)))</f>
        <v>PUNCH JOYKO 30XL</v>
      </c>
      <c r="O25" s="92" t="s">
        <v>173</v>
      </c>
      <c r="P25" s="93">
        <v>155400</v>
      </c>
      <c r="Q25" s="94">
        <v>0.125</v>
      </c>
      <c r="S25" s="199">
        <f>Table1[[#This Row],[h_hargasetelahdiskon]]</f>
        <v>1359750</v>
      </c>
      <c r="V25" s="95">
        <f ca="1">IF(Table1[[#This Row],[Item Description]]="","",IF(Table1[[#This Row],[//]]="",INDIRECT(ADDRESS(ROW()-1,COLUMN())),Table1[[#This Row],[//]]))</f>
        <v>24</v>
      </c>
      <c r="W25" s="95">
        <f ca="1">IF(Table1[[#This Row],[h_id]]="","",COUNTIF(Table1[h_id],Table1[[#This Row],[h_id]]))</f>
        <v>2</v>
      </c>
      <c r="X25" s="93">
        <f>IF(Table1[Item Description]="","",Table1[[#This Row],[Qty]]*Table1[[#This Row],[Unit Price]])</f>
        <v>1554000</v>
      </c>
      <c r="Y25" s="93">
        <f>IF(Table1[[#This Row],[h_hargasebelumdiskon]]="","",IF(Table1[[#This Row],[Disc 1]]="",0,Table1[[#This Row],[h_hargasebelumdiskon]]*Table1[[#This Row],[Disc 1]]))</f>
        <v>194250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194250</v>
      </c>
      <c r="AB25" s="93">
        <f>IF(Table1[Item Description]="","",Table1[[#This Row],[h_hargasebelumdiskon]]-Table1[[#This Row],[h_diskon]])</f>
        <v>1359750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JOYKO 30XLLSN155400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M26" s="197"/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23030010</v>
      </c>
      <c r="C27" s="98">
        <v>44995</v>
      </c>
      <c r="D27" s="92" t="s">
        <v>118</v>
      </c>
      <c r="E27" s="97" t="s">
        <v>178</v>
      </c>
      <c r="F27" s="92" t="s">
        <v>42</v>
      </c>
      <c r="G27" s="95" t="str">
        <f>IF(Table1[[#This Row],[h_No. Invoice :]]="","",CONCATENATE("AM"," ",Table1[[#This Row],[h_No. Invoice :]]))</f>
        <v>AM 23030010</v>
      </c>
      <c r="H27" s="96" t="str">
        <f>CONCATENATE(UPPER(Table1[[#This Row],[h_Kode Sales :_1]])," ",Table1[[#This Row],[h_Kode Sales :_2]])</f>
        <v>KO 1224</v>
      </c>
      <c r="I27" s="95" t="str">
        <f>IF(Table1[[#This Row],[h_toko]]="","",INDEX(Table2[e],IF(Table1[[#This Row],[h_toko]]="","",MATCH(Table1[[#This Row],[h_toko]],Table2[a],0)),))</f>
        <v>CV TRINITY CENTRAAL PURWOKERTO</v>
      </c>
      <c r="J27" s="92">
        <v>48</v>
      </c>
      <c r="K27" s="92" t="s">
        <v>120</v>
      </c>
      <c r="M27" s="92" t="s">
        <v>179</v>
      </c>
      <c r="N27" s="196" t="str">
        <f>IF(Table1[[#This Row],[h_Item Description]]="","",INDEX([1]!db[NB PAJAK],MATCH(Table1[[#This Row],[h_Item Description]],[1]!db[kode],0)))</f>
        <v>GEL PEN KENKO EASY GEL</v>
      </c>
      <c r="O27" s="92" t="s">
        <v>180</v>
      </c>
      <c r="P27" s="93">
        <v>26100</v>
      </c>
      <c r="Q27" s="94">
        <v>0.13</v>
      </c>
      <c r="S27" s="199">
        <f>Table1[[#This Row],[h_hargasetelahdiskon]]</f>
        <v>1089936</v>
      </c>
      <c r="T27" s="93" t="s">
        <v>123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</v>
      </c>
      <c r="X27" s="93">
        <f>IF(Table1[Item Description]="","",Table1[[#This Row],[Qty]]*Table1[[#This Row],[Unit Price]])</f>
        <v>1252800</v>
      </c>
      <c r="Y27" s="93">
        <f>IF(Table1[[#This Row],[h_hargasebelumdiskon]]="","",IF(Table1[[#This Row],[Disc 1]]="",0,Table1[[#This Row],[h_hargasebelumdiskon]]*Table1[[#This Row],[Disc 1]]))</f>
        <v>162864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162864</v>
      </c>
      <c r="AB27" s="93">
        <f>IF(Table1[Item Description]="","",Table1[[#This Row],[h_hargasebelumdiskon]]-Table1[[#This Row],[h_diskon]])</f>
        <v>1089936</v>
      </c>
      <c r="AC27" s="93">
        <f ca="1">IF(Table1[//]="","",SUMIF(Table1[h_id],Table1[h_id],Table1[h_hargasetelahdiskon]))</f>
        <v>1089936</v>
      </c>
      <c r="AD27" s="93"/>
      <c r="AE27" s="93" t="str">
        <f>Table1[[#This Row],[Item Description]]&amp;Table1[[#This Row],[Unit]]&amp;Table1[[#This Row],[Unit Price]]</f>
        <v>GEL PEN KENKO EASY GELLSN26100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N28" s="196" t="str">
        <f>IF(Table1[[#This Row],[h_Item Description]]="","",INDEX([1]!db[NB PAJAK],MATCH(Table1[[#This Row],[h_Item Description]],[1]!db[kode],0)))</f>
        <v/>
      </c>
      <c r="P28" s="93"/>
      <c r="Q28" s="94"/>
      <c r="S28" s="199" t="str">
        <f>Table1[[#This Row],[h_hargasetelahdiskon]]</f>
        <v/>
      </c>
      <c r="V28" s="95" t="str">
        <f ca="1">IF(Table1[[#This Row],[Item Description]]="","",IF(Table1[[#This Row],[//]]="",INDIRECT(ADDRESS(ROW()-1,COLUMN())),Table1[[#This Row],[//]]))</f>
        <v/>
      </c>
      <c r="W28" s="95" t="str">
        <f ca="1">IF(Table1[[#This Row],[h_id]]="","",COUNTIF(Table1[h_id],Table1[[#This Row],[h_id]]))</f>
        <v/>
      </c>
      <c r="X28" s="93" t="str">
        <f>IF(Table1[Item Description]="","",Table1[[#This Row],[Qty]]*Table1[[#This Row],[Unit Price]])</f>
        <v/>
      </c>
      <c r="Y28" s="93" t="str">
        <f>IF(Table1[[#This Row],[h_hargasebelumdiskon]]="","",IF(Table1[[#This Row],[Disc 1]]="",0,Table1[[#This Row],[h_hargasebelumdiskon]]*Table1[[#This Row],[Disc 1]]))</f>
        <v/>
      </c>
      <c r="Z28" s="93" t="str">
        <f>IF(Table1[[#This Row],[h_hargasebelumdiskon]]="","",IF(Table1[[#This Row],[Disc 2]]="",0,(Table1[[#This Row],[h_hargasebelumdiskon]]-Table1[[#This Row],[h_disc 1]])*Table1[[#This Row],[Disc 2]]))</f>
        <v/>
      </c>
      <c r="AA28" s="93" t="str">
        <f>IF(Table1[Item Description]="","",Table1[[#This Row],[h_disc 1]]+Table1[[#This Row],[h_disc 2]])</f>
        <v/>
      </c>
      <c r="AB28" s="93" t="str">
        <f>IF(Table1[Item Description]="","",Table1[[#This Row],[h_hargasebelumdiskon]]-Table1[[#This Row],[h_diskon]])</f>
        <v/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/>
      </c>
    </row>
    <row r="29" spans="1:31" x14ac:dyDescent="0.25">
      <c r="A29" s="95">
        <f>IF(Table1[[#This Row],[No. Invoice :]]="","",ROW())</f>
        <v>29</v>
      </c>
      <c r="B29" s="196">
        <f>IF(Table1[h_Kode Sales :_1]="","",B$1+COUNT(B$2:B28))</f>
        <v>23030011</v>
      </c>
      <c r="C29" s="98">
        <v>44996</v>
      </c>
      <c r="D29" s="92" t="s">
        <v>130</v>
      </c>
      <c r="E29" s="97" t="s">
        <v>183</v>
      </c>
      <c r="F29" s="92" t="s">
        <v>96</v>
      </c>
      <c r="G29" s="95" t="str">
        <f>IF(Table1[[#This Row],[h_No. Invoice :]]="","",CONCATENATE("AM"," ",Table1[[#This Row],[h_No. Invoice :]]))</f>
        <v>AM 23030011</v>
      </c>
      <c r="H29" s="96" t="str">
        <f>CONCATENATE(UPPER(Table1[[#This Row],[h_Kode Sales :_1]])," ",Table1[[#This Row],[h_Kode Sales :_2]])</f>
        <v>G 2966</v>
      </c>
      <c r="I29" s="95" t="str">
        <f>IF(Table1[[#This Row],[h_toko]]="","",INDEX(Table2[e],IF(Table1[[#This Row],[h_toko]]="","",MATCH(Table1[[#This Row],[h_toko]],Table2[a],0)),))</f>
        <v>CV UTAMA PUTRA TULUNG AGUNG</v>
      </c>
      <c r="J29" s="92">
        <v>35</v>
      </c>
      <c r="K29" s="92" t="s">
        <v>120</v>
      </c>
      <c r="M29" s="92" t="s">
        <v>184</v>
      </c>
      <c r="N29" s="196" t="str">
        <f>IF(Table1[[#This Row],[h_Item Description]]="","",INDEX([1]!db[NB PAJAK],MATCH(Table1[[#This Row],[h_Item Description]],[1]!db[kode],0)))</f>
        <v>GEL PEN KENKO HI-TECH-H 0.28 MM FUN COLOR BIRU</v>
      </c>
      <c r="O29" s="92" t="s">
        <v>185</v>
      </c>
      <c r="P29" s="93">
        <v>39000</v>
      </c>
      <c r="Q29" s="94">
        <v>0.125</v>
      </c>
      <c r="S29" s="199">
        <f>Table1[[#This Row],[h_hargasetelahdiskon]]</f>
        <v>1194375</v>
      </c>
      <c r="T29" s="93" t="s">
        <v>123</v>
      </c>
      <c r="V29" s="95">
        <f ca="1">IF(Table1[[#This Row],[Item Description]]="","",IF(Table1[[#This Row],[//]]="",INDIRECT(ADDRESS(ROW()-1,COLUMN())),Table1[[#This Row],[//]]))</f>
        <v>29</v>
      </c>
      <c r="W29" s="95">
        <f ca="1">IF(Table1[[#This Row],[h_id]]="","",COUNTIF(Table1[h_id],Table1[[#This Row],[h_id]]))</f>
        <v>1</v>
      </c>
      <c r="X29" s="93">
        <f>IF(Table1[Item Description]="","",Table1[[#This Row],[Qty]]*Table1[[#This Row],[Unit Price]])</f>
        <v>1365000</v>
      </c>
      <c r="Y29" s="93">
        <f>IF(Table1[[#This Row],[h_hargasebelumdiskon]]="","",IF(Table1[[#This Row],[Disc 1]]="",0,Table1[[#This Row],[h_hargasebelumdiskon]]*Table1[[#This Row],[Disc 1]]))</f>
        <v>170625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170625</v>
      </c>
      <c r="AB29" s="93">
        <f>IF(Table1[Item Description]="","",Table1[[#This Row],[h_hargasebelumdiskon]]-Table1[[#This Row],[h_diskon]])</f>
        <v>1194375</v>
      </c>
      <c r="AC29" s="93">
        <f ca="1">IF(Table1[//]="","",SUMIF(Table1[h_id],Table1[h_id],Table1[h_hargasetelahdiskon]))</f>
        <v>1194375</v>
      </c>
      <c r="AD29" s="93"/>
      <c r="AE29" s="93" t="str">
        <f>Table1[[#This Row],[Item Description]]&amp;Table1[[#This Row],[Unit]]&amp;Table1[[#This Row],[Unit Price]]</f>
        <v>GEL PEN KENKO HI-TECH-H 0.28 MM FUN COLOR BIRULSN39000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IF(Table1[[#This Row],[h_hargasebelumdiskon]]="","",IF(Table1[[#This Row],[Disc 1]]="",0,Table1[[#This Row],[h_hargasebelumdiskon]]*Table1[[#This Row],[Disc 1]]))</f>
        <v/>
      </c>
      <c r="Z30" s="93" t="str">
        <f>IF(Table1[[#This Row],[h_hargasebelumdiskon]]="","",IF(Table1[[#This Row],[Disc 2]]="",0,(Table1[[#This Row],[h_hargasebelumdiskon]]-Table1[[#This Row],[h_disc 1]])*Table1[[#This Row],[Disc 2]]))</f>
        <v/>
      </c>
      <c r="AA30" s="93" t="str">
        <f>IF(Table1[Item Description]="","",Table1[[#This Row],[h_disc 1]]+Table1[[#This Row],[h_disc 2]])</f>
        <v/>
      </c>
      <c r="AB30" s="93" t="str">
        <f>IF(Table1[Item Description]="","",Table1[[#This Row],[h_hargasebelumdiskon]]-Table1[[#This Row],[h_diskon]])</f>
        <v/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/>
      </c>
    </row>
    <row r="31" spans="1:31" x14ac:dyDescent="0.25">
      <c r="A31" s="95">
        <f>IF(Table1[[#This Row],[No. Invoice :]]="","",ROW())</f>
        <v>31</v>
      </c>
      <c r="B31" s="196">
        <f>IF(Table1[h_Kode Sales :_1]="","",B$1+COUNT(B$2:B30))</f>
        <v>23030012</v>
      </c>
      <c r="C31" s="98">
        <v>44998</v>
      </c>
      <c r="D31" s="92" t="s">
        <v>118</v>
      </c>
      <c r="E31" s="97" t="s">
        <v>187</v>
      </c>
      <c r="F31" s="92" t="s">
        <v>88</v>
      </c>
      <c r="G31" s="95" t="str">
        <f>IF(Table1[[#This Row],[h_No. Invoice :]]="","",CONCATENATE("AM"," ",Table1[[#This Row],[h_No. Invoice :]]))</f>
        <v>AM 23030012</v>
      </c>
      <c r="H31" s="96" t="str">
        <f>CONCATENATE(UPPER(Table1[[#This Row],[h_Kode Sales :_1]])," ",Table1[[#This Row],[h_Kode Sales :_2]])</f>
        <v>KO 2970</v>
      </c>
      <c r="I31" s="95" t="str">
        <f>IF(Table1[[#This Row],[h_toko]]="","",INDEX(Table2[e],IF(Table1[[#This Row],[h_toko]]="","",MATCH(Table1[[#This Row],[h_toko]],Table2[a],0)),))</f>
        <v>CV PELITA JAYA (ANUGERAH SEJAHTERA) PURWOKERTO</v>
      </c>
      <c r="J31" s="92">
        <v>20</v>
      </c>
      <c r="K31" s="92" t="s">
        <v>120</v>
      </c>
      <c r="L31" s="92">
        <v>2</v>
      </c>
      <c r="M31" s="92" t="s">
        <v>188</v>
      </c>
      <c r="N31" s="196" t="str">
        <f>IF(Table1[[#This Row],[h_Item Description]]="","",INDEX([1]!db[NB PAJAK],MATCH(Table1[[#This Row],[h_Item Description]],[1]!db[kode],0)))</f>
        <v>STAPLER KENKO HD-50</v>
      </c>
      <c r="O31" s="92" t="s">
        <v>191</v>
      </c>
      <c r="P31" s="93">
        <v>228000</v>
      </c>
      <c r="Q31" s="94">
        <v>0.13500000000000001</v>
      </c>
      <c r="S31" s="199">
        <f>Table1[[#This Row],[h_hargasetelahdiskon]]</f>
        <v>3944400</v>
      </c>
      <c r="T31" s="93" t="s">
        <v>123</v>
      </c>
      <c r="V31" s="95">
        <f ca="1">IF(Table1[[#This Row],[Item Description]]="","",IF(Table1[[#This Row],[//]]="",INDIRECT(ADDRESS(ROW()-1,COLUMN())),Table1[[#This Row],[//]]))</f>
        <v>31</v>
      </c>
      <c r="W31" s="95">
        <f ca="1">IF(Table1[[#This Row],[h_id]]="","",COUNTIF(Table1[h_id],Table1[[#This Row],[h_id]]))</f>
        <v>2</v>
      </c>
      <c r="X31" s="93">
        <f>IF(Table1[Item Description]="","",Table1[[#This Row],[Qty]]*Table1[[#This Row],[Unit Price]])</f>
        <v>4560000</v>
      </c>
      <c r="Y31" s="93">
        <f>IF(Table1[[#This Row],[h_hargasebelumdiskon]]="","",IF(Table1[[#This Row],[Disc 1]]="",0,Table1[[#This Row],[h_hargasebelumdiskon]]*Table1[[#This Row],[Disc 1]]))</f>
        <v>615600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615600</v>
      </c>
      <c r="AB31" s="93">
        <f>IF(Table1[Item Description]="","",Table1[[#This Row],[h_hargasebelumdiskon]]-Table1[[#This Row],[h_diskon]])</f>
        <v>3944400</v>
      </c>
      <c r="AC31" s="93">
        <f ca="1">IF(Table1[//]="","",SUMIF(Table1[h_id],Table1[h_id],Table1[h_hargasetelahdiskon]))</f>
        <v>5371650</v>
      </c>
      <c r="AD31" s="93"/>
      <c r="AE31" s="93" t="str">
        <f>Table1[[#This Row],[Item Description]]&amp;Table1[[#This Row],[Unit]]&amp;Table1[[#This Row],[Unit Price]]</f>
        <v>STAPLER KENKO HD-50LSN228000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D32" s="197"/>
      <c r="E32" s="198"/>
      <c r="F32" s="197"/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500</v>
      </c>
      <c r="K32" s="92" t="s">
        <v>125</v>
      </c>
      <c r="L32" s="92">
        <v>1</v>
      </c>
      <c r="M32" s="92" t="s">
        <v>189</v>
      </c>
      <c r="N32" s="196" t="e">
        <f>IF(Table1[[#This Row],[h_Item Description]]="","",INDEX([1]!db[NB PAJAK],MATCH(Table1[[#This Row],[h_Item Description]],[1]!db[kode],0)))</f>
        <v>#N/A</v>
      </c>
      <c r="O32" s="92" t="s">
        <v>190</v>
      </c>
      <c r="P32" s="93">
        <v>3300</v>
      </c>
      <c r="Q32" s="94">
        <v>0.13500000000000001</v>
      </c>
      <c r="S32" s="199">
        <f>Table1[[#This Row],[h_hargasetelahdiskon]]</f>
        <v>1427250</v>
      </c>
      <c r="V32" s="95">
        <f ca="1">IF(Table1[[#This Row],[Item Description]]="","",IF(Table1[[#This Row],[//]]="",INDIRECT(ADDRESS(ROW()-1,COLUMN())),Table1[[#This Row],[//]]))</f>
        <v>31</v>
      </c>
      <c r="W32" s="95">
        <f ca="1">IF(Table1[[#This Row],[h_id]]="","",COUNTIF(Table1[h_id],Table1[[#This Row],[h_id]]))</f>
        <v>2</v>
      </c>
      <c r="X32" s="93">
        <f>IF(Table1[Item Description]="","",Table1[[#This Row],[Qty]]*Table1[[#This Row],[Unit Price]])</f>
        <v>1650000</v>
      </c>
      <c r="Y32" s="93">
        <f>IF(Table1[[#This Row],[h_hargasebelumdiskon]]="","",IF(Table1[[#This Row],[Disc 1]]="",0,Table1[[#This Row],[h_hargasebelumdiskon]]*Table1[[#This Row],[Disc 1]]))</f>
        <v>222750.00000000003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222750.00000000003</v>
      </c>
      <c r="AB32" s="93">
        <f>IF(Table1[Item Description]="","",Table1[[#This Row],[h_hargasebelumdiskon]]-Table1[[#This Row],[h_diskon]])</f>
        <v>1427250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LABEL HARGA JOYKO LB-P2CC (2 LINE, CAH-CAH)PCS3300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M33" s="197"/>
      <c r="N33" s="196" t="str">
        <f>IF(Table1[[#This Row],[h_Item Description]]="","",INDEX([1]!db[NB PAJAK],MATCH(Table1[[#This Row],[h_Item Description]],[1]!db[kode],0)))</f>
        <v/>
      </c>
      <c r="P33" s="93"/>
      <c r="Q33" s="94"/>
      <c r="S33" s="199" t="str">
        <f>Table1[[#This Row],[h_hargasetelahdiskon]]</f>
        <v/>
      </c>
      <c r="V33" s="95" t="str">
        <f ca="1">IF(Table1[[#This Row],[Item Description]]="","",IF(Table1[[#This Row],[//]]="",INDIRECT(ADDRESS(ROW()-1,COLUMN())),Table1[[#This Row],[//]]))</f>
        <v/>
      </c>
      <c r="W33" s="95" t="str">
        <f ca="1">IF(Table1[[#This Row],[h_id]]="","",COUNTIF(Table1[h_id],Table1[[#This Row],[h_id]]))</f>
        <v/>
      </c>
      <c r="X33" s="93" t="str">
        <f>IF(Table1[Item Description]="","",Table1[[#This Row],[Qty]]*Table1[[#This Row],[Unit Price]])</f>
        <v/>
      </c>
      <c r="Y33" s="93" t="str">
        <f>IF(Table1[[#This Row],[h_hargasebelumdiskon]]="","",IF(Table1[[#This Row],[Disc 1]]="",0,Table1[[#This Row],[h_hargasebelumdiskon]]*Table1[[#This Row],[Disc 1]]))</f>
        <v/>
      </c>
      <c r="Z33" s="93" t="str">
        <f>IF(Table1[[#This Row],[h_hargasebelumdiskon]]="","",IF(Table1[[#This Row],[Disc 2]]="",0,(Table1[[#This Row],[h_hargasebelumdiskon]]-Table1[[#This Row],[h_disc 1]])*Table1[[#This Row],[Disc 2]]))</f>
        <v/>
      </c>
      <c r="AA33" s="93" t="str">
        <f>IF(Table1[Item Description]="","",Table1[[#This Row],[h_disc 1]]+Table1[[#This Row],[h_disc 2]])</f>
        <v/>
      </c>
      <c r="AB33" s="93" t="str">
        <f>IF(Table1[Item Description]="","",Table1[[#This Row],[h_hargasebelumdiskon]]-Table1[[#This Row],[h_diskon]])</f>
        <v/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/>
      </c>
    </row>
    <row r="34" spans="1:31" x14ac:dyDescent="0.25">
      <c r="A34" s="95">
        <f>IF(Table1[[#This Row],[No. Invoice :]]="","",ROW())</f>
        <v>34</v>
      </c>
      <c r="B34" s="196">
        <f>IF(Table1[h_Kode Sales :_1]="","",B$1+COUNT(B$2:B33))</f>
        <v>23030013</v>
      </c>
      <c r="C34" s="98">
        <v>44998</v>
      </c>
      <c r="D34" s="92" t="s">
        <v>118</v>
      </c>
      <c r="E34" s="97" t="s">
        <v>194</v>
      </c>
      <c r="F34" s="92" t="s">
        <v>42</v>
      </c>
      <c r="G34" s="95" t="str">
        <f>IF(Table1[[#This Row],[h_No. Invoice :]]="","",CONCATENATE("AM"," ",Table1[[#This Row],[h_No. Invoice :]]))</f>
        <v>AM 23030013</v>
      </c>
      <c r="H34" s="96" t="str">
        <f>CONCATENATE(UPPER(Table1[[#This Row],[h_Kode Sales :_1]])," ",Table1[[#This Row],[h_Kode Sales :_2]])</f>
        <v>KO 2977</v>
      </c>
      <c r="I34" s="95" t="str">
        <f>IF(Table1[[#This Row],[h_toko]]="","",INDEX(Table2[e],IF(Table1[[#This Row],[h_toko]]="","",MATCH(Table1[[#This Row],[h_toko]],Table2[a],0)),))</f>
        <v>CV TRINITY CENTRAAL PURWOKERTO</v>
      </c>
      <c r="J34" s="92">
        <v>24</v>
      </c>
      <c r="K34" s="92" t="s">
        <v>125</v>
      </c>
      <c r="L34" s="92">
        <v>1</v>
      </c>
      <c r="M34" s="92" t="s">
        <v>195</v>
      </c>
      <c r="N34" s="196" t="str">
        <f>IF(Table1[[#This Row],[h_Item Description]]="","",INDEX([1]!db[NB PAJAK],MATCH(Table1[[#This Row],[h_Item Description]],[1]!db[kode],0)))</f>
        <v>CRAYON / OIL PASTEL JOYKO OP-48S PP CASE SEA WORLD</v>
      </c>
      <c r="O34" s="92" t="s">
        <v>196</v>
      </c>
      <c r="P34" s="93">
        <v>58900</v>
      </c>
      <c r="Q34" s="94">
        <v>0.13</v>
      </c>
      <c r="S34" s="199">
        <f>Table1[[#This Row],[h_hargasetelahdiskon]]</f>
        <v>1229832</v>
      </c>
      <c r="T34" s="93" t="s">
        <v>123</v>
      </c>
      <c r="V34" s="95">
        <f ca="1">IF(Table1[[#This Row],[Item Description]]="","",IF(Table1[[#This Row],[//]]="",INDIRECT(ADDRESS(ROW()-1,COLUMN())),Table1[[#This Row],[//]]))</f>
        <v>34</v>
      </c>
      <c r="W34" s="95">
        <f ca="1">IF(Table1[[#This Row],[h_id]]="","",COUNTIF(Table1[h_id],Table1[[#This Row],[h_id]]))</f>
        <v>1</v>
      </c>
      <c r="X34" s="93">
        <f>IF(Table1[Item Description]="","",Table1[[#This Row],[Qty]]*Table1[[#This Row],[Unit Price]])</f>
        <v>1413600</v>
      </c>
      <c r="Y34" s="93">
        <f>IF(Table1[[#This Row],[h_hargasebelumdiskon]]="","",IF(Table1[[#This Row],[Disc 1]]="",0,Table1[[#This Row],[h_hargasebelumdiskon]]*Table1[[#This Row],[Disc 1]]))</f>
        <v>183768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183768</v>
      </c>
      <c r="AB34" s="93">
        <f>IF(Table1[Item Description]="","",Table1[[#This Row],[h_hargasebelumdiskon]]-Table1[[#This Row],[h_diskon]])</f>
        <v>1229832</v>
      </c>
      <c r="AC34" s="93">
        <f ca="1">IF(Table1[//]="","",SUMIF(Table1[h_id],Table1[h_id],Table1[h_hargasetelahdiskon]))</f>
        <v>1229832</v>
      </c>
      <c r="AD34" s="93"/>
      <c r="AE34" s="93" t="str">
        <f>Table1[[#This Row],[Item Description]]&amp;Table1[[#This Row],[Unit]]&amp;Table1[[#This Row],[Unit Price]]</f>
        <v>CRAYON / OIL PASTEL JOYKO OP-48S PP CASE SEA WORLDPCS58900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N35" s="196" t="str">
        <f>IF(Table1[[#This Row],[h_Item Description]]="","",INDEX([1]!db[NB PAJAK],MATCH(Table1[[#This Row],[h_Item Description]],[1]!db[kode],0)))</f>
        <v/>
      </c>
      <c r="P35" s="93"/>
      <c r="Q35" s="94"/>
      <c r="S35" s="199" t="str">
        <f>Table1[[#This Row],[h_hargasetelahdiskon]]</f>
        <v/>
      </c>
      <c r="V35" s="95" t="str">
        <f ca="1">IF(Table1[[#This Row],[Item Description]]="","",IF(Table1[[#This Row],[//]]="",INDIRECT(ADDRESS(ROW()-1,COLUMN())),Table1[[#This Row],[//]]))</f>
        <v/>
      </c>
      <c r="W35" s="95" t="str">
        <f ca="1">IF(Table1[[#This Row],[h_id]]="","",COUNTIF(Table1[h_id],Table1[[#This Row],[h_id]]))</f>
        <v/>
      </c>
      <c r="X35" s="93" t="str">
        <f>IF(Table1[Item Description]="","",Table1[[#This Row],[Qty]]*Table1[[#This Row],[Unit Price]])</f>
        <v/>
      </c>
      <c r="Y35" s="93" t="str">
        <f>IF(Table1[[#This Row],[h_hargasebelumdiskon]]="","",IF(Table1[[#This Row],[Disc 1]]="",0,Table1[[#This Row],[h_hargasebelumdiskon]]*Table1[[#This Row],[Disc 1]]))</f>
        <v/>
      </c>
      <c r="Z35" s="93" t="str">
        <f>IF(Table1[[#This Row],[h_hargasebelumdiskon]]="","",IF(Table1[[#This Row],[Disc 2]]="",0,(Table1[[#This Row],[h_hargasebelumdiskon]]-Table1[[#This Row],[h_disc 1]])*Table1[[#This Row],[Disc 2]]))</f>
        <v/>
      </c>
      <c r="AA35" s="93" t="str">
        <f>IF(Table1[Item Description]="","",Table1[[#This Row],[h_disc 1]]+Table1[[#This Row],[h_disc 2]])</f>
        <v/>
      </c>
      <c r="AB35" s="93" t="str">
        <f>IF(Table1[Item Description]="","",Table1[[#This Row],[h_hargasebelumdiskon]]-Table1[[#This Row],[h_diskon]])</f>
        <v/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/>
      </c>
    </row>
    <row r="36" spans="1:31" x14ac:dyDescent="0.25">
      <c r="A36" s="95">
        <f>IF(Table1[[#This Row],[No. Invoice :]]="","",ROW())</f>
        <v>36</v>
      </c>
      <c r="B36" s="196">
        <f>IF(Table1[h_Kode Sales :_1]="","",B$1+COUNT(B$2:B35))</f>
        <v>23030014</v>
      </c>
      <c r="C36" s="98">
        <v>44998</v>
      </c>
      <c r="D36" s="92" t="s">
        <v>118</v>
      </c>
      <c r="E36" s="97" t="s">
        <v>198</v>
      </c>
      <c r="F36" s="92" t="s">
        <v>159</v>
      </c>
      <c r="G36" s="95" t="str">
        <f>IF(Table1[[#This Row],[h_No. Invoice :]]="","",CONCATENATE("AM"," ",Table1[[#This Row],[h_No. Invoice :]]))</f>
        <v>AM 23030014</v>
      </c>
      <c r="H36" s="96" t="str">
        <f>CONCATENATE(UPPER(Table1[[#This Row],[h_Kode Sales :_1]])," ",Table1[[#This Row],[h_Kode Sales :_2]])</f>
        <v>KO 2981</v>
      </c>
      <c r="I36" s="95" t="str">
        <f>IF(Table1[[#This Row],[h_toko]]="","",INDEX(Table2[e],IF(Table1[[#This Row],[h_toko]]="","",MATCH(Table1[[#This Row],[h_toko]],Table2[a],0)),))</f>
        <v>HARNOYO (BENDAN) PEKALONGAN</v>
      </c>
      <c r="J36" s="92">
        <v>500</v>
      </c>
      <c r="K36" s="92" t="s">
        <v>125</v>
      </c>
      <c r="M36" s="92" t="s">
        <v>199</v>
      </c>
      <c r="N36" s="196" t="str">
        <f>IF(Table1[[#This Row],[h_Item Description]]="","",INDEX([1]!db[NB PAJAK],MATCH(Table1[[#This Row],[h_Item Description]],[1]!db[kode],0)))</f>
        <v>PAPER TRIGONAL CLIP KENKO NO. 1</v>
      </c>
      <c r="O36" s="92" t="s">
        <v>201</v>
      </c>
      <c r="P36" s="93">
        <v>1700</v>
      </c>
      <c r="Q36" s="94">
        <v>0.14000000000000001</v>
      </c>
      <c r="S36" s="199">
        <f>Table1[[#This Row],[h_hargasetelahdiskon]]</f>
        <v>731000</v>
      </c>
      <c r="T36" s="93" t="s">
        <v>123</v>
      </c>
      <c r="V36" s="95">
        <f ca="1">IF(Table1[[#This Row],[Item Description]]="","",IF(Table1[[#This Row],[//]]="",INDIRECT(ADDRESS(ROW()-1,COLUMN())),Table1[[#This Row],[//]]))</f>
        <v>36</v>
      </c>
      <c r="W36" s="95">
        <f ca="1">IF(Table1[[#This Row],[h_id]]="","",COUNTIF(Table1[h_id],Table1[[#This Row],[h_id]]))</f>
        <v>2</v>
      </c>
      <c r="X36" s="93">
        <f>IF(Table1[Item Description]="","",Table1[[#This Row],[Qty]]*Table1[[#This Row],[Unit Price]])</f>
        <v>850000</v>
      </c>
      <c r="Y36" s="93">
        <f>IF(Table1[[#This Row],[h_hargasebelumdiskon]]="","",IF(Table1[[#This Row],[Disc 1]]="",0,Table1[[#This Row],[h_hargasebelumdiskon]]*Table1[[#This Row],[Disc 1]]))</f>
        <v>119000.00000000001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119000.00000000001</v>
      </c>
      <c r="AB36" s="93">
        <f>IF(Table1[Item Description]="","",Table1[[#This Row],[h_hargasebelumdiskon]]-Table1[[#This Row],[h_diskon]])</f>
        <v>731000</v>
      </c>
      <c r="AC36" s="93">
        <f ca="1">IF(Table1[//]="","",SUMIF(Table1[h_id],Table1[h_id],Table1[h_hargasetelahdiskon]))</f>
        <v>1071560</v>
      </c>
      <c r="AD36" s="93"/>
      <c r="AE36" s="93" t="str">
        <f>Table1[[#This Row],[Item Description]]&amp;Table1[[#This Row],[Unit]]&amp;Table1[[#This Row],[Unit Price]]</f>
        <v>PAPER TRIGONAL CLIP KENKO NO. 1PCS1700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12</v>
      </c>
      <c r="K37" s="92" t="s">
        <v>120</v>
      </c>
      <c r="M37" s="92" t="s">
        <v>200</v>
      </c>
      <c r="N37" s="196" t="str">
        <f>IF(Table1[[#This Row],[h_Item Description]]="","",INDEX([1]!db[NB PAJAK],MATCH(Table1[[#This Row],[h_Item Description]],[1]!db[kode],0)))</f>
        <v>PUSH PIN KENKO PN-30 WARNA</v>
      </c>
      <c r="O37" s="92" t="s">
        <v>202</v>
      </c>
      <c r="P37" s="93">
        <v>33000</v>
      </c>
      <c r="Q37" s="94">
        <v>0.14000000000000001</v>
      </c>
      <c r="S37" s="199">
        <f>Table1[[#This Row],[h_hargasetelahdiskon]]</f>
        <v>340560</v>
      </c>
      <c r="V37" s="95">
        <f ca="1">IF(Table1[[#This Row],[Item Description]]="","",IF(Table1[[#This Row],[//]]="",INDIRECT(ADDRESS(ROW()-1,COLUMN())),Table1[[#This Row],[//]]))</f>
        <v>36</v>
      </c>
      <c r="W37" s="95">
        <f ca="1">IF(Table1[[#This Row],[h_id]]="","",COUNTIF(Table1[h_id],Table1[[#This Row],[h_id]]))</f>
        <v>2</v>
      </c>
      <c r="X37" s="93">
        <f>IF(Table1[Item Description]="","",Table1[[#This Row],[Qty]]*Table1[[#This Row],[Unit Price]])</f>
        <v>396000</v>
      </c>
      <c r="Y37" s="93">
        <f>IF(Table1[[#This Row],[h_hargasebelumdiskon]]="","",IF(Table1[[#This Row],[Disc 1]]="",0,Table1[[#This Row],[h_hargasebelumdiskon]]*Table1[[#This Row],[Disc 1]]))</f>
        <v>55440.000000000007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55440.000000000007</v>
      </c>
      <c r="AB37" s="93">
        <f>IF(Table1[Item Description]="","",Table1[[#This Row],[h_hargasebelumdiskon]]-Table1[[#This Row],[h_diskon]])</f>
        <v>340560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PUSH PIN KENKO PN-30LSN33000</v>
      </c>
    </row>
    <row r="38" spans="1:31" x14ac:dyDescent="0.25">
      <c r="A38" s="95" t="str">
        <f>IF(Table1[[#This Row],[No. Invoice :]]="","",ROW())</f>
        <v/>
      </c>
      <c r="B38" s="295" t="str">
        <f>IF(Table1[h_Kode Sales :_1]="","",B$1+COUNT(B$2:B37))</f>
        <v/>
      </c>
      <c r="D38" s="296"/>
      <c r="E38" s="297"/>
      <c r="F38" s="296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M38" s="296"/>
      <c r="N38" s="295" t="str">
        <f>IF(Table1[[#This Row],[h_Item Description]]="","",INDEX([1]!db[NB PAJAK],MATCH(Table1[[#This Row],[h_Item Description]],[1]!db[kode],0)))</f>
        <v/>
      </c>
      <c r="P38" s="93"/>
      <c r="Q38" s="94"/>
      <c r="S38" s="298" t="str">
        <f>Table1[[#This Row],[h_hargasetelahdiskon]]</f>
        <v/>
      </c>
      <c r="V38" s="95" t="str">
        <f ca="1">IF(Table1[[#This Row],[Item Description]]="","",IF(Table1[[#This Row],[//]]="",INDIRECT(ADDRESS(ROW()-1,COLUMN())),Table1[[#This Row],[//]]))</f>
        <v/>
      </c>
      <c r="W38" s="95" t="str">
        <f ca="1">IF(Table1[[#This Row],[h_id]]="","",COUNTIF(Table1[h_id],Table1[[#This Row],[h_id]]))</f>
        <v/>
      </c>
      <c r="X38" s="93" t="str">
        <f>IF(Table1[Item Description]="","",Table1[[#This Row],[Qty]]*Table1[[#This Row],[Unit Price]])</f>
        <v/>
      </c>
      <c r="Y38" s="93" t="str">
        <f>IF(Table1[[#This Row],[h_hargasebelumdiskon]]="","",IF(Table1[[#This Row],[Disc 1]]="",0,Table1[[#This Row],[h_hargasebelumdiskon]]*Table1[[#This Row],[Disc 1]]))</f>
        <v/>
      </c>
      <c r="Z38" s="93" t="str">
        <f>IF(Table1[[#This Row],[h_hargasebelumdiskon]]="","",IF(Table1[[#This Row],[Disc 2]]="",0,(Table1[[#This Row],[h_hargasebelumdiskon]]-Table1[[#This Row],[h_disc 1]])*Table1[[#This Row],[Disc 2]]))</f>
        <v/>
      </c>
      <c r="AA38" s="93" t="str">
        <f>IF(Table1[Item Description]="","",Table1[[#This Row],[h_disc 1]]+Table1[[#This Row],[h_disc 2]])</f>
        <v/>
      </c>
      <c r="AB38" s="93" t="str">
        <f>IF(Table1[Item Description]="","",Table1[[#This Row],[h_hargasebelumdiskon]]-Table1[[#This Row],[h_diskon]])</f>
        <v/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/>
      </c>
    </row>
    <row r="39" spans="1:31" x14ac:dyDescent="0.25">
      <c r="A39" s="95">
        <f>IF(Table1[[#This Row],[No. Invoice :]]="","",ROW())</f>
        <v>39</v>
      </c>
      <c r="B39" s="196">
        <f>IF(Table1[h_Kode Sales :_1]="","",B$1+COUNT(B$2:B37))</f>
        <v>23030015</v>
      </c>
      <c r="C39" s="98">
        <v>44999</v>
      </c>
      <c r="D39" s="92" t="s">
        <v>118</v>
      </c>
      <c r="E39" s="97" t="s">
        <v>205</v>
      </c>
      <c r="F39" s="92" t="s">
        <v>88</v>
      </c>
      <c r="G39" s="95" t="str">
        <f>IF(Table1[[#This Row],[h_No. Invoice :]]="","",CONCATENATE("AM"," ",Table1[[#This Row],[h_No. Invoice :]]))</f>
        <v>AM 23030015</v>
      </c>
      <c r="H39" s="96" t="str">
        <f>CONCATENATE(UPPER(Table1[[#This Row],[h_Kode Sales :_1]])," ",Table1[[#This Row],[h_Kode Sales :_2]])</f>
        <v>KO 2985</v>
      </c>
      <c r="I39" s="95" t="str">
        <f>IF(Table1[[#This Row],[h_toko]]="","",INDEX(Table2[e],IF(Table1[[#This Row],[h_toko]]="","",MATCH(Table1[[#This Row],[h_toko]],Table2[a],0)),))</f>
        <v>CV PELITA JAYA (ANUGERAH SEJAHTERA) PURWOKERTO</v>
      </c>
      <c r="J39" s="92">
        <v>288</v>
      </c>
      <c r="K39" s="92" t="s">
        <v>120</v>
      </c>
      <c r="L39" s="92">
        <v>2</v>
      </c>
      <c r="M39" s="92" t="s">
        <v>179</v>
      </c>
      <c r="N39" s="196" t="str">
        <f>IF(Table1[[#This Row],[h_Item Description]]="","",INDEX([1]!db[NB PAJAK],MATCH(Table1[[#This Row],[h_Item Description]],[1]!db[kode],0)))</f>
        <v>GEL PEN KENKO EASY GEL</v>
      </c>
      <c r="O39" s="92" t="s">
        <v>180</v>
      </c>
      <c r="P39" s="93">
        <v>26100</v>
      </c>
      <c r="Q39" s="94">
        <v>0.13500000000000001</v>
      </c>
      <c r="S39" s="199">
        <f>Table1[[#This Row],[h_hargasetelahdiskon]]</f>
        <v>6502032</v>
      </c>
      <c r="T39" s="93" t="s">
        <v>123</v>
      </c>
      <c r="V39" s="95">
        <f ca="1">IF(Table1[[#This Row],[Item Description]]="","",IF(Table1[[#This Row],[//]]="",INDIRECT(ADDRESS(ROW()-1,COLUMN())),Table1[[#This Row],[//]]))</f>
        <v>39</v>
      </c>
      <c r="W39" s="95">
        <f ca="1">IF(Table1[[#This Row],[h_id]]="","",COUNTIF(Table1[h_id],Table1[[#This Row],[h_id]]))</f>
        <v>1</v>
      </c>
      <c r="X39" s="93">
        <f>IF(Table1[Item Description]="","",Table1[[#This Row],[Qty]]*Table1[[#This Row],[Unit Price]])</f>
        <v>7516800</v>
      </c>
      <c r="Y39" s="93">
        <f>IF(Table1[[#This Row],[h_hargasebelumdiskon]]="","",IF(Table1[[#This Row],[Disc 1]]="",0,Table1[[#This Row],[h_hargasebelumdiskon]]*Table1[[#This Row],[Disc 1]]))</f>
        <v>1014768.0000000001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1014768.0000000001</v>
      </c>
      <c r="AB39" s="93">
        <f>IF(Table1[Item Description]="","",Table1[[#This Row],[h_hargasebelumdiskon]]-Table1[[#This Row],[h_diskon]])</f>
        <v>6502032</v>
      </c>
      <c r="AC39" s="93">
        <f ca="1">IF(Table1[//]="","",SUMIF(Table1[h_id],Table1[h_id],Table1[h_hargasetelahdiskon]))</f>
        <v>6502032</v>
      </c>
      <c r="AD39" s="93"/>
      <c r="AE39" s="93" t="str">
        <f>Table1[[#This Row],[Item Description]]&amp;Table1[[#This Row],[Unit]]&amp;Table1[[#This Row],[Unit Price]]</f>
        <v>GEL PEN KENKO EASY GELLSN26100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IF(Table1[[#This Row],[h_hargasebelumdiskon]]="","",IF(Table1[[#This Row],[Disc 1]]="",0,Table1[[#This Row],[h_hargasebelumdiskon]]*Table1[[#This Row],[Disc 1]]))</f>
        <v/>
      </c>
      <c r="Z40" s="93" t="str">
        <f>IF(Table1[[#This Row],[h_hargasebelumdiskon]]="","",IF(Table1[[#This Row],[Disc 2]]="",0,(Table1[[#This Row],[h_hargasebelumdiskon]]-Table1[[#This Row],[h_disc 1]])*Table1[[#This Row],[Disc 2]]))</f>
        <v/>
      </c>
      <c r="AA40" s="93" t="str">
        <f>IF(Table1[Item Description]="","",Table1[[#This Row],[h_disc 1]]+Table1[[#This Row],[h_disc 2]])</f>
        <v/>
      </c>
      <c r="AB40" s="93" t="str">
        <f>IF(Table1[Item Description]="","",Table1[[#This Row],[h_hargasebelumdiskon]]-Table1[[#This Row],[h_diskon]])</f>
        <v/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/>
      </c>
    </row>
    <row r="41" spans="1:31" x14ac:dyDescent="0.25">
      <c r="A41" s="95">
        <f>IF(Table1[[#This Row],[No. Invoice :]]="","",ROW())</f>
        <v>41</v>
      </c>
      <c r="B41" s="196">
        <f>IF(Table1[h_Kode Sales :_1]="","",B$1+COUNT(B$2:B40))</f>
        <v>23030016</v>
      </c>
      <c r="C41" s="98">
        <v>45000</v>
      </c>
      <c r="D41" s="92" t="s">
        <v>130</v>
      </c>
      <c r="E41" s="95">
        <v>2989</v>
      </c>
      <c r="F41" s="92" t="s">
        <v>97</v>
      </c>
      <c r="G41" s="95" t="str">
        <f>IF(Table1[[#This Row],[h_No. Invoice :]]="","",CONCATENATE("AM"," ",Table1[[#This Row],[h_No. Invoice :]]))</f>
        <v>AM 23030016</v>
      </c>
      <c r="H41" s="96" t="str">
        <f>CONCATENATE(UPPER(Table1[[#This Row],[h_Kode Sales :_1]])," ",Table1[[#This Row],[h_Kode Sales :_2]])</f>
        <v>G 2989</v>
      </c>
      <c r="I41" s="95" t="str">
        <f>IF(Table1[[#This Row],[h_toko]]="","",INDEX(Table2[e],IF(Table1[[#This Row],[h_toko]]="","",MATCH(Table1[[#This Row],[h_toko]],Table2[a],0)),))</f>
        <v>LILY JULIAWATI (REJO AGUNG) JOMBANG</v>
      </c>
      <c r="J41" s="92">
        <v>288</v>
      </c>
      <c r="K41" s="92" t="s">
        <v>120</v>
      </c>
      <c r="L41" s="92">
        <v>3</v>
      </c>
      <c r="M41" s="92" t="s">
        <v>206</v>
      </c>
      <c r="N41" s="196" t="e">
        <f>IF(Table1[[#This Row],[h_Item Description]]="","",INDEX([1]!db[NB PAJAK],MATCH(Table1[[#This Row],[h_Item Description]],[1]!db[kode],0)))</f>
        <v>#N/A</v>
      </c>
      <c r="O41" s="92" t="s">
        <v>208</v>
      </c>
      <c r="P41" s="93">
        <v>33000</v>
      </c>
      <c r="Q41" s="94"/>
      <c r="S41" s="199">
        <f>Table1[[#This Row],[h_hargasetelahdiskon]]</f>
        <v>9504000</v>
      </c>
      <c r="T41" s="93" t="s">
        <v>123</v>
      </c>
      <c r="V41" s="95">
        <f ca="1">IF(Table1[[#This Row],[Item Description]]="","",IF(Table1[[#This Row],[//]]="",INDIRECT(ADDRESS(ROW()-1,COLUMN())),Table1[[#This Row],[//]]))</f>
        <v>41</v>
      </c>
      <c r="W41" s="95">
        <f ca="1">IF(Table1[[#This Row],[h_id]]="","",COUNTIF(Table1[h_id],Table1[[#This Row],[h_id]]))</f>
        <v>2</v>
      </c>
      <c r="X41" s="93">
        <f>IF(Table1[Item Description]="","",Table1[[#This Row],[Qty]]*Table1[[#This Row],[Unit Price]])</f>
        <v>9504000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9504000</v>
      </c>
      <c r="AC41" s="93">
        <f ca="1">IF(Table1[//]="","",SUMIF(Table1[h_id],Table1[h_id],Table1[h_hargasetelahdiskon]))</f>
        <v>11216000</v>
      </c>
      <c r="AD41" s="93"/>
      <c r="AE41" s="93" t="str">
        <f>Table1[[#This Row],[Item Description]]&amp;Table1[[#This Row],[Unit]]&amp;Table1[[#This Row],[Unit Price]]</f>
        <v>GEL PEN TIZO 1.0 MM TG-340 HITAMLSN33000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32</v>
      </c>
      <c r="K42" s="92" t="s">
        <v>146</v>
      </c>
      <c r="L42" s="92">
        <v>1</v>
      </c>
      <c r="M42" s="92" t="s">
        <v>207</v>
      </c>
      <c r="N42" s="196" t="e">
        <f>IF(Table1[[#This Row],[h_Item Description]]="","",INDEX([1]!db[NB PAJAK],MATCH(Table1[[#This Row],[h_Item Description]],[1]!db[kode],0)))</f>
        <v>#N/A</v>
      </c>
      <c r="O42" s="92" t="s">
        <v>209</v>
      </c>
      <c r="P42" s="93">
        <v>53500</v>
      </c>
      <c r="Q42" s="94"/>
      <c r="S42" s="199">
        <f>Table1[[#This Row],[h_hargasetelahdiskon]]</f>
        <v>1712000</v>
      </c>
      <c r="V42" s="95">
        <f ca="1">IF(Table1[[#This Row],[Item Description]]="","",IF(Table1[[#This Row],[//]]="",INDIRECT(ADDRESS(ROW()-1,COLUMN())),Table1[[#This Row],[//]]))</f>
        <v>41</v>
      </c>
      <c r="W42" s="95">
        <f ca="1">IF(Table1[[#This Row],[h_id]]="","",COUNTIF(Table1[h_id],Table1[[#This Row],[h_id]]))</f>
        <v>2</v>
      </c>
      <c r="X42" s="93">
        <f>IF(Table1[Item Description]="","",Table1[[#This Row],[Qty]]*Table1[[#This Row],[Unit Price]])</f>
        <v>1712000</v>
      </c>
      <c r="Y42" s="93">
        <f>IF(Table1[[#This Row],[h_hargasebelumdiskon]]="","",IF(Table1[[#This Row],[Disc 1]]="",0,Table1[[#This Row],[h_hargasebelumdiskon]]*Table1[[#This Row],[Disc 1]]))</f>
        <v>0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0</v>
      </c>
      <c r="AB42" s="93">
        <f>IF(Table1[Item Description]="","",Table1[[#This Row],[h_hargasebelumdiskon]]-Table1[[#This Row],[h_diskon]])</f>
        <v>1712000</v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>HIGHLIGHTER / STABILLO TIZO TF-616 (isi 24 pc)BOX53500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N43" s="196" t="str">
        <f>IF(Table1[[#This Row],[h_Item Description]]="","",INDEX([1]!db[NB PAJAK],MATCH(Table1[[#This Row],[h_Item Description]],[1]!db[kode],0)))</f>
        <v/>
      </c>
      <c r="P43" s="93"/>
      <c r="Q43" s="94"/>
      <c r="S43" s="199" t="str">
        <f>Table1[[#This Row],[h_hargasetelahdiskon]]</f>
        <v/>
      </c>
      <c r="V43" s="95" t="str">
        <f ca="1">IF(Table1[[#This Row],[Item Description]]="","",IF(Table1[[#This Row],[//]]="",INDIRECT(ADDRESS(ROW()-1,COLUMN())),Table1[[#This Row],[//]]))</f>
        <v/>
      </c>
      <c r="W43" s="95" t="str">
        <f ca="1">IF(Table1[[#This Row],[h_id]]="","",COUNTIF(Table1[h_id],Table1[[#This Row],[h_id]]))</f>
        <v/>
      </c>
      <c r="X43" s="93" t="str">
        <f>IF(Table1[Item Description]="","",Table1[[#This Row],[Qty]]*Table1[[#This Row],[Unit Price]])</f>
        <v/>
      </c>
      <c r="Y43" s="93" t="str">
        <f>IF(Table1[[#This Row],[h_hargasebelumdiskon]]="","",IF(Table1[[#This Row],[Disc 1]]="",0,Table1[[#This Row],[h_hargasebelumdiskon]]*Table1[[#This Row],[Disc 1]]))</f>
        <v/>
      </c>
      <c r="Z43" s="93" t="str">
        <f>IF(Table1[[#This Row],[h_hargasebelumdiskon]]="","",IF(Table1[[#This Row],[Disc 2]]="",0,(Table1[[#This Row],[h_hargasebelumdiskon]]-Table1[[#This Row],[h_disc 1]])*Table1[[#This Row],[Disc 2]]))</f>
        <v/>
      </c>
      <c r="AA43" s="93" t="str">
        <f>IF(Table1[Item Description]="","",Table1[[#This Row],[h_disc 1]]+Table1[[#This Row],[h_disc 2]])</f>
        <v/>
      </c>
      <c r="AB43" s="93" t="str">
        <f>IF(Table1[Item Description]="","",Table1[[#This Row],[h_hargasebelumdiskon]]-Table1[[#This Row],[h_diskon]])</f>
        <v/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/>
      </c>
    </row>
    <row r="44" spans="1:31" x14ac:dyDescent="0.25">
      <c r="A44" s="95">
        <f>IF(Table1[[#This Row],[No. Invoice :]]="","",ROW())</f>
        <v>44</v>
      </c>
      <c r="B44" s="196">
        <f>IF(Table1[h_Kode Sales :_1]="","",B$1+COUNT(B$2:B43))</f>
        <v>23030017</v>
      </c>
      <c r="C44" s="98">
        <v>45000</v>
      </c>
      <c r="D44" s="92" t="s">
        <v>118</v>
      </c>
      <c r="E44" s="97" t="s">
        <v>212</v>
      </c>
      <c r="F44" s="92" t="s">
        <v>98</v>
      </c>
      <c r="G44" s="95" t="str">
        <f>IF(Table1[[#This Row],[h_No. Invoice :]]="","",CONCATENATE("AM"," ",Table1[[#This Row],[h_No. Invoice :]]))</f>
        <v>AM 23030017</v>
      </c>
      <c r="H44" s="96" t="str">
        <f>CONCATENATE(UPPER(Table1[[#This Row],[h_Kode Sales :_1]])," ",Table1[[#This Row],[h_Kode Sales :_2]])</f>
        <v>KO 0748</v>
      </c>
      <c r="I44" s="95" t="str">
        <f>IF(Table1[[#This Row],[h_toko]]="","",INDEX(Table2[e],IF(Table1[[#This Row],[h_toko]]="","",MATCH(Table1[[#This Row],[h_toko]],Table2[a],0)),))</f>
        <v>SOEYANTO LOPULUSI ( LANCAR ) MALANG</v>
      </c>
      <c r="J44" s="92">
        <v>100</v>
      </c>
      <c r="K44" s="92" t="s">
        <v>120</v>
      </c>
      <c r="L44" s="92">
        <v>5</v>
      </c>
      <c r="M44" s="92" t="s">
        <v>213</v>
      </c>
      <c r="N44" s="196" t="str">
        <f>IF(Table1[[#This Row],[h_Item Description]]="","",INDEX([1]!db[NB PAJAK],MATCH(Table1[[#This Row],[h_Item Description]],[1]!db[kode],0)))</f>
        <v>STAPLER JOYKO HD-10CL</v>
      </c>
      <c r="O44" s="92" t="s">
        <v>222</v>
      </c>
      <c r="P44" s="93">
        <v>84000</v>
      </c>
      <c r="Q44" s="94">
        <v>0.125</v>
      </c>
      <c r="S44" s="199">
        <f>Table1[[#This Row],[h_hargasetelahdiskon]]</f>
        <v>7350000</v>
      </c>
      <c r="T44" s="93" t="s">
        <v>123</v>
      </c>
      <c r="V44" s="95">
        <f ca="1">IF(Table1[[#This Row],[Item Description]]="","",IF(Table1[[#This Row],[//]]="",INDIRECT(ADDRESS(ROW()-1,COLUMN())),Table1[[#This Row],[//]]))</f>
        <v>44</v>
      </c>
      <c r="W44" s="95">
        <f ca="1">IF(Table1[[#This Row],[h_id]]="","",COUNTIF(Table1[h_id],Table1[[#This Row],[h_id]]))</f>
        <v>10</v>
      </c>
      <c r="X44" s="93">
        <f>IF(Table1[Item Description]="","",Table1[[#This Row],[Qty]]*Table1[[#This Row],[Unit Price]])</f>
        <v>8400000</v>
      </c>
      <c r="Y44" s="93">
        <f>IF(Table1[[#This Row],[h_hargasebelumdiskon]]="","",IF(Table1[[#This Row],[Disc 1]]="",0,Table1[[#This Row],[h_hargasebelumdiskon]]*Table1[[#This Row],[Disc 1]]))</f>
        <v>1050000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1050000</v>
      </c>
      <c r="AB44" s="93">
        <f>IF(Table1[Item Description]="","",Table1[[#This Row],[h_hargasebelumdiskon]]-Table1[[#This Row],[h_diskon]])</f>
        <v>7350000</v>
      </c>
      <c r="AC44" s="93">
        <f ca="1">IF(Table1[//]="","",SUMIF(Table1[h_id],Table1[h_id],Table1[h_hargasetelahdiskon]))</f>
        <v>28078400</v>
      </c>
      <c r="AD44" s="93"/>
      <c r="AE44" s="93" t="str">
        <f>Table1[[#This Row],[Item Description]]&amp;Table1[[#This Row],[Unit]]&amp;Table1[[#This Row],[Unit Price]]</f>
        <v>STAPLER JOYKO HD-10CLLSN84000</v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200</v>
      </c>
      <c r="K45" s="92" t="s">
        <v>146</v>
      </c>
      <c r="L45" s="92">
        <v>4</v>
      </c>
      <c r="M45" s="92" t="s">
        <v>214</v>
      </c>
      <c r="N45" s="196" t="str">
        <f>IF(Table1[[#This Row],[h_Item Description]]="","",INDEX([1]!db[NB PAJAK],MATCH(Table1[[#This Row],[h_Item Description]],[1]!db[kode],0)))</f>
        <v>STIP / PENGHAPUS JOYKO 526-B40P PUTIH</v>
      </c>
      <c r="O45" s="92" t="s">
        <v>223</v>
      </c>
      <c r="P45" s="93">
        <v>28300</v>
      </c>
      <c r="Q45" s="94">
        <v>0.125</v>
      </c>
      <c r="S45" s="199">
        <f>Table1[[#This Row],[h_hargasetelahdiskon]]</f>
        <v>4952500</v>
      </c>
      <c r="V45" s="95">
        <f ca="1">IF(Table1[[#This Row],[Item Description]]="","",IF(Table1[[#This Row],[//]]="",INDIRECT(ADDRESS(ROW()-1,COLUMN())),Table1[[#This Row],[//]]))</f>
        <v>44</v>
      </c>
      <c r="W45" s="95">
        <f ca="1">IF(Table1[[#This Row],[h_id]]="","",COUNTIF(Table1[h_id],Table1[[#This Row],[h_id]]))</f>
        <v>10</v>
      </c>
      <c r="X45" s="93">
        <f>IF(Table1[Item Description]="","",Table1[[#This Row],[Qty]]*Table1[[#This Row],[Unit Price]])</f>
        <v>5660000</v>
      </c>
      <c r="Y45" s="93">
        <f>IF(Table1[[#This Row],[h_hargasebelumdiskon]]="","",IF(Table1[[#This Row],[Disc 1]]="",0,Table1[[#This Row],[h_hargasebelumdiskon]]*Table1[[#This Row],[Disc 1]]))</f>
        <v>707500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707500</v>
      </c>
      <c r="AB45" s="93">
        <f>IF(Table1[Item Description]="","",Table1[[#This Row],[h_hargasebelumdiskon]]-Table1[[#This Row],[h_diskon]])</f>
        <v>4952500</v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>STIP / PENGHAPUS JOYKO 526-B40P PUTIHBOX28300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100</v>
      </c>
      <c r="K46" s="92" t="s">
        <v>146</v>
      </c>
      <c r="L46" s="92">
        <v>2</v>
      </c>
      <c r="M46" s="92" t="s">
        <v>215</v>
      </c>
      <c r="N46" s="196" t="str">
        <f>IF(Table1[[#This Row],[h_Item Description]]="","",INDEX([1]!db[NB PAJAK],MATCH(Table1[[#This Row],[h_Item Description]],[1]!db[kode],0)))</f>
        <v>STIP / PENGHAPUS JOYKO 526-B20 PUTIH</v>
      </c>
      <c r="O46" s="92" t="s">
        <v>224</v>
      </c>
      <c r="P46" s="93">
        <v>34100</v>
      </c>
      <c r="Q46" s="94">
        <v>0.125</v>
      </c>
      <c r="S46" s="199">
        <f>Table1[[#This Row],[h_hargasetelahdiskon]]</f>
        <v>2983750</v>
      </c>
      <c r="V46" s="95">
        <f ca="1">IF(Table1[[#This Row],[Item Description]]="","",IF(Table1[[#This Row],[//]]="",INDIRECT(ADDRESS(ROW()-1,COLUMN())),Table1[[#This Row],[//]]))</f>
        <v>44</v>
      </c>
      <c r="W46" s="95">
        <f ca="1">IF(Table1[[#This Row],[h_id]]="","",COUNTIF(Table1[h_id],Table1[[#This Row],[h_id]]))</f>
        <v>10</v>
      </c>
      <c r="X46" s="93">
        <f>IF(Table1[Item Description]="","",Table1[[#This Row],[Qty]]*Table1[[#This Row],[Unit Price]])</f>
        <v>3410000</v>
      </c>
      <c r="Y46" s="93">
        <f>IF(Table1[[#This Row],[h_hargasebelumdiskon]]="","",IF(Table1[[#This Row],[Disc 1]]="",0,Table1[[#This Row],[h_hargasebelumdiskon]]*Table1[[#This Row],[Disc 1]]))</f>
        <v>426250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426250</v>
      </c>
      <c r="AB46" s="93">
        <f>IF(Table1[Item Description]="","",Table1[[#This Row],[h_hargasebelumdiskon]]-Table1[[#This Row],[h_diskon]])</f>
        <v>2983750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STIP / PENGHAPUS JOYKO 526-B20 PUTIHBOX34100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20</v>
      </c>
      <c r="K47" s="92" t="s">
        <v>120</v>
      </c>
      <c r="L47" s="92">
        <v>1</v>
      </c>
      <c r="M47" s="92" t="s">
        <v>221</v>
      </c>
      <c r="N47" s="196" t="str">
        <f>IF(Table1[[#This Row],[h_Item Description]]="","",INDEX([1]!db[NB PAJAK],MATCH(Table1[[#This Row],[h_Item Description]],[1]!db[kode],0)))</f>
        <v>CLIP BULLDOG JOYKO 6-145</v>
      </c>
      <c r="O47" s="92" t="s">
        <v>225</v>
      </c>
      <c r="P47" s="93">
        <v>108900</v>
      </c>
      <c r="Q47" s="94">
        <v>0.125</v>
      </c>
      <c r="S47" s="199">
        <f>Table1[[#This Row],[h_hargasetelahdiskon]]</f>
        <v>1905750</v>
      </c>
      <c r="V47" s="95">
        <f ca="1">IF(Table1[[#This Row],[Item Description]]="","",IF(Table1[[#This Row],[//]]="",INDIRECT(ADDRESS(ROW()-1,COLUMN())),Table1[[#This Row],[//]]))</f>
        <v>44</v>
      </c>
      <c r="W47" s="95">
        <f ca="1">IF(Table1[[#This Row],[h_id]]="","",COUNTIF(Table1[h_id],Table1[[#This Row],[h_id]]))</f>
        <v>10</v>
      </c>
      <c r="X47" s="93">
        <f>IF(Table1[Item Description]="","",Table1[[#This Row],[Qty]]*Table1[[#This Row],[Unit Price]])</f>
        <v>2178000</v>
      </c>
      <c r="Y47" s="93">
        <f>IF(Table1[[#This Row],[h_hargasebelumdiskon]]="","",IF(Table1[[#This Row],[Disc 1]]="",0,Table1[[#This Row],[h_hargasebelumdiskon]]*Table1[[#This Row],[Disc 1]]))</f>
        <v>272250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272250</v>
      </c>
      <c r="AB47" s="93">
        <f>IF(Table1[Item Description]="","",Table1[[#This Row],[h_hargasebelumdiskon]]-Table1[[#This Row],[h_diskon]])</f>
        <v>1905750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CLIP BULLDOG JOYKO 6-145LSN108900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D48" s="197"/>
      <c r="E48" s="198"/>
      <c r="F48" s="197"/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288</v>
      </c>
      <c r="K48" s="92" t="s">
        <v>125</v>
      </c>
      <c r="L48" s="92">
        <v>2</v>
      </c>
      <c r="M48" s="92" t="s">
        <v>216</v>
      </c>
      <c r="N48" s="196" t="str">
        <f>IF(Table1[[#This Row],[h_Item Description]]="","",INDEX([1]!db[NB PAJAK],MATCH(Table1[[#This Row],[h_Item Description]],[1]!db[kode],0)))</f>
        <v>GUNTING JOYKO SC-828</v>
      </c>
      <c r="O48" s="92" t="s">
        <v>226</v>
      </c>
      <c r="P48" s="93">
        <v>4350</v>
      </c>
      <c r="Q48" s="94">
        <v>0.125</v>
      </c>
      <c r="S48" s="199">
        <f>Table1[[#This Row],[h_hargasetelahdiskon]]</f>
        <v>1096200</v>
      </c>
      <c r="V48" s="95">
        <f ca="1">IF(Table1[[#This Row],[Item Description]]="","",IF(Table1[[#This Row],[//]]="",INDIRECT(ADDRESS(ROW()-1,COLUMN())),Table1[[#This Row],[//]]))</f>
        <v>44</v>
      </c>
      <c r="W48" s="95">
        <f ca="1">IF(Table1[[#This Row],[h_id]]="","",COUNTIF(Table1[h_id],Table1[[#This Row],[h_id]]))</f>
        <v>10</v>
      </c>
      <c r="X48" s="93">
        <f>IF(Table1[Item Description]="","",Table1[[#This Row],[Qty]]*Table1[[#This Row],[Unit Price]])</f>
        <v>1252800</v>
      </c>
      <c r="Y48" s="93">
        <f>IF(Table1[[#This Row],[h_hargasebelumdiskon]]="","",IF(Table1[[#This Row],[Disc 1]]="",0,Table1[[#This Row],[h_hargasebelumdiskon]]*Table1[[#This Row],[Disc 1]]))</f>
        <v>156600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156600</v>
      </c>
      <c r="AB48" s="93">
        <f>IF(Table1[Item Description]="","",Table1[[#This Row],[h_hargasebelumdiskon]]-Table1[[#This Row],[h_diskon]])</f>
        <v>1096200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GUNTING JOYKO SC-828PCS4350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288</v>
      </c>
      <c r="K49" s="92" t="s">
        <v>125</v>
      </c>
      <c r="L49" s="92">
        <v>2</v>
      </c>
      <c r="M49" s="92" t="s">
        <v>217</v>
      </c>
      <c r="N49" s="196" t="str">
        <f>IF(Table1[[#This Row],[h_Item Description]]="","",INDEX([1]!db[NB PAJAK],MATCH(Table1[[#This Row],[h_Item Description]],[1]!db[kode],0)))</f>
        <v>GUNTING JOYKO SC-838</v>
      </c>
      <c r="O49" s="92" t="s">
        <v>227</v>
      </c>
      <c r="P49" s="93">
        <v>6500</v>
      </c>
      <c r="Q49" s="94">
        <v>0.125</v>
      </c>
      <c r="S49" s="199">
        <f>Table1[[#This Row],[h_hargasetelahdiskon]]</f>
        <v>1638000</v>
      </c>
      <c r="V49" s="95">
        <f ca="1">IF(Table1[[#This Row],[Item Description]]="","",IF(Table1[[#This Row],[//]]="",INDIRECT(ADDRESS(ROW()-1,COLUMN())),Table1[[#This Row],[//]]))</f>
        <v>44</v>
      </c>
      <c r="W49" s="95">
        <f ca="1">IF(Table1[[#This Row],[h_id]]="","",COUNTIF(Table1[h_id],Table1[[#This Row],[h_id]]))</f>
        <v>10</v>
      </c>
      <c r="X49" s="93">
        <f>IF(Table1[Item Description]="","",Table1[[#This Row],[Qty]]*Table1[[#This Row],[Unit Price]])</f>
        <v>1872000</v>
      </c>
      <c r="Y49" s="93">
        <f>IF(Table1[[#This Row],[h_hargasebelumdiskon]]="","",IF(Table1[[#This Row],[Disc 1]]="",0,Table1[[#This Row],[h_hargasebelumdiskon]]*Table1[[#This Row],[Disc 1]]))</f>
        <v>234000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234000</v>
      </c>
      <c r="AB49" s="93">
        <f>IF(Table1[Item Description]="","",Table1[[#This Row],[h_hargasebelumdiskon]]-Table1[[#This Row],[h_diskon]])</f>
        <v>1638000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GUNTING JOYKO SC-838PCS6500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288</v>
      </c>
      <c r="K50" s="92" t="s">
        <v>125</v>
      </c>
      <c r="L50" s="92">
        <v>2</v>
      </c>
      <c r="M50" s="92" t="s">
        <v>218</v>
      </c>
      <c r="N50" s="196" t="str">
        <f>IF(Table1[[#This Row],[h_Item Description]]="","",INDEX([1]!db[NB PAJAK],MATCH(Table1[[#This Row],[h_Item Description]],[1]!db[kode],0)))</f>
        <v>GUNTING JOYKO SC-848</v>
      </c>
      <c r="O50" s="92" t="s">
        <v>228</v>
      </c>
      <c r="P50" s="93">
        <v>9750</v>
      </c>
      <c r="Q50" s="94">
        <v>0.125</v>
      </c>
      <c r="S50" s="199">
        <f>Table1[[#This Row],[h_hargasetelahdiskon]]</f>
        <v>2457000</v>
      </c>
      <c r="V50" s="95">
        <f ca="1">IF(Table1[[#This Row],[Item Description]]="","",IF(Table1[[#This Row],[//]]="",INDIRECT(ADDRESS(ROW()-1,COLUMN())),Table1[[#This Row],[//]]))</f>
        <v>44</v>
      </c>
      <c r="W50" s="95">
        <f ca="1">IF(Table1[[#This Row],[h_id]]="","",COUNTIF(Table1[h_id],Table1[[#This Row],[h_id]]))</f>
        <v>10</v>
      </c>
      <c r="X50" s="93">
        <f>IF(Table1[Item Description]="","",Table1[[#This Row],[Qty]]*Table1[[#This Row],[Unit Price]])</f>
        <v>2808000</v>
      </c>
      <c r="Y50" s="93">
        <f>IF(Table1[[#This Row],[h_hargasebelumdiskon]]="","",IF(Table1[[#This Row],[Disc 1]]="",0,Table1[[#This Row],[h_hargasebelumdiskon]]*Table1[[#This Row],[Disc 1]]))</f>
        <v>351000</v>
      </c>
      <c r="Z50" s="93">
        <f>IF(Table1[[#This Row],[h_hargasebelumdiskon]]="","",IF(Table1[[#This Row],[Disc 2]]="",0,(Table1[[#This Row],[h_hargasebelumdiskon]]-Table1[[#This Row],[h_disc 1]])*Table1[[#This Row],[Disc 2]]))</f>
        <v>0</v>
      </c>
      <c r="AA50" s="93">
        <f>IF(Table1[Item Description]="","",Table1[[#This Row],[h_disc 1]]+Table1[[#This Row],[h_disc 2]])</f>
        <v>351000</v>
      </c>
      <c r="AB50" s="93">
        <f>IF(Table1[Item Description]="","",Table1[[#This Row],[h_hargasebelumdiskon]]-Table1[[#This Row],[h_diskon]])</f>
        <v>2457000</v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>GUNTING JOYKO SC-848PCS9750</v>
      </c>
    </row>
    <row r="51" spans="1:31" x14ac:dyDescent="0.25">
      <c r="A51" s="95" t="str">
        <f>IF(Table1[[#This Row],[No. Invoice :]]="","",ROW())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288</v>
      </c>
      <c r="K51" s="92" t="s">
        <v>125</v>
      </c>
      <c r="L51" s="92">
        <v>2</v>
      </c>
      <c r="M51" s="92" t="s">
        <v>166</v>
      </c>
      <c r="N51" s="196" t="str">
        <f>IF(Table1[[#This Row],[h_Item Description]]="","",INDEX([1]!db[NB PAJAK],MATCH(Table1[[#This Row],[h_Item Description]],[1]!db[kode],0)))</f>
        <v>PENSIL WARNA JOYKO CP-12PB (PANJANG)</v>
      </c>
      <c r="O51" s="92" t="s">
        <v>167</v>
      </c>
      <c r="P51" s="93">
        <v>10600</v>
      </c>
      <c r="Q51" s="94">
        <v>0.125</v>
      </c>
      <c r="S51" s="199">
        <f>Table1[[#This Row],[h_hargasetelahdiskon]]</f>
        <v>2671200</v>
      </c>
      <c r="V51" s="95">
        <f ca="1">IF(Table1[[#This Row],[Item Description]]="","",IF(Table1[[#This Row],[//]]="",INDIRECT(ADDRESS(ROW()-1,COLUMN())),Table1[[#This Row],[//]]))</f>
        <v>44</v>
      </c>
      <c r="W51" s="95">
        <f ca="1">IF(Table1[[#This Row],[h_id]]="","",COUNTIF(Table1[h_id],Table1[[#This Row],[h_id]]))</f>
        <v>10</v>
      </c>
      <c r="X51" s="93">
        <f>IF(Table1[Item Description]="","",Table1[[#This Row],[Qty]]*Table1[[#This Row],[Unit Price]])</f>
        <v>3052800</v>
      </c>
      <c r="Y51" s="93">
        <f>IF(Table1[[#This Row],[h_hargasebelumdiskon]]="","",IF(Table1[[#This Row],[Disc 1]]="",0,Table1[[#This Row],[h_hargasebelumdiskon]]*Table1[[#This Row],[Disc 1]]))</f>
        <v>381600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381600</v>
      </c>
      <c r="AB51" s="93">
        <f>IF(Table1[Item Description]="","",Table1[[#This Row],[h_hargasebelumdiskon]]-Table1[[#This Row],[h_diskon]])</f>
        <v>2671200</v>
      </c>
      <c r="AC51" s="93" t="str">
        <f>IF(Table1[//]="","",SUMIF(Table1[h_id],Table1[h_id],Table1[h_hargasetelahdiskon]))</f>
        <v/>
      </c>
      <c r="AD51" s="93"/>
      <c r="AE51" s="93" t="str">
        <f>Table1[[#This Row],[Item Description]]&amp;Table1[[#This Row],[Unit]]&amp;Table1[[#This Row],[Unit Price]]</f>
        <v>PENSIL WARNA JOYKO CP-12PB (PANJANG)PCS10600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J52" s="92">
        <v>288</v>
      </c>
      <c r="K52" s="92" t="s">
        <v>125</v>
      </c>
      <c r="L52" s="92">
        <v>1</v>
      </c>
      <c r="M52" s="92" t="s">
        <v>219</v>
      </c>
      <c r="N52" s="196" t="str">
        <f>IF(Table1[[#This Row],[h_Item Description]]="","",INDEX([1]!db[NB PAJAK],MATCH(Table1[[#This Row],[h_Item Description]],[1]!db[kode],0)))</f>
        <v>PENSIL WARNA JOYKO CP-S12 MINI (PENDEK)</v>
      </c>
      <c r="O52" s="92" t="s">
        <v>229</v>
      </c>
      <c r="P52" s="93">
        <v>6700</v>
      </c>
      <c r="Q52" s="94">
        <v>0.125</v>
      </c>
      <c r="S52" s="199">
        <f>Table1[[#This Row],[h_hargasetelahdiskon]]</f>
        <v>1688400</v>
      </c>
      <c r="V52" s="95">
        <f ca="1">IF(Table1[[#This Row],[Item Description]]="","",IF(Table1[[#This Row],[//]]="",INDIRECT(ADDRESS(ROW()-1,COLUMN())),Table1[[#This Row],[//]]))</f>
        <v>44</v>
      </c>
      <c r="W52" s="95">
        <f ca="1">IF(Table1[[#This Row],[h_id]]="","",COUNTIF(Table1[h_id],Table1[[#This Row],[h_id]]))</f>
        <v>10</v>
      </c>
      <c r="X52" s="93">
        <f>IF(Table1[Item Description]="","",Table1[[#This Row],[Qty]]*Table1[[#This Row],[Unit Price]])</f>
        <v>1929600</v>
      </c>
      <c r="Y52" s="93">
        <f>IF(Table1[[#This Row],[h_hargasebelumdiskon]]="","",IF(Table1[[#This Row],[Disc 1]]="",0,Table1[[#This Row],[h_hargasebelumdiskon]]*Table1[[#This Row],[Disc 1]]))</f>
        <v>241200</v>
      </c>
      <c r="Z52" s="93">
        <f>IF(Table1[[#This Row],[h_hargasebelumdiskon]]="","",IF(Table1[[#This Row],[Disc 2]]="",0,(Table1[[#This Row],[h_hargasebelumdiskon]]-Table1[[#This Row],[h_disc 1]])*Table1[[#This Row],[Disc 2]]))</f>
        <v>0</v>
      </c>
      <c r="AA52" s="93">
        <f>IF(Table1[Item Description]="","",Table1[[#This Row],[h_disc 1]]+Table1[[#This Row],[h_disc 2]])</f>
        <v>241200</v>
      </c>
      <c r="AB52" s="93">
        <f>IF(Table1[Item Description]="","",Table1[[#This Row],[h_hargasebelumdiskon]]-Table1[[#This Row],[h_diskon]])</f>
        <v>1688400</v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>PENSIL WARNA JOYKO CP-S12 MINI (PENDEK)PCS6700</v>
      </c>
    </row>
    <row r="53" spans="1:31" x14ac:dyDescent="0.25">
      <c r="A53" s="95" t="str">
        <f>IF(Table1[[#This Row],[No. Invoice :]]="","",ROW())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J53" s="92">
        <v>72</v>
      </c>
      <c r="K53" s="92" t="s">
        <v>125</v>
      </c>
      <c r="L53" s="92">
        <v>1</v>
      </c>
      <c r="M53" s="92" t="s">
        <v>220</v>
      </c>
      <c r="N53" s="196" t="str">
        <f>IF(Table1[[#This Row],[h_Item Description]]="","",INDEX([1]!db[NB PAJAK],MATCH(Table1[[#This Row],[h_Item Description]],[1]!db[kode],0)))</f>
        <v>PENSIL WARNA JOYKO CP-24PB (PANJANG)</v>
      </c>
      <c r="O53" s="92" t="s">
        <v>230</v>
      </c>
      <c r="P53" s="93">
        <v>21200</v>
      </c>
      <c r="Q53" s="94">
        <v>0.125</v>
      </c>
      <c r="S53" s="199">
        <f>Table1[[#This Row],[h_hargasetelahdiskon]]</f>
        <v>1335600</v>
      </c>
      <c r="V53" s="95">
        <f ca="1">IF(Table1[[#This Row],[Item Description]]="","",IF(Table1[[#This Row],[//]]="",INDIRECT(ADDRESS(ROW()-1,COLUMN())),Table1[[#This Row],[//]]))</f>
        <v>44</v>
      </c>
      <c r="W53" s="95">
        <f ca="1">IF(Table1[[#This Row],[h_id]]="","",COUNTIF(Table1[h_id],Table1[[#This Row],[h_id]]))</f>
        <v>10</v>
      </c>
      <c r="X53" s="93">
        <f>IF(Table1[Item Description]="","",Table1[[#This Row],[Qty]]*Table1[[#This Row],[Unit Price]])</f>
        <v>1526400</v>
      </c>
      <c r="Y53" s="93">
        <f>IF(Table1[[#This Row],[h_hargasebelumdiskon]]="","",IF(Table1[[#This Row],[Disc 1]]="",0,Table1[[#This Row],[h_hargasebelumdiskon]]*Table1[[#This Row],[Disc 1]]))</f>
        <v>190800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190800</v>
      </c>
      <c r="AB53" s="93">
        <f>IF(Table1[Item Description]="","",Table1[[#This Row],[h_hargasebelumdiskon]]-Table1[[#This Row],[h_diskon]])</f>
        <v>1335600</v>
      </c>
      <c r="AC53" s="93" t="str">
        <f>IF(Table1[//]="","",SUMIF(Table1[h_id],Table1[h_id],Table1[h_hargasetelahdiskon]))</f>
        <v/>
      </c>
      <c r="AD53" s="93"/>
      <c r="AE53" s="93" t="str">
        <f>Table1[[#This Row],[Item Description]]&amp;Table1[[#This Row],[Unit]]&amp;Table1[[#This Row],[Unit Price]]</f>
        <v>PENSIL WARNA JOYKO CP-24PB (PANJANG)PCS21200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>
        <f>IF(Table1[[#This Row],[No. Invoice :]]="","",ROW())</f>
        <v>55</v>
      </c>
      <c r="B55" s="196">
        <f>IF(Table1[h_Kode Sales :_1]="","",B$1+COUNT(B$2:B54))</f>
        <v>23030018</v>
      </c>
      <c r="C55" s="98">
        <v>45000</v>
      </c>
      <c r="D55" s="92" t="s">
        <v>130</v>
      </c>
      <c r="E55" s="97" t="s">
        <v>241</v>
      </c>
      <c r="F55" s="92" t="s">
        <v>97</v>
      </c>
      <c r="G55" s="95" t="str">
        <f>IF(Table1[[#This Row],[h_No. Invoice :]]="","",CONCATENATE("AM"," ",Table1[[#This Row],[h_No. Invoice :]]))</f>
        <v>AM 23030018</v>
      </c>
      <c r="H55" s="96" t="str">
        <f>CONCATENATE(UPPER(Table1[[#This Row],[h_Kode Sales :_1]])," ",Table1[[#This Row],[h_Kode Sales :_2]])</f>
        <v>G 2991</v>
      </c>
      <c r="I55" s="95" t="str">
        <f>IF(Table1[[#This Row],[h_toko]]="","",INDEX(Table2[e],IF(Table1[[#This Row],[h_toko]]="","",MATCH(Table1[[#This Row],[h_toko]],Table2[a],0)),))</f>
        <v>LILY JULIAWATI (REJO AGUNG) JOMBANG</v>
      </c>
      <c r="J55" s="92">
        <v>240</v>
      </c>
      <c r="K55" s="92" t="s">
        <v>125</v>
      </c>
      <c r="L55" s="92">
        <v>2</v>
      </c>
      <c r="M55" s="92" t="s">
        <v>242</v>
      </c>
      <c r="N55" s="196" t="str">
        <f>IF(Table1[[#This Row],[h_Item Description]]="","",INDEX([1]!db[NB PAJAK],MATCH(Table1[[#This Row],[h_Item Description]],[1]!db[kode],0)))</f>
        <v>CALCULATOR JOYKO DTC-1313CH</v>
      </c>
      <c r="O55" s="92" t="s">
        <v>243</v>
      </c>
      <c r="P55" s="93">
        <v>40000</v>
      </c>
      <c r="Q55" s="94">
        <v>0.125</v>
      </c>
      <c r="S55" s="199">
        <f>Table1[[#This Row],[h_hargasetelahdiskon]]</f>
        <v>8400000</v>
      </c>
      <c r="T55" s="93" t="s">
        <v>123</v>
      </c>
      <c r="V55" s="95">
        <f ca="1">IF(Table1[[#This Row],[Item Description]]="","",IF(Table1[[#This Row],[//]]="",INDIRECT(ADDRESS(ROW()-1,COLUMN())),Table1[[#This Row],[//]]))</f>
        <v>55</v>
      </c>
      <c r="W55" s="95">
        <f ca="1">IF(Table1[[#This Row],[h_id]]="","",COUNTIF(Table1[h_id],Table1[[#This Row],[h_id]]))</f>
        <v>1</v>
      </c>
      <c r="X55" s="93">
        <f>IF(Table1[Item Description]="","",Table1[[#This Row],[Qty]]*Table1[[#This Row],[Unit Price]])</f>
        <v>9600000</v>
      </c>
      <c r="Y55" s="93">
        <f>IF(Table1[[#This Row],[h_hargasebelumdiskon]]="","",IF(Table1[[#This Row],[Disc 1]]="",0,Table1[[#This Row],[h_hargasebelumdiskon]]*Table1[[#This Row],[Disc 1]]))</f>
        <v>1200000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1200000</v>
      </c>
      <c r="AB55" s="93">
        <f>IF(Table1[Item Description]="","",Table1[[#This Row],[h_hargasebelumdiskon]]-Table1[[#This Row],[h_diskon]])</f>
        <v>8400000</v>
      </c>
      <c r="AC55" s="93">
        <f ca="1">IF(Table1[//]="","",SUMIF(Table1[h_id],Table1[h_id],Table1[h_hargasetelahdiskon]))</f>
        <v>8400000</v>
      </c>
      <c r="AD55" s="93"/>
      <c r="AE55" s="93" t="str">
        <f>Table1[[#This Row],[Item Description]]&amp;Table1[[#This Row],[Unit]]&amp;Table1[[#This Row],[Unit Price]]</f>
        <v>CALCULATOR JOYKO DTC-1313CHPCS40000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23030019</v>
      </c>
      <c r="C57" s="98">
        <v>45001</v>
      </c>
      <c r="D57" s="92" t="s">
        <v>245</v>
      </c>
      <c r="E57" s="97" t="s">
        <v>246</v>
      </c>
      <c r="F57" s="92" t="s">
        <v>97</v>
      </c>
      <c r="G57" s="95" t="str">
        <f>IF(Table1[[#This Row],[h_No. Invoice :]]="","",CONCATENATE("AM"," ",Table1[[#This Row],[h_No. Invoice :]]))</f>
        <v>AM 23030019</v>
      </c>
      <c r="H57" s="96" t="str">
        <f>CONCATENATE(UPPER(Table1[[#This Row],[h_Kode Sales :_1]])," ",Table1[[#This Row],[h_Kode Sales :_2]])</f>
        <v>G 2998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192</v>
      </c>
      <c r="K57" s="92" t="s">
        <v>120</v>
      </c>
      <c r="L57" s="92">
        <v>2</v>
      </c>
      <c r="M57" s="92" t="s">
        <v>247</v>
      </c>
      <c r="N57" s="196" t="str">
        <f>IF(Table1[[#This Row],[h_Item Description]]="","",INDEX([1]!db[NB PAJAK],MATCH(Table1[[#This Row],[h_Item Description]],[1]!db[kode],0)))</f>
        <v>GEL PEN TIZO 1.0 MM TG-340BI BIRU</v>
      </c>
      <c r="O57" s="92" t="s">
        <v>248</v>
      </c>
      <c r="P57" s="93">
        <v>33000</v>
      </c>
      <c r="Q57" s="94"/>
      <c r="S57" s="199">
        <f>Table1[[#This Row],[h_hargasetelahdiskon]]</f>
        <v>6336000</v>
      </c>
      <c r="T57" s="93" t="s">
        <v>123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6336000</v>
      </c>
      <c r="Y57" s="93">
        <f>IF(Table1[[#This Row],[h_hargasebelumdiskon]]="","",IF(Table1[[#This Row],[Disc 1]]="",0,Table1[[#This Row],[h_hargasebelumdiskon]]*Table1[[#This Row],[Disc 1]]))</f>
        <v>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0</v>
      </c>
      <c r="AB57" s="93">
        <f>IF(Table1[Item Description]="","",Table1[[#This Row],[h_hargasebelumdiskon]]-Table1[[#This Row],[h_diskon]])</f>
        <v>6336000</v>
      </c>
      <c r="AC57" s="93">
        <f ca="1">IF(Table1[//]="","",SUMIF(Table1[h_id],Table1[h_id],Table1[h_hargasetelahdiskon]))</f>
        <v>6336000</v>
      </c>
      <c r="AD57" s="93"/>
      <c r="AE57" s="93" t="str">
        <f>Table1[[#This Row],[Item Description]]&amp;Table1[[#This Row],[Unit]]&amp;Table1[[#This Row],[Unit Price]]</f>
        <v>GEL PEN TIZO 1.0 MM TG-340BI BIRULSN33000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23030020</v>
      </c>
      <c r="C59" s="98">
        <v>45002</v>
      </c>
      <c r="D59" s="92" t="s">
        <v>253</v>
      </c>
      <c r="E59" s="97" t="s">
        <v>254</v>
      </c>
      <c r="F59" s="92" t="s">
        <v>250</v>
      </c>
      <c r="G59" s="95" t="str">
        <f>IF(Table1[[#This Row],[h_No. Invoice :]]="","",CONCATENATE("AM"," ",Table1[[#This Row],[h_No. Invoice :]]))</f>
        <v>AM 23030020</v>
      </c>
      <c r="H59" s="96" t="str">
        <f>CONCATENATE(UPPER(Table1[[#This Row],[h_Kode Sales :_1]])," ",Table1[[#This Row],[h_Kode Sales :_2]])</f>
        <v>N 1302</v>
      </c>
      <c r="I59" s="95" t="str">
        <f>IF(Table1[[#This Row],[h_toko]]="","",INDEX(Table2[e],IF(Table1[[#This Row],[h_toko]]="","",MATCH(Table1[[#This Row],[h_toko]],Table2[a],0)),))</f>
        <v>RENI (JATI MULYO) KEBUMEN</v>
      </c>
      <c r="J59" s="92">
        <v>144</v>
      </c>
      <c r="K59" s="92" t="s">
        <v>120</v>
      </c>
      <c r="L59" s="92">
        <v>1</v>
      </c>
      <c r="M59" s="197"/>
      <c r="N59" s="196" t="str">
        <f>IF(Table1[[#This Row],[h_Item Description]]="","",INDEX([1]!db[NB PAJAK],MATCH(Table1[[#This Row],[h_Item Description]],[1]!db[kode],0)))</f>
        <v/>
      </c>
      <c r="O59" s="92" t="s">
        <v>265</v>
      </c>
      <c r="P59" s="93">
        <v>18000</v>
      </c>
      <c r="Q59" s="94"/>
      <c r="S59" s="199">
        <f>Table1[[#This Row],[h_hargasetelahdiskon]]</f>
        <v>2592000</v>
      </c>
      <c r="T59" s="93" t="s">
        <v>123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6</v>
      </c>
      <c r="X59" s="93">
        <f>IF(Table1[Item Description]="","",Table1[[#This Row],[Qty]]*Table1[[#This Row],[Unit Price]])</f>
        <v>2592000</v>
      </c>
      <c r="Y59" s="93">
        <f>IF(Table1[[#This Row],[h_hargasebelumdiskon]]="","",IF(Table1[[#This Row],[Disc 1]]="",0,Table1[[#This Row],[h_hargasebelumdiskon]]*Table1[[#This Row],[Disc 1]]))</f>
        <v>0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0</v>
      </c>
      <c r="AB59" s="93">
        <f>IF(Table1[Item Description]="","",Table1[[#This Row],[h_hargasebelumdiskon]]-Table1[[#This Row],[h_diskon]])</f>
        <v>2592000</v>
      </c>
      <c r="AC59" s="93">
        <f ca="1">IF(Table1[//]="","",SUMIF(Table1[h_id],Table1[h_id],Table1[h_hargasetelahdiskon]))</f>
        <v>15552000</v>
      </c>
      <c r="AD59" s="93"/>
      <c r="AE59" s="93" t="str">
        <f>Table1[[#This Row],[Item Description]]&amp;Table1[[#This Row],[Unit]]&amp;Table1[[#This Row],[Unit Price]]</f>
        <v>GEL PEN TIZO TG31763-EL FANCYLSN18000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J60" s="92">
        <v>144</v>
      </c>
      <c r="K60" s="92" t="s">
        <v>120</v>
      </c>
      <c r="L60" s="92">
        <v>1</v>
      </c>
      <c r="N60" s="196" t="str">
        <f>IF(Table1[[#This Row],[h_Item Description]]="","",INDEX([1]!db[NB PAJAK],MATCH(Table1[[#This Row],[h_Item Description]],[1]!db[kode],0)))</f>
        <v/>
      </c>
      <c r="O60" s="92" t="s">
        <v>255</v>
      </c>
      <c r="P60" s="93">
        <v>18000</v>
      </c>
      <c r="Q60" s="94"/>
      <c r="S60" s="199">
        <f>Table1[[#This Row],[h_hargasetelahdiskon]]</f>
        <v>2592000</v>
      </c>
      <c r="V60" s="95">
        <f ca="1">IF(Table1[[#This Row],[Item Description]]="","",IF(Table1[[#This Row],[//]]="",INDIRECT(ADDRESS(ROW()-1,COLUMN())),Table1[[#This Row],[//]]))</f>
        <v>59</v>
      </c>
      <c r="W60" s="95">
        <f ca="1">IF(Table1[[#This Row],[h_id]]="","",COUNTIF(Table1[h_id],Table1[[#This Row],[h_id]]))</f>
        <v>6</v>
      </c>
      <c r="X60" s="93">
        <f>IF(Table1[Item Description]="","",Table1[[#This Row],[Qty]]*Table1[[#This Row],[Unit Price]])</f>
        <v>2592000</v>
      </c>
      <c r="Y60" s="93">
        <f>IF(Table1[[#This Row],[h_hargasebelumdiskon]]="","",IF(Table1[[#This Row],[Disc 1]]="",0,Table1[[#This Row],[h_hargasebelumdiskon]]*Table1[[#This Row],[Disc 1]]))</f>
        <v>0</v>
      </c>
      <c r="Z60" s="93">
        <f>IF(Table1[[#This Row],[h_hargasebelumdiskon]]="","",IF(Table1[[#This Row],[Disc 2]]="",0,(Table1[[#This Row],[h_hargasebelumdiskon]]-Table1[[#This Row],[h_disc 1]])*Table1[[#This Row],[Disc 2]]))</f>
        <v>0</v>
      </c>
      <c r="AA60" s="93">
        <f>IF(Table1[Item Description]="","",Table1[[#This Row],[h_disc 1]]+Table1[[#This Row],[h_disc 2]])</f>
        <v>0</v>
      </c>
      <c r="AB60" s="93">
        <f>IF(Table1[Item Description]="","",Table1[[#This Row],[h_hargasebelumdiskon]]-Table1[[#This Row],[h_diskon]])</f>
        <v>2592000</v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>GEL PEN TIZO TG31035-E FANCYLSN18000</v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144</v>
      </c>
      <c r="K61" s="92" t="s">
        <v>120</v>
      </c>
      <c r="L61" s="92">
        <v>1</v>
      </c>
      <c r="M61" s="197"/>
      <c r="N61" s="196" t="str">
        <f>IF(Table1[[#This Row],[h_Item Description]]="","",INDEX([1]!db[NB PAJAK],MATCH(Table1[[#This Row],[h_Item Description]],[1]!db[kode],0)))</f>
        <v/>
      </c>
      <c r="O61" s="92" t="s">
        <v>256</v>
      </c>
      <c r="P61" s="93">
        <v>18000</v>
      </c>
      <c r="Q61" s="94"/>
      <c r="S61" s="199">
        <f>Table1[[#This Row],[h_hargasetelahdiskon]]</f>
        <v>2592000</v>
      </c>
      <c r="V61" s="95">
        <f ca="1">IF(Table1[[#This Row],[Item Description]]="","",IF(Table1[[#This Row],[//]]="",INDIRECT(ADDRESS(ROW()-1,COLUMN())),Table1[[#This Row],[//]]))</f>
        <v>59</v>
      </c>
      <c r="W61" s="95">
        <f ca="1">IF(Table1[[#This Row],[h_id]]="","",COUNTIF(Table1[h_id],Table1[[#This Row],[h_id]]))</f>
        <v>6</v>
      </c>
      <c r="X61" s="93">
        <f>IF(Table1[Item Description]="","",Table1[[#This Row],[Qty]]*Table1[[#This Row],[Unit Price]])</f>
        <v>2592000</v>
      </c>
      <c r="Y61" s="93">
        <f>IF(Table1[[#This Row],[h_hargasebelumdiskon]]="","",IF(Table1[[#This Row],[Disc 1]]="",0,Table1[[#This Row],[h_hargasebelumdiskon]]*Table1[[#This Row],[Disc 1]]))</f>
        <v>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0</v>
      </c>
      <c r="AB61" s="93">
        <f>IF(Table1[Item Description]="","",Table1[[#This Row],[h_hargasebelumdiskon]]-Table1[[#This Row],[h_diskon]])</f>
        <v>2592000</v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>GEL PEN TIZO TG30802-E FANCYLSN18000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144</v>
      </c>
      <c r="K62" s="92" t="s">
        <v>120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257</v>
      </c>
      <c r="P62" s="93">
        <v>18000</v>
      </c>
      <c r="Q62" s="94"/>
      <c r="S62" s="199">
        <f>Table1[[#This Row],[h_hargasetelahdiskon]]</f>
        <v>2592000</v>
      </c>
      <c r="V62" s="95">
        <f ca="1">IF(Table1[[#This Row],[Item Description]]="","",IF(Table1[[#This Row],[//]]="",INDIRECT(ADDRESS(ROW()-1,COLUMN())),Table1[[#This Row],[//]]))</f>
        <v>59</v>
      </c>
      <c r="W62" s="95">
        <f ca="1">IF(Table1[[#This Row],[h_id]]="","",COUNTIF(Table1[h_id],Table1[[#This Row],[h_id]]))</f>
        <v>6</v>
      </c>
      <c r="X62" s="93">
        <f>IF(Table1[Item Description]="","",Table1[[#This Row],[Qty]]*Table1[[#This Row],[Unit Price]])</f>
        <v>2592000</v>
      </c>
      <c r="Y62" s="93">
        <f>IF(Table1[[#This Row],[h_hargasebelumdiskon]]="","",IF(Table1[[#This Row],[Disc 1]]="",0,Table1[[#This Row],[h_hargasebelumdiskon]]*Table1[[#This Row],[Disc 1]]))</f>
        <v>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0</v>
      </c>
      <c r="AB62" s="93">
        <f>IF(Table1[Item Description]="","",Table1[[#This Row],[h_hargasebelumdiskon]]-Table1[[#This Row],[h_diskon]])</f>
        <v>2592000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GEL PEN TIZO TG30801-E FANCYLSN18000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144</v>
      </c>
      <c r="K63" s="92" t="s">
        <v>120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258</v>
      </c>
      <c r="P63" s="93">
        <v>18000</v>
      </c>
      <c r="Q63" s="94"/>
      <c r="S63" s="199">
        <f>Table1[[#This Row],[h_hargasetelahdiskon]]</f>
        <v>2592000</v>
      </c>
      <c r="V63" s="95">
        <f ca="1">IF(Table1[[#This Row],[Item Description]]="","",IF(Table1[[#This Row],[//]]="",INDIRECT(ADDRESS(ROW()-1,COLUMN())),Table1[[#This Row],[//]]))</f>
        <v>59</v>
      </c>
      <c r="W63" s="95">
        <f ca="1">IF(Table1[[#This Row],[h_id]]="","",COUNTIF(Table1[h_id],Table1[[#This Row],[h_id]]))</f>
        <v>6</v>
      </c>
      <c r="X63" s="93">
        <f>IF(Table1[Item Description]="","",Table1[[#This Row],[Qty]]*Table1[[#This Row],[Unit Price]])</f>
        <v>2592000</v>
      </c>
      <c r="Y63" s="93">
        <f>IF(Table1[[#This Row],[h_hargasebelumdiskon]]="","",IF(Table1[[#This Row],[Disc 1]]="",0,Table1[[#This Row],[h_hargasebelumdiskon]]*Table1[[#This Row],[Disc 1]]))</f>
        <v>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0</v>
      </c>
      <c r="AB63" s="93">
        <f>IF(Table1[Item Description]="","",Table1[[#This Row],[h_hargasebelumdiskon]]-Table1[[#This Row],[h_diskon]])</f>
        <v>2592000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GEL PEN TIZO TG31590-E FANCYLSN18000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144</v>
      </c>
      <c r="K64" s="92" t="s">
        <v>120</v>
      </c>
      <c r="L64" s="92">
        <v>1</v>
      </c>
      <c r="M64" s="197"/>
      <c r="N64" s="196" t="str">
        <f>IF(Table1[[#This Row],[h_Item Description]]="","",INDEX([1]!db[NB PAJAK],MATCH(Table1[[#This Row],[h_Item Description]],[1]!db[kode],0)))</f>
        <v/>
      </c>
      <c r="O64" s="92" t="s">
        <v>259</v>
      </c>
      <c r="P64" s="93">
        <v>18000</v>
      </c>
      <c r="Q64" s="94"/>
      <c r="S64" s="199">
        <f>Table1[[#This Row],[h_hargasetelahdiskon]]</f>
        <v>2592000</v>
      </c>
      <c r="V64" s="95">
        <f ca="1">IF(Table1[[#This Row],[Item Description]]="","",IF(Table1[[#This Row],[//]]="",INDIRECT(ADDRESS(ROW()-1,COLUMN())),Table1[[#This Row],[//]]))</f>
        <v>59</v>
      </c>
      <c r="W64" s="95">
        <f ca="1">IF(Table1[[#This Row],[h_id]]="","",COUNTIF(Table1[h_id],Table1[[#This Row],[h_id]]))</f>
        <v>6</v>
      </c>
      <c r="X64" s="93">
        <f>IF(Table1[Item Description]="","",Table1[[#This Row],[Qty]]*Table1[[#This Row],[Unit Price]])</f>
        <v>2592000</v>
      </c>
      <c r="Y64" s="93">
        <f>IF(Table1[[#This Row],[h_hargasebelumdiskon]]="","",IF(Table1[[#This Row],[Disc 1]]="",0,Table1[[#This Row],[h_hargasebelumdiskon]]*Table1[[#This Row],[Disc 1]]))</f>
        <v>0</v>
      </c>
      <c r="Z64" s="93">
        <f>IF(Table1[[#This Row],[h_hargasebelumdiskon]]="","",IF(Table1[[#This Row],[Disc 2]]="",0,(Table1[[#This Row],[h_hargasebelumdiskon]]-Table1[[#This Row],[h_disc 1]])*Table1[[#This Row],[Disc 2]]))</f>
        <v>0</v>
      </c>
      <c r="AA64" s="93">
        <f>IF(Table1[Item Description]="","",Table1[[#This Row],[h_disc 1]]+Table1[[#This Row],[h_disc 2]])</f>
        <v>0</v>
      </c>
      <c r="AB64" s="93">
        <f>IF(Table1[Item Description]="","",Table1[[#This Row],[h_hargasebelumdiskon]]-Table1[[#This Row],[h_diskon]])</f>
        <v>2592000</v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>GEL PEN TIZO TG31762-E FANCYLSN18000</v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x14ac:dyDescent="0.25">
      <c r="A66" s="95">
        <f>IF(Table1[[#This Row],[No. Invoice :]]="","",ROW())</f>
        <v>66</v>
      </c>
      <c r="B66" s="196">
        <f>IF(Table1[h_Kode Sales :_1]="","",B$1+COUNT(B$2:B65))</f>
        <v>23030021</v>
      </c>
      <c r="C66" s="98">
        <v>45002</v>
      </c>
      <c r="D66" s="92" t="s">
        <v>118</v>
      </c>
      <c r="E66" s="97" t="s">
        <v>267</v>
      </c>
      <c r="F66" s="92" t="s">
        <v>95</v>
      </c>
      <c r="G66" s="95" t="str">
        <f>IF(Table1[[#This Row],[h_No. Invoice :]]="","",CONCATENATE("AM"," ",Table1[[#This Row],[h_No. Invoice :]]))</f>
        <v>AM 23030021</v>
      </c>
      <c r="H66" s="96" t="str">
        <f>CONCATENATE(UPPER(Table1[[#This Row],[h_Kode Sales :_1]])," ",Table1[[#This Row],[h_Kode Sales :_2]])</f>
        <v>KO 1307</v>
      </c>
      <c r="I66" s="95" t="str">
        <f>IF(Table1[[#This Row],[h_toko]]="","",INDEX(Table2[e],IF(Table1[[#This Row],[h_toko]]="","",MATCH(Table1[[#This Row],[h_toko]],Table2[a],0)),))</f>
        <v>CV  WISUDA PURWOKERTO</v>
      </c>
      <c r="J66" s="92">
        <v>5</v>
      </c>
      <c r="K66" s="92" t="s">
        <v>127</v>
      </c>
      <c r="L66" s="92">
        <v>1</v>
      </c>
      <c r="M66" s="92" t="s">
        <v>268</v>
      </c>
      <c r="N66" s="95" t="str">
        <f>IF(Table1[[#This Row],[h_Item Description]]="","",INDEX([1]!db[NB PAJAK],MATCH(Table1[[#This Row],[h_Item Description]],[1]!db[kode],0)))</f>
        <v>BINDER CLIP KENKO NO. 260</v>
      </c>
      <c r="O66" s="92" t="s">
        <v>269</v>
      </c>
      <c r="P66" s="93">
        <v>180000</v>
      </c>
      <c r="Q66" s="94">
        <v>0.1</v>
      </c>
      <c r="S66" s="199">
        <f>Table1[[#This Row],[h_hargasetelahdiskon]]</f>
        <v>810000</v>
      </c>
      <c r="T66" s="93" t="s">
        <v>123</v>
      </c>
      <c r="V66" s="95">
        <f ca="1">IF(Table1[[#This Row],[Item Description]]="","",IF(Table1[[#This Row],[//]]="",INDIRECT(ADDRESS(ROW()-1,COLUMN())),Table1[[#This Row],[//]]))</f>
        <v>66</v>
      </c>
      <c r="W66" s="95">
        <f ca="1">IF(Table1[[#This Row],[h_id]]="","",COUNTIF(Table1[h_id],Table1[[#This Row],[h_id]]))</f>
        <v>1</v>
      </c>
      <c r="X66" s="93">
        <f>IF(Table1[Item Description]="","",Table1[[#This Row],[Qty]]*Table1[[#This Row],[Unit Price]])</f>
        <v>900000</v>
      </c>
      <c r="Y66" s="93">
        <f>IF(Table1[[#This Row],[h_hargasebelumdiskon]]="","",IF(Table1[[#This Row],[Disc 1]]="",0,Table1[[#This Row],[h_hargasebelumdiskon]]*Table1[[#This Row],[Disc 1]]))</f>
        <v>90000</v>
      </c>
      <c r="Z66" s="93">
        <f>IF(Table1[[#This Row],[h_hargasebelumdiskon]]="","",IF(Table1[[#This Row],[Disc 2]]="",0,(Table1[[#This Row],[h_hargasebelumdiskon]]-Table1[[#This Row],[h_disc 1]])*Table1[[#This Row],[Disc 2]]))</f>
        <v>0</v>
      </c>
      <c r="AA66" s="93">
        <f>IF(Table1[Item Description]="","",Table1[[#This Row],[h_disc 1]]+Table1[[#This Row],[h_disc 2]])</f>
        <v>90000</v>
      </c>
      <c r="AB66" s="93">
        <f>IF(Table1[Item Description]="","",Table1[[#This Row],[h_hargasebelumdiskon]]-Table1[[#This Row],[h_diskon]])</f>
        <v>810000</v>
      </c>
      <c r="AC66" s="93">
        <f ca="1">IF(Table1[//]="","",SUMIF(Table1[h_id],Table1[h_id],Table1[h_hargasetelahdiskon]))</f>
        <v>810000</v>
      </c>
      <c r="AD66" s="93"/>
      <c r="AE66" s="93" t="str">
        <f>Table1[[#This Row],[Item Description]]&amp;Table1[[#This Row],[Unit]]&amp;Table1[[#This Row],[Unit Price]]</f>
        <v>BINDER CLIP KENKO NO. 260GRS180000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23030022</v>
      </c>
      <c r="C68" s="98">
        <v>45002</v>
      </c>
      <c r="D68" s="92" t="s">
        <v>118</v>
      </c>
      <c r="E68" s="97" t="s">
        <v>271</v>
      </c>
      <c r="F68" s="92" t="s">
        <v>41</v>
      </c>
      <c r="G68" s="95" t="str">
        <f>IF(Table1[[#This Row],[h_No. Invoice :]]="","",CONCATENATE("AM"," ",Table1[[#This Row],[h_No. Invoice :]]))</f>
        <v>AM 23030022</v>
      </c>
      <c r="H68" s="96" t="str">
        <f>CONCATENATE(UPPER(Table1[[#This Row],[h_Kode Sales :_1]])," ",Table1[[#This Row],[h_Kode Sales :_2]])</f>
        <v>KO 1232</v>
      </c>
      <c r="I68" s="95" t="str">
        <f>IF(Table1[[#This Row],[h_toko]]="","",INDEX(Table2[e],IF(Table1[[#This Row],[h_toko]]="","",MATCH(Table1[[#This Row],[h_toko]],Table2[a],0)),))</f>
        <v>CV DWI JAYA YOGYAKARTA</v>
      </c>
      <c r="J68" s="92">
        <v>5</v>
      </c>
      <c r="K68" s="92" t="s">
        <v>120</v>
      </c>
      <c r="M68" s="92" t="s">
        <v>272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276</v>
      </c>
      <c r="P68" s="93">
        <v>49200</v>
      </c>
      <c r="Q68" s="94">
        <v>0.1</v>
      </c>
      <c r="S68" s="199">
        <f>Table1[[#This Row],[h_hargasetelahdiskon]]</f>
        <v>221400</v>
      </c>
      <c r="T68" s="93" t="s">
        <v>123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5</v>
      </c>
      <c r="X68" s="93">
        <f>IF(Table1[Item Description]="","",Table1[[#This Row],[Qty]]*Table1[[#This Row],[Unit Price]])</f>
        <v>246000</v>
      </c>
      <c r="Y68" s="93">
        <f>IF(Table1[[#This Row],[h_hargasebelumdiskon]]="","",IF(Table1[[#This Row],[Disc 1]]="",0,Table1[[#This Row],[h_hargasebelumdiskon]]*Table1[[#This Row],[Disc 1]]))</f>
        <v>24600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24600</v>
      </c>
      <c r="AB68" s="93">
        <f>IF(Table1[Item Description]="","",Table1[[#This Row],[h_hargasebelumdiskon]]-Table1[[#This Row],[h_diskon]])</f>
        <v>221400</v>
      </c>
      <c r="AC68" s="93">
        <f ca="1">IF(Table1[//]="","",SUMIF(Table1[h_id],Table1[h_id],Table1[h_hargasetelahdiskon]))</f>
        <v>1319400</v>
      </c>
      <c r="AD68" s="93"/>
      <c r="AE68" s="93" t="str">
        <f>Table1[[#This Row],[Item Description]]&amp;Table1[[#This Row],[Unit]]&amp;Table1[[#This Row],[Unit Price]]</f>
        <v>STAND PEN SPIRAL KENKO STP-300SGLSN49200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12</v>
      </c>
      <c r="K69" s="92" t="s">
        <v>120</v>
      </c>
      <c r="M69" s="92" t="s">
        <v>273</v>
      </c>
      <c r="N69" s="196" t="str">
        <f>IF(Table1[[#This Row],[h_Item Description]]="","",INDEX([1]!db[NB PAJAK],MATCH(Table1[[#This Row],[h_Item Description]],[1]!db[kode],0)))</f>
        <v>GEL PEN KENKO HI-TECH-H 0.28 MM HITAM</v>
      </c>
      <c r="O69" s="92" t="s">
        <v>277</v>
      </c>
      <c r="P69" s="93">
        <v>39000</v>
      </c>
      <c r="Q69" s="94">
        <v>0.1</v>
      </c>
      <c r="S69" s="199">
        <f>Table1[[#This Row],[h_hargasetelahdiskon]]</f>
        <v>421200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5</v>
      </c>
      <c r="X69" s="93">
        <f>IF(Table1[Item Description]="","",Table1[[#This Row],[Qty]]*Table1[[#This Row],[Unit Price]])</f>
        <v>468000</v>
      </c>
      <c r="Y69" s="93">
        <f>IF(Table1[[#This Row],[h_hargasebelumdiskon]]="","",IF(Table1[[#This Row],[Disc 1]]="",0,Table1[[#This Row],[h_hargasebelumdiskon]]*Table1[[#This Row],[Disc 1]]))</f>
        <v>46800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46800</v>
      </c>
      <c r="AB69" s="93">
        <f>IF(Table1[Item Description]="","",Table1[[#This Row],[h_hargasebelumdiskon]]-Table1[[#This Row],[h_diskon]])</f>
        <v>421200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GEL PEN KENKO HI-TECH-H 0.28 MM HITAMLSN39000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10</v>
      </c>
      <c r="K70" s="92" t="s">
        <v>120</v>
      </c>
      <c r="M70" s="92" t="s">
        <v>274</v>
      </c>
      <c r="N70" s="196" t="str">
        <f>IF(Table1[[#This Row],[h_Item Description]]="","",INDEX([1]!db[NB PAJAK],MATCH(Table1[[#This Row],[h_Item Description]],[1]!db[kode],0)))</f>
        <v>CORRECTION FLUID KENKO KE-01</v>
      </c>
      <c r="O70" s="92" t="s">
        <v>278</v>
      </c>
      <c r="P70" s="93">
        <v>54300</v>
      </c>
      <c r="Q70" s="94">
        <v>0.1</v>
      </c>
      <c r="S70" s="199">
        <f>Table1[[#This Row],[h_hargasetelahdiskon]]</f>
        <v>488700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5</v>
      </c>
      <c r="X70" s="93">
        <f>IF(Table1[Item Description]="","",Table1[[#This Row],[Qty]]*Table1[[#This Row],[Unit Price]])</f>
        <v>543000</v>
      </c>
      <c r="Y70" s="93">
        <f>IF(Table1[[#This Row],[h_hargasebelumdiskon]]="","",IF(Table1[[#This Row],[Disc 1]]="",0,Table1[[#This Row],[h_hargasebelumdiskon]]*Table1[[#This Row],[Disc 1]]))</f>
        <v>54300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54300</v>
      </c>
      <c r="AB70" s="93">
        <f>IF(Table1[Item Description]="","",Table1[[#This Row],[h_hargasebelumdiskon]]-Table1[[#This Row],[h_diskon]])</f>
        <v>488700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CORRECTION FLUID KENKO KE-01LSN54300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5</v>
      </c>
      <c r="K71" s="92" t="s">
        <v>120</v>
      </c>
      <c r="M71" s="92" t="s">
        <v>275</v>
      </c>
      <c r="N71" s="196" t="str">
        <f>IF(Table1[[#This Row],[h_Item Description]]="","",INDEX([1]!db[NB PAJAK],MATCH(Table1[[#This Row],[h_Item Description]],[1]!db[kode],0)))</f>
        <v>PENSIL KENKO 2B-6800 PLATINUM</v>
      </c>
      <c r="O71" s="92" t="s">
        <v>279</v>
      </c>
      <c r="P71" s="93">
        <v>8800</v>
      </c>
      <c r="Q71" s="94">
        <v>0.1</v>
      </c>
      <c r="S71" s="199">
        <f>Table1[[#This Row],[h_hargasetelahdiskon]]</f>
        <v>39600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5</v>
      </c>
      <c r="X71" s="93">
        <f>IF(Table1[Item Description]="","",Table1[[#This Row],[Qty]]*Table1[[#This Row],[Unit Price]])</f>
        <v>44000</v>
      </c>
      <c r="Y71" s="93">
        <f>IF(Table1[[#This Row],[h_hargasebelumdiskon]]="","",IF(Table1[[#This Row],[Disc 1]]="",0,Table1[[#This Row],[h_hargasebelumdiskon]]*Table1[[#This Row],[Disc 1]]))</f>
        <v>4400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4400</v>
      </c>
      <c r="AB71" s="93">
        <f>IF(Table1[Item Description]="","",Table1[[#This Row],[h_hargasebelumdiskon]]-Table1[[#This Row],[h_diskon]])</f>
        <v>39600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PENSIL KENKO 2B-6800 PLATINUMLSN8800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</v>
      </c>
      <c r="K72" s="92" t="s">
        <v>120</v>
      </c>
      <c r="M72" s="92" t="s">
        <v>200</v>
      </c>
      <c r="N72" s="196" t="str">
        <f>IF(Table1[[#This Row],[h_Item Description]]="","",INDEX([1]!db[NB PAJAK],MATCH(Table1[[#This Row],[h_Item Description]],[1]!db[kode],0)))</f>
        <v>PUSH PIN KENKO PN-30 WARNA</v>
      </c>
      <c r="O72" s="92" t="s">
        <v>280</v>
      </c>
      <c r="P72" s="93">
        <v>33000</v>
      </c>
      <c r="Q72" s="94">
        <v>0.1</v>
      </c>
      <c r="S72" s="199">
        <f>Table1[[#This Row],[h_hargasetelahdiskon]]</f>
        <v>148500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5</v>
      </c>
      <c r="X72" s="93">
        <f>IF(Table1[Item Description]="","",Table1[[#This Row],[Qty]]*Table1[[#This Row],[Unit Price]])</f>
        <v>165000</v>
      </c>
      <c r="Y72" s="93">
        <f>IF(Table1[[#This Row],[h_hargasebelumdiskon]]="","",IF(Table1[[#This Row],[Disc 1]]="",0,Table1[[#This Row],[h_hargasebelumdiskon]]*Table1[[#This Row],[Disc 1]]))</f>
        <v>16500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16500</v>
      </c>
      <c r="AB72" s="93">
        <f>IF(Table1[Item Description]="","",Table1[[#This Row],[h_hargasebelumdiskon]]-Table1[[#This Row],[h_diskon]])</f>
        <v>148500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WARNALSN33000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>
        <f>IF(Table1[[#This Row],[No. Invoice :]]="","",ROW())</f>
        <v>74</v>
      </c>
      <c r="B74" s="196">
        <f>IF(Table1[h_Kode Sales :_1]="","",B$1+COUNT(B$2:B73))</f>
        <v>23030023</v>
      </c>
      <c r="C74" s="98">
        <v>45003</v>
      </c>
      <c r="D74" s="92" t="s">
        <v>118</v>
      </c>
      <c r="E74" s="97" t="s">
        <v>286</v>
      </c>
      <c r="F74" s="92" t="s">
        <v>91</v>
      </c>
      <c r="G74" s="95" t="str">
        <f>IF(Table1[[#This Row],[h_No. Invoice :]]="","",CONCATENATE("AM"," ",Table1[[#This Row],[h_No. Invoice :]]))</f>
        <v>AM 23030023</v>
      </c>
      <c r="H74" s="96" t="str">
        <f>CONCATENATE(UPPER(Table1[[#This Row],[h_Kode Sales :_1]])," ",Table1[[#This Row],[h_Kode Sales :_2]])</f>
        <v>KO 1318</v>
      </c>
      <c r="I74" s="95" t="str">
        <f>IF(Table1[[#This Row],[h_toko]]="","",INDEX(Table2[e],IF(Table1[[#This Row],[h_toko]]="","",MATCH(Table1[[#This Row],[h_toko]],Table2[a],0)),))</f>
        <v>SANTOSO BUDIONO (  ARMADA  ) PURWOKERTO</v>
      </c>
      <c r="J74" s="92">
        <v>60</v>
      </c>
      <c r="K74" s="92" t="s">
        <v>120</v>
      </c>
      <c r="L74" s="92">
        <v>1</v>
      </c>
      <c r="M74" s="92" t="s">
        <v>132</v>
      </c>
      <c r="N74" s="196" t="str">
        <f>IF(Table1[[#This Row],[h_Item Description]]="","",INDEX([1]!db[NB PAJAK],MATCH(Table1[[#This Row],[h_Item Description]],[1]!db[kode],0)))</f>
        <v>ISI CUTTER 18 MM KENKO L-150 (BESAR)</v>
      </c>
      <c r="O74" s="92" t="s">
        <v>133</v>
      </c>
      <c r="P74" s="93">
        <v>64800</v>
      </c>
      <c r="Q74" s="94">
        <v>0.13</v>
      </c>
      <c r="S74" s="199">
        <f>Table1[[#This Row],[h_hargasetelahdiskon]]</f>
        <v>3382560</v>
      </c>
      <c r="T74" s="93" t="s">
        <v>123</v>
      </c>
      <c r="V74" s="95">
        <f ca="1">IF(Table1[[#This Row],[Item Description]]="","",IF(Table1[[#This Row],[//]]="",INDIRECT(ADDRESS(ROW()-1,COLUMN())),Table1[[#This Row],[//]]))</f>
        <v>74</v>
      </c>
      <c r="W74" s="95">
        <f ca="1">IF(Table1[[#This Row],[h_id]]="","",COUNTIF(Table1[h_id],Table1[[#This Row],[h_id]]))</f>
        <v>1</v>
      </c>
      <c r="X74" s="93">
        <f>IF(Table1[Item Description]="","",Table1[[#This Row],[Qty]]*Table1[[#This Row],[Unit Price]])</f>
        <v>3888000</v>
      </c>
      <c r="Y74" s="93">
        <f>IF(Table1[[#This Row],[h_hargasebelumdiskon]]="","",IF(Table1[[#This Row],[Disc 1]]="",0,Table1[[#This Row],[h_hargasebelumdiskon]]*Table1[[#This Row],[Disc 1]]))</f>
        <v>505440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505440</v>
      </c>
      <c r="AB74" s="93">
        <f>IF(Table1[Item Description]="","",Table1[[#This Row],[h_hargasebelumdiskon]]-Table1[[#This Row],[h_diskon]])</f>
        <v>3382560</v>
      </c>
      <c r="AC74" s="93">
        <f ca="1">IF(Table1[//]="","",SUMIF(Table1[h_id],Table1[h_id],Table1[h_hargasetelahdiskon]))</f>
        <v>3382560</v>
      </c>
      <c r="AD74" s="93"/>
      <c r="AE74" s="93" t="str">
        <f>Table1[[#This Row],[Item Description]]&amp;Table1[[#This Row],[Unit]]&amp;Table1[[#This Row],[Unit Price]]</f>
        <v>ISI CUTTER 18 MM KENKO L-150 (BESAR)LSN64800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>
        <f>IF(Table1[[#This Row],[No. Invoice :]]="","",ROW())</f>
        <v>76</v>
      </c>
      <c r="B76" s="196">
        <f>IF(Table1[h_Kode Sales :_1]="","",B$1+COUNT(B$2:B75))</f>
        <v>23030024</v>
      </c>
      <c r="C76" s="98">
        <v>45005</v>
      </c>
      <c r="D76" s="92" t="s">
        <v>118</v>
      </c>
      <c r="E76" s="97" t="s">
        <v>287</v>
      </c>
      <c r="F76" s="92" t="s">
        <v>88</v>
      </c>
      <c r="G76" s="95" t="str">
        <f>IF(Table1[[#This Row],[h_No. Invoice :]]="","",CONCATENATE("AM"," ",Table1[[#This Row],[h_No. Invoice :]]))</f>
        <v>AM 23030024</v>
      </c>
      <c r="H76" s="96" t="str">
        <f>CONCATENATE(UPPER(Table1[[#This Row],[h_Kode Sales :_1]])," ",Table1[[#This Row],[h_Kode Sales :_2]])</f>
        <v>KO 1324</v>
      </c>
      <c r="I76" s="95" t="str">
        <f>IF(Table1[[#This Row],[h_toko]]="","",INDEX(Table2[e],IF(Table1[[#This Row],[h_toko]]="","",MATCH(Table1[[#This Row],[h_toko]],Table2[a],0)),))</f>
        <v>CV PELITA JAYA (ANUGERAH SEJAHTERA) PURWOKERTO</v>
      </c>
      <c r="J76" s="92">
        <v>96</v>
      </c>
      <c r="K76" s="92" t="s">
        <v>125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PUNCH KENKO NO. 30XL</v>
      </c>
      <c r="O76" s="92" t="s">
        <v>289</v>
      </c>
      <c r="P76" s="93">
        <v>15000</v>
      </c>
      <c r="Q76" s="94">
        <v>0.13500000000000001</v>
      </c>
      <c r="S76" s="199">
        <f>Table1[[#This Row],[h_hargasetelahdiskon]]</f>
        <v>1245600</v>
      </c>
      <c r="T76" s="93" t="s">
        <v>123</v>
      </c>
      <c r="V76" s="95">
        <f ca="1">IF(Table1[[#This Row],[Item Description]]="","",IF(Table1[[#This Row],[//]]="",INDIRECT(ADDRESS(ROW()-1,COLUMN())),Table1[[#This Row],[//]]))</f>
        <v>76</v>
      </c>
      <c r="W76" s="95">
        <f ca="1"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IF(Table1[[#This Row],[h_hargasebelumdiskon]]="","",IF(Table1[[#This Row],[Disc 1]]="",0,Table1[[#This Row],[h_hargasebelumdiskon]]*Table1[[#This Row],[Disc 1]]))</f>
        <v>194400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194400</v>
      </c>
      <c r="AB76" s="93">
        <f>IF(Table1[Item Description]="","",Table1[[#This Row],[h_hargasebelumdiskon]]-Table1[[#This Row],[h_diskon]])</f>
        <v>1245600</v>
      </c>
      <c r="AC76" s="93">
        <f ca="1">IF(Table1[//]="","",SUMIF(Table1[h_id],Table1[h_id],Table1[h_hargasetelahdiskon]))</f>
        <v>1245600</v>
      </c>
      <c r="AD76" s="93"/>
      <c r="AE76" s="93" t="str">
        <f>Table1[[#This Row],[Item Description]]&amp;Table1[[#This Row],[Unit]]&amp;Table1[[#This Row],[Unit Price]]</f>
        <v>PUNCH KENKO NO. 30XLPCS15000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>
        <f>IF(Table1[[#This Row],[No. Invoice :]]="","",ROW())</f>
        <v>79</v>
      </c>
      <c r="B79" s="196">
        <f>IF(Table1[h_Kode Sales :_1]="","",B$1+COUNT(B$2:B78))</f>
        <v>23030025</v>
      </c>
      <c r="C79" s="98">
        <v>45006</v>
      </c>
      <c r="D79" s="92" t="s">
        <v>130</v>
      </c>
      <c r="E79" s="97" t="s">
        <v>291</v>
      </c>
      <c r="F79" s="92" t="s">
        <v>97</v>
      </c>
      <c r="G79" s="95" t="str">
        <f>IF(Table1[[#This Row],[h_No. Invoice :]]="","",CONCATENATE("AM"," ",Table1[[#This Row],[h_No. Invoice :]]))</f>
        <v>AM 23030025</v>
      </c>
      <c r="H79" s="96" t="str">
        <f>CONCATENATE(UPPER(Table1[[#This Row],[h_Kode Sales :_1]])," ",Table1[[#This Row],[h_Kode Sales :_2]])</f>
        <v>G 1330</v>
      </c>
      <c r="I79" s="95" t="str">
        <f>IF(Table1[[#This Row],[h_toko]]="","",INDEX(Table2[e],IF(Table1[[#This Row],[h_toko]]="","",MATCH(Table1[[#This Row],[h_toko]],Table2[a],0)),))</f>
        <v>LILY JULIAWATI (REJO AGUNG) JOMBANG</v>
      </c>
      <c r="J79" s="92">
        <v>60</v>
      </c>
      <c r="K79" s="92" t="s">
        <v>120</v>
      </c>
      <c r="L79" s="92">
        <v>1</v>
      </c>
      <c r="M79" s="92" t="s">
        <v>132</v>
      </c>
      <c r="N79" s="196" t="str">
        <f>IF(Table1[[#This Row],[h_Item Description]]="","",INDEX([1]!db[NB PAJAK],MATCH(Table1[[#This Row],[h_Item Description]],[1]!db[kode],0)))</f>
        <v>ISI CUTTER 18 MM KENKO L-150 (BESAR)</v>
      </c>
      <c r="O79" s="92" t="s">
        <v>133</v>
      </c>
      <c r="P79" s="93">
        <v>64800</v>
      </c>
      <c r="Q79" s="94">
        <v>0.125</v>
      </c>
      <c r="S79" s="199">
        <f>Table1[[#This Row],[h_hargasetelahdiskon]]</f>
        <v>3402000</v>
      </c>
      <c r="T79" s="93" t="s">
        <v>123</v>
      </c>
      <c r="V79" s="95">
        <f ca="1">IF(Table1[[#This Row],[Item Description]]="","",IF(Table1[[#This Row],[//]]="",INDIRECT(ADDRESS(ROW()-1,COLUMN())),Table1[[#This Row],[//]]))</f>
        <v>79</v>
      </c>
      <c r="W79" s="95">
        <f ca="1">IF(Table1[[#This Row],[h_id]]="","",COUNTIF(Table1[h_id],Table1[[#This Row],[h_id]]))</f>
        <v>1</v>
      </c>
      <c r="X79" s="93">
        <f>IF(Table1[Item Description]="","",Table1[[#This Row],[Qty]]*Table1[[#This Row],[Unit Price]])</f>
        <v>3888000</v>
      </c>
      <c r="Y79" s="93">
        <f>IF(Table1[[#This Row],[h_hargasebelumdiskon]]="","",IF(Table1[[#This Row],[Disc 1]]="",0,Table1[[#This Row],[h_hargasebelumdiskon]]*Table1[[#This Row],[Disc 1]]))</f>
        <v>486000</v>
      </c>
      <c r="Z79" s="93">
        <f>IF(Table1[[#This Row],[h_hargasebelumdiskon]]="","",IF(Table1[[#This Row],[Disc 2]]="",0,(Table1[[#This Row],[h_hargasebelumdiskon]]-Table1[[#This Row],[h_disc 1]])*Table1[[#This Row],[Disc 2]]))</f>
        <v>0</v>
      </c>
      <c r="AA79" s="93">
        <f>IF(Table1[Item Description]="","",Table1[[#This Row],[h_disc 1]]+Table1[[#This Row],[h_disc 2]])</f>
        <v>486000</v>
      </c>
      <c r="AB79" s="93">
        <f>IF(Table1[Item Description]="","",Table1[[#This Row],[h_hargasebelumdiskon]]-Table1[[#This Row],[h_diskon]])</f>
        <v>3402000</v>
      </c>
      <c r="AC79" s="93">
        <f ca="1">IF(Table1[//]="","",SUMIF(Table1[h_id],Table1[h_id],Table1[h_hargasetelahdiskon]))</f>
        <v>3402000</v>
      </c>
      <c r="AD79" s="93"/>
      <c r="AE79" s="93" t="str">
        <f>Table1[[#This Row],[Item Description]]&amp;Table1[[#This Row],[Unit]]&amp;Table1[[#This Row],[Unit Price]]</f>
        <v>ISI CUTTER 18 MM KENKO L-150 (BESAR)LSN64800</v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>
        <f>IF(Table1[[#This Row],[No. Invoice :]]="","",ROW())</f>
        <v>81</v>
      </c>
      <c r="B81" s="196">
        <f>IF(Table1[h_Kode Sales :_1]="","",B$1+COUNT(B$2:B80))</f>
        <v>23030026</v>
      </c>
      <c r="C81" s="98">
        <v>45008</v>
      </c>
      <c r="D81" s="92" t="s">
        <v>118</v>
      </c>
      <c r="E81" s="97" t="s">
        <v>292</v>
      </c>
      <c r="F81" s="92" t="s">
        <v>83</v>
      </c>
      <c r="G81" s="95" t="str">
        <f>IF(Table1[[#This Row],[h_No. Invoice :]]="","",CONCATENATE("AM"," ",Table1[[#This Row],[h_No. Invoice :]]))</f>
        <v>AM 23030026</v>
      </c>
      <c r="H81" s="96" t="str">
        <f>CONCATENATE(UPPER(Table1[[#This Row],[h_Kode Sales :_1]])," ",Table1[[#This Row],[h_Kode Sales :_2]])</f>
        <v>KO 1332</v>
      </c>
      <c r="I81" s="95" t="str">
        <f>IF(Table1[[#This Row],[h_toko]]="","",INDEX(Table2[e],IF(Table1[[#This Row],[h_toko]]="","",MATCH(Table1[[#This Row],[h_toko]],Table2[a],0)),))</f>
        <v>CV GANESHA WONOSOBO</v>
      </c>
      <c r="J81" s="92">
        <v>5</v>
      </c>
      <c r="K81" s="92" t="s">
        <v>120</v>
      </c>
      <c r="M81" s="92" t="s">
        <v>293</v>
      </c>
      <c r="N81" s="196" t="str">
        <f>IF(Table1[[#This Row],[h_Item Description]]="","",INDEX([1]!db[NB PAJAK],MATCH(Table1[[#This Row],[h_Item Description]],[1]!db[kode],0)))</f>
        <v>CUTTER 18 MM JOYKO L-500 + ISI (BESAR)</v>
      </c>
      <c r="O81" s="92" t="s">
        <v>296</v>
      </c>
      <c r="P81" s="93">
        <v>162000</v>
      </c>
      <c r="Q81" s="94">
        <v>0.1</v>
      </c>
      <c r="S81" s="199">
        <f>Table1[[#This Row],[h_hargasetelahdiskon]]</f>
        <v>729000</v>
      </c>
      <c r="T81" s="93" t="s">
        <v>123</v>
      </c>
      <c r="V81" s="95">
        <f ca="1">IF(Table1[[#This Row],[Item Description]]="","",IF(Table1[[#This Row],[//]]="",INDIRECT(ADDRESS(ROW()-1,COLUMN())),Table1[[#This Row],[//]]))</f>
        <v>81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810000</v>
      </c>
      <c r="Y81" s="93">
        <f>IF(Table1[[#This Row],[h_hargasebelumdiskon]]="","",IF(Table1[[#This Row],[Disc 1]]="",0,Table1[[#This Row],[h_hargasebelumdiskon]]*Table1[[#This Row],[Disc 1]]))</f>
        <v>81000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81000</v>
      </c>
      <c r="AB81" s="93">
        <f>IF(Table1[Item Description]="","",Table1[[#This Row],[h_hargasebelumdiskon]]-Table1[[#This Row],[h_diskon]])</f>
        <v>729000</v>
      </c>
      <c r="AC81" s="93">
        <f ca="1">IF(Table1[//]="","",SUMIF(Table1[h_id],Table1[h_id],Table1[h_hargasetelahdiskon]))</f>
        <v>1748000</v>
      </c>
      <c r="AD81" s="93"/>
      <c r="AE81" s="93" t="str">
        <f>Table1[[#This Row],[Item Description]]&amp;Table1[[#This Row],[Unit]]&amp;Table1[[#This Row],[Unit Price]]</f>
        <v>CUTTER 18 MM JOYKO L-500 + ISI (BESAR)LSN162000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2</v>
      </c>
      <c r="K82" s="92" t="s">
        <v>127</v>
      </c>
      <c r="M82" s="92" t="s">
        <v>294</v>
      </c>
      <c r="N82" s="196" t="str">
        <f>IF(Table1[[#This Row],[h_Item Description]]="","",INDEX([1]!db[NB PAJAK],MATCH(Table1[[#This Row],[h_Item Description]],[1]!db[kode],0)))</f>
        <v>BINDER CLIP KENKO NO. 200</v>
      </c>
      <c r="O82" s="92" t="s">
        <v>297</v>
      </c>
      <c r="P82" s="93">
        <v>120000</v>
      </c>
      <c r="Q82" s="94">
        <v>0.1</v>
      </c>
      <c r="S82" s="199">
        <f>Table1[[#This Row],[h_hargasetelahdiskon]]</f>
        <v>216000</v>
      </c>
      <c r="V82" s="95">
        <f ca="1">IF(Table1[[#This Row],[Item Description]]="","",IF(Table1[[#This Row],[//]]="",INDIRECT(ADDRESS(ROW()-1,COLUMN())),Table1[[#This Row],[//]]))</f>
        <v>81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240000</v>
      </c>
      <c r="Y82" s="93">
        <f>IF(Table1[[#This Row],[h_hargasebelumdiskon]]="","",IF(Table1[[#This Row],[Disc 1]]="",0,Table1[[#This Row],[h_hargasebelumdiskon]]*Table1[[#This Row],[Disc 1]]))</f>
        <v>24000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24000</v>
      </c>
      <c r="AB82" s="93">
        <f>IF(Table1[Item Description]="","",Table1[[#This Row],[h_hargasebelumdiskon]]-Table1[[#This Row],[h_diskon]])</f>
        <v>216000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BINDER CLIP KENKO NO. 200GRS120000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18</v>
      </c>
      <c r="K83" s="92" t="s">
        <v>120</v>
      </c>
      <c r="M83" s="92" t="s">
        <v>268</v>
      </c>
      <c r="N83" s="196" t="str">
        <f>IF(Table1[[#This Row],[h_Item Description]]="","",INDEX([1]!db[NB PAJAK],MATCH(Table1[[#This Row],[h_Item Description]],[1]!db[kode],0)))</f>
        <v>BINDER CLIP KENKO NO. 260</v>
      </c>
      <c r="O83" s="92" t="s">
        <v>269</v>
      </c>
      <c r="P83" s="93">
        <f>180000/12</f>
        <v>15000</v>
      </c>
      <c r="Q83" s="94">
        <v>0.1</v>
      </c>
      <c r="S83" s="199">
        <f>Table1[[#This Row],[h_hargasetelahdiskon]]</f>
        <v>243000</v>
      </c>
      <c r="V83" s="95">
        <f ca="1">IF(Table1[[#This Row],[Item Description]]="","",IF(Table1[[#This Row],[//]]="",INDIRECT(ADDRESS(ROW()-1,COLUMN())),Table1[[#This Row],[//]]))</f>
        <v>81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270000</v>
      </c>
      <c r="Y83" s="93">
        <f>IF(Table1[[#This Row],[h_hargasebelumdiskon]]="","",IF(Table1[[#This Row],[Disc 1]]="",0,Table1[[#This Row],[h_hargasebelumdiskon]]*Table1[[#This Row],[Disc 1]]))</f>
        <v>27000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27000</v>
      </c>
      <c r="AB83" s="93">
        <f>IF(Table1[Item Description]="","",Table1[[#This Row],[h_hargasebelumdiskon]]-Table1[[#This Row],[h_diskon]])</f>
        <v>243000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BINDER CLIP KENKO NO. 260LSN15000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8</v>
      </c>
      <c r="K84" s="92" t="s">
        <v>120</v>
      </c>
      <c r="M84" s="92" t="s">
        <v>206</v>
      </c>
      <c r="N84" s="196" t="e">
        <f>IF(Table1[[#This Row],[h_Item Description]]="","",INDEX([1]!db[NB PAJAK],MATCH(Table1[[#This Row],[h_Item Description]],[1]!db[kode],0)))</f>
        <v>#N/A</v>
      </c>
      <c r="O84" s="92" t="s">
        <v>208</v>
      </c>
      <c r="P84" s="93">
        <v>35000</v>
      </c>
      <c r="Q84" s="94"/>
      <c r="S84" s="199">
        <f>Table1[[#This Row],[h_hargasetelahdiskon]]</f>
        <v>280000</v>
      </c>
      <c r="V84" s="95">
        <f ca="1">IF(Table1[[#This Row],[Item Description]]="","",IF(Table1[[#This Row],[//]]="",INDIRECT(ADDRESS(ROW()-1,COLUMN())),Table1[[#This Row],[//]]))</f>
        <v>81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280000</v>
      </c>
      <c r="Y84" s="93">
        <f>IF(Table1[[#This Row],[h_hargasebelumdiskon]]="","",IF(Table1[[#This Row],[Disc 1]]="",0,Table1[[#This Row],[h_hargasebelumdiskon]]*Table1[[#This Row],[Disc 1]]))</f>
        <v>0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0</v>
      </c>
      <c r="AB84" s="93">
        <f>IF(Table1[Item Description]="","",Table1[[#This Row],[h_hargasebelumdiskon]]-Table1[[#This Row],[h_diskon]])</f>
        <v>280000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GEL PEN TIZO 1.0 MM TG-340 HITAMLSN35000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8</v>
      </c>
      <c r="K85" s="92" t="s">
        <v>120</v>
      </c>
      <c r="M85" s="92" t="s">
        <v>295</v>
      </c>
      <c r="N85" s="196" t="str">
        <f>IF(Table1[[#This Row],[h_Item Description]]="","",INDEX([1]!db[NB PAJAK],MATCH(Table1[[#This Row],[h_Item Description]],[1]!db[kode],0)))</f>
        <v>GEL PEN TIZO 1.0 MM TG-340BI BIRU</v>
      </c>
      <c r="O85" s="92" t="s">
        <v>248</v>
      </c>
      <c r="P85" s="93">
        <v>35000</v>
      </c>
      <c r="Q85" s="94"/>
      <c r="S85" s="199">
        <f>Table1[[#This Row],[h_hargasetelahdiskon]]</f>
        <v>280000</v>
      </c>
      <c r="V85" s="95">
        <f ca="1">IF(Table1[[#This Row],[Item Description]]="","",IF(Table1[[#This Row],[//]]="",INDIRECT(ADDRESS(ROW()-1,COLUMN())),Table1[[#This Row],[//]]))</f>
        <v>81</v>
      </c>
      <c r="W85" s="95">
        <f ca="1">IF(Table1[[#This Row],[h_id]]="","",COUNTIF(Table1[h_id],Table1[[#This Row],[h_id]]))</f>
        <v>5</v>
      </c>
      <c r="X85" s="93">
        <f>IF(Table1[Item Description]="","",Table1[[#This Row],[Qty]]*Table1[[#This Row],[Unit Price]])</f>
        <v>280000</v>
      </c>
      <c r="Y85" s="93">
        <f>IF(Table1[[#This Row],[h_hargasebelumdiskon]]="","",IF(Table1[[#This Row],[Disc 1]]="",0,Table1[[#This Row],[h_hargasebelumdiskon]]*Table1[[#This Row],[Disc 1]]))</f>
        <v>0</v>
      </c>
      <c r="Z85" s="93">
        <f>IF(Table1[[#This Row],[h_hargasebelumdiskon]]="","",IF(Table1[[#This Row],[Disc 2]]="",0,(Table1[[#This Row],[h_hargasebelumdiskon]]-Table1[[#This Row],[h_disc 1]])*Table1[[#This Row],[Disc 2]]))</f>
        <v>0</v>
      </c>
      <c r="AA85" s="93">
        <f>IF(Table1[Item Description]="","",Table1[[#This Row],[h_disc 1]]+Table1[[#This Row],[h_disc 2]])</f>
        <v>0</v>
      </c>
      <c r="AB85" s="93">
        <f>IF(Table1[Item Description]="","",Table1[[#This Row],[h_hargasebelumdiskon]]-Table1[[#This Row],[h_diskon]])</f>
        <v>280000</v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>GEL PEN TIZO 1.0 MM TG-340BI BIRULSN35000</v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>
        <f>IF(Table1[[#This Row],[No. Invoice :]]="","",ROW())</f>
        <v>87</v>
      </c>
      <c r="B87" s="196">
        <f>IF(Table1[h_Kode Sales :_1]="","",B$1+COUNT(B$2:B86))</f>
        <v>23030027</v>
      </c>
      <c r="C87" s="98">
        <v>45008</v>
      </c>
      <c r="D87" s="92" t="s">
        <v>130</v>
      </c>
      <c r="E87" s="97" t="s">
        <v>303</v>
      </c>
      <c r="F87" s="92" t="s">
        <v>63</v>
      </c>
      <c r="G87" s="95" t="str">
        <f>IF(Table1[[#This Row],[h_No. Invoice :]]="","",CONCATENATE("AM"," ",Table1[[#This Row],[h_No. Invoice :]]))</f>
        <v>AM 23030027</v>
      </c>
      <c r="H87" s="96" t="str">
        <f>CONCATENATE(UPPER(Table1[[#This Row],[h_Kode Sales :_1]])," ",Table1[[#This Row],[h_Kode Sales :_2]])</f>
        <v>G 1333</v>
      </c>
      <c r="I87" s="95" t="str">
        <f>IF(Table1[[#This Row],[h_toko]]="","",INDEX(Table2[e],IF(Table1[[#This Row],[h_toko]]="","",MATCH(Table1[[#This Row],[h_toko]],Table2[a],0)),))</f>
        <v>SINAR BHAKTI YOGYAKARTA</v>
      </c>
      <c r="J87" s="92">
        <v>36</v>
      </c>
      <c r="K87" s="92" t="s">
        <v>120</v>
      </c>
      <c r="M87" s="92" t="s">
        <v>304</v>
      </c>
      <c r="N87" s="196" t="str">
        <f>IF(Table1[[#This Row],[h_Item Description]]="","",INDEX([1]!db[NB PAJAK],MATCH(Table1[[#This Row],[h_Item Description]],[1]!db[kode],0)))</f>
        <v>BALLPEN KENKO NK-7 / 7B HITAM</v>
      </c>
      <c r="O87" s="92" t="s">
        <v>305</v>
      </c>
      <c r="P87" s="93">
        <v>12000</v>
      </c>
      <c r="Q87" s="94">
        <v>0.1</v>
      </c>
      <c r="S87" s="199">
        <f>Table1[[#This Row],[h_hargasetelahdiskon]]</f>
        <v>388800</v>
      </c>
      <c r="T87" s="93" t="s">
        <v>123</v>
      </c>
      <c r="V87" s="95">
        <f ca="1">IF(Table1[[#This Row],[Item Description]]="","",IF(Table1[[#This Row],[//]]="",INDIRECT(ADDRESS(ROW()-1,COLUMN())),Table1[[#This Row],[//]]))</f>
        <v>87</v>
      </c>
      <c r="W87" s="95">
        <f ca="1">IF(Table1[[#This Row],[h_id]]="","",COUNTIF(Table1[h_id],Table1[[#This Row],[h_id]]))</f>
        <v>1</v>
      </c>
      <c r="X87" s="93">
        <f>IF(Table1[Item Description]="","",Table1[[#This Row],[Qty]]*Table1[[#This Row],[Unit Price]])</f>
        <v>432000</v>
      </c>
      <c r="Y87" s="93">
        <f>IF(Table1[[#This Row],[h_hargasebelumdiskon]]="","",IF(Table1[[#This Row],[Disc 1]]="",0,Table1[[#This Row],[h_hargasebelumdiskon]]*Table1[[#This Row],[Disc 1]]))</f>
        <v>43200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43200</v>
      </c>
      <c r="AB87" s="93">
        <f>IF(Table1[Item Description]="","",Table1[[#This Row],[h_hargasebelumdiskon]]-Table1[[#This Row],[h_diskon]])</f>
        <v>388800</v>
      </c>
      <c r="AC87" s="93">
        <f ca="1">IF(Table1[//]="","",SUMIF(Table1[h_id],Table1[h_id],Table1[h_hargasetelahdiskon]))</f>
        <v>388800</v>
      </c>
      <c r="AD87" s="93"/>
      <c r="AE87" s="93" t="str">
        <f>Table1[[#This Row],[Item Description]]&amp;Table1[[#This Row],[Unit]]&amp;Table1[[#This Row],[Unit Price]]</f>
        <v>BALLPEN KENKO NK-7 / 7B HITAMLSN12000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>
        <f>IF(Table1[[#This Row],[No. Invoice :]]="","",ROW())</f>
        <v>89</v>
      </c>
      <c r="B89" s="196">
        <f>IF(Table1[h_Kode Sales :_1]="","",B$1+COUNT(B$2:B88))</f>
        <v>23030028</v>
      </c>
      <c r="C89" s="98">
        <v>45008</v>
      </c>
      <c r="D89" s="92" t="s">
        <v>130</v>
      </c>
      <c r="E89" s="97" t="s">
        <v>307</v>
      </c>
      <c r="F89" s="92" t="s">
        <v>97</v>
      </c>
      <c r="G89" s="95" t="str">
        <f>IF(Table1[[#This Row],[h_No. Invoice :]]="","",CONCATENATE("AM"," ",Table1[[#This Row],[h_No. Invoice :]]))</f>
        <v>AM 23030028</v>
      </c>
      <c r="H89" s="96" t="str">
        <f>CONCATENATE(UPPER(Table1[[#This Row],[h_Kode Sales :_1]])," ",Table1[[#This Row],[h_Kode Sales :_2]])</f>
        <v>G 1338</v>
      </c>
      <c r="I89" s="95" t="str">
        <f>IF(Table1[[#This Row],[h_toko]]="","",INDEX(Table2[e],IF(Table1[[#This Row],[h_toko]]="","",MATCH(Table1[[#This Row],[h_toko]],Table2[a],0)),))</f>
        <v>LILY JULIAWATI (REJO AGUNG) JOMBANG</v>
      </c>
      <c r="J89" s="92">
        <v>320</v>
      </c>
      <c r="K89" s="92" t="s">
        <v>146</v>
      </c>
      <c r="L89" s="92">
        <v>5</v>
      </c>
      <c r="M89" s="92" t="s">
        <v>314</v>
      </c>
      <c r="N89" s="196" t="str">
        <f>IF(Table1[[#This Row],[h_Item Description]]="","",INDEX([1]!db[NB PAJAK],MATCH(Table1[[#This Row],[h_Item Description]],[1]!db[kode],0)))</f>
        <v>LEM STICK JOYKO 8 GR GS-09 isi 12 pc</v>
      </c>
      <c r="O89" s="92" t="s">
        <v>318</v>
      </c>
      <c r="P89" s="93">
        <v>25200</v>
      </c>
      <c r="Q89" s="94">
        <v>0.125</v>
      </c>
      <c r="S89" s="199">
        <f>Table1[[#This Row],[h_hargasetelahdiskon]]</f>
        <v>7056000</v>
      </c>
      <c r="T89" s="93" t="s">
        <v>123</v>
      </c>
      <c r="V89" s="95">
        <f ca="1">IF(Table1[[#This Row],[Item Description]]="","",IF(Table1[[#This Row],[//]]="",INDIRECT(ADDRESS(ROW()-1,COLUMN())),Table1[[#This Row],[//]]))</f>
        <v>89</v>
      </c>
      <c r="W89" s="95">
        <f ca="1">IF(Table1[[#This Row],[h_id]]="","",COUNTIF(Table1[h_id],Table1[[#This Row],[h_id]]))</f>
        <v>10</v>
      </c>
      <c r="X89" s="93">
        <f>IF(Table1[Item Description]="","",Table1[[#This Row],[Qty]]*Table1[[#This Row],[Unit Price]])</f>
        <v>8064000</v>
      </c>
      <c r="Y89" s="93">
        <f>IF(Table1[[#This Row],[h_hargasebelumdiskon]]="","",IF(Table1[[#This Row],[Disc 1]]="",0,Table1[[#This Row],[h_hargasebelumdiskon]]*Table1[[#This Row],[Disc 1]]))</f>
        <v>1008000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1008000</v>
      </c>
      <c r="AB89" s="93">
        <f>IF(Table1[Item Description]="","",Table1[[#This Row],[h_hargasebelumdiskon]]-Table1[[#This Row],[h_diskon]])</f>
        <v>7056000</v>
      </c>
      <c r="AC89" s="93">
        <f ca="1">IF(Table1[//]="","",SUMIF(Table1[h_id],Table1[h_id],Table1[h_hargasetelahdiskon]))</f>
        <v>64381975</v>
      </c>
      <c r="AD89" s="93"/>
      <c r="AE89" s="93" t="str">
        <f>Table1[[#This Row],[Item Description]]&amp;Table1[[#This Row],[Unit]]&amp;Table1[[#This Row],[Unit Price]]</f>
        <v>LEM STICK JOYKO 8 GR GS-09 isi 12 pcBOX25200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146</v>
      </c>
      <c r="L90" s="92">
        <v>10</v>
      </c>
      <c r="M90" s="92" t="s">
        <v>308</v>
      </c>
      <c r="N90" s="196" t="str">
        <f>IF(Table1[[#This Row],[h_Item Description]]="","",INDEX([1]!db[NB PAJAK],MATCH(Table1[[#This Row],[h_Item Description]],[1]!db[kode],0)))</f>
        <v>LEM STICK JOYKO 15 GR GS-104 TG (ANIMAL KINGDOM) isi 24 pc</v>
      </c>
      <c r="O90" s="92" t="s">
        <v>319</v>
      </c>
      <c r="P90" s="93">
        <v>58800</v>
      </c>
      <c r="Q90" s="94">
        <v>0.125</v>
      </c>
      <c r="S90" s="199">
        <f>Table1[[#This Row],[h_hargasetelahdiskon]]</f>
        <v>18522000</v>
      </c>
      <c r="V90" s="95">
        <f ca="1">IF(Table1[[#This Row],[Item Description]]="","",IF(Table1[[#This Row],[//]]="",INDIRECT(ADDRESS(ROW()-1,COLUMN())),Table1[[#This Row],[//]]))</f>
        <v>89</v>
      </c>
      <c r="W90" s="95">
        <f ca="1">IF(Table1[[#This Row],[h_id]]="","",COUNTIF(Table1[h_id],Table1[[#This Row],[h_id]]))</f>
        <v>10</v>
      </c>
      <c r="X90" s="93">
        <f>IF(Table1[Item Description]="","",Table1[[#This Row],[Qty]]*Table1[[#This Row],[Unit Price]])</f>
        <v>21168000</v>
      </c>
      <c r="Y90" s="93">
        <f>IF(Table1[[#This Row],[h_hargasebelumdiskon]]="","",IF(Table1[[#This Row],[Disc 1]]="",0,Table1[[#This Row],[h_hargasebelumdiskon]]*Table1[[#This Row],[Disc 1]]))</f>
        <v>2646000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2646000</v>
      </c>
      <c r="AB90" s="93">
        <f>IF(Table1[Item Description]="","",Table1[[#This Row],[h_hargasebelumdiskon]]-Table1[[#This Row],[h_diskon]])</f>
        <v>18522000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LEM STICK JOYKO 15 GR GS-104 TG (ANIMAL KINGDOM) isi 24 pcBOX58800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250</v>
      </c>
      <c r="K91" s="92" t="s">
        <v>146</v>
      </c>
      <c r="L91" s="92">
        <v>5</v>
      </c>
      <c r="M91" s="92" t="s">
        <v>309</v>
      </c>
      <c r="N91" s="196" t="str">
        <f>IF(Table1[[#This Row],[h_Item Description]]="","",INDEX([1]!db[NB PAJAK],MATCH(Table1[[#This Row],[h_Item Description]],[1]!db[kode],0)))</f>
        <v>STIP / PENGHAPUS JOYKO ER-B20BL HITAM</v>
      </c>
      <c r="O91" s="92" t="s">
        <v>320</v>
      </c>
      <c r="P91" s="93">
        <v>34100</v>
      </c>
      <c r="Q91" s="94">
        <v>0.125</v>
      </c>
      <c r="S91" s="199">
        <f>Table1[[#This Row],[h_hargasetelahdiskon]]</f>
        <v>7459375</v>
      </c>
      <c r="V91" s="95">
        <f ca="1">IF(Table1[[#This Row],[Item Description]]="","",IF(Table1[[#This Row],[//]]="",INDIRECT(ADDRESS(ROW()-1,COLUMN())),Table1[[#This Row],[//]]))</f>
        <v>89</v>
      </c>
      <c r="W91" s="95">
        <f ca="1">IF(Table1[[#This Row],[h_id]]="","",COUNTIF(Table1[h_id],Table1[[#This Row],[h_id]]))</f>
        <v>10</v>
      </c>
      <c r="X91" s="93">
        <f>IF(Table1[Item Description]="","",Table1[[#This Row],[Qty]]*Table1[[#This Row],[Unit Price]])</f>
        <v>8525000</v>
      </c>
      <c r="Y91" s="93">
        <f>IF(Table1[[#This Row],[h_hargasebelumdiskon]]="","",IF(Table1[[#This Row],[Disc 1]]="",0,Table1[[#This Row],[h_hargasebelumdiskon]]*Table1[[#This Row],[Disc 1]]))</f>
        <v>1065625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1065625</v>
      </c>
      <c r="AB91" s="93">
        <f>IF(Table1[Item Description]="","",Table1[[#This Row],[h_hargasebelumdiskon]]-Table1[[#This Row],[h_diskon]])</f>
        <v>7459375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STIP / PENGHAPUS JOYKO ER-B20BL HITAMBOX34100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100</v>
      </c>
      <c r="K92" s="92" t="s">
        <v>120</v>
      </c>
      <c r="L92" s="92">
        <v>5</v>
      </c>
      <c r="M92" s="92" t="s">
        <v>332</v>
      </c>
      <c r="N92" s="196" t="str">
        <f>IF(Table1[[#This Row],[h_Item Description]]="","",INDEX([1]!db[NB PAJAK],MATCH(Table1[[#This Row],[h_Item Description]],[1]!db[kode],0)))</f>
        <v>STAPLER JOYKO HD-10</v>
      </c>
      <c r="O92" s="92" t="s">
        <v>333</v>
      </c>
      <c r="P92" s="93">
        <v>85200</v>
      </c>
      <c r="Q92" s="94">
        <v>0.125</v>
      </c>
      <c r="S92" s="199">
        <f>Table1[[#This Row],[h_hargasetelahdiskon]]</f>
        <v>7455000</v>
      </c>
      <c r="V92" s="95">
        <f ca="1">IF(Table1[[#This Row],[Item Description]]="","",IF(Table1[[#This Row],[//]]="",INDIRECT(ADDRESS(ROW()-1,COLUMN())),Table1[[#This Row],[//]]))</f>
        <v>89</v>
      </c>
      <c r="W92" s="95">
        <f ca="1">IF(Table1[[#This Row],[h_id]]="","",COUNTIF(Table1[h_id],Table1[[#This Row],[h_id]]))</f>
        <v>10</v>
      </c>
      <c r="X92" s="93">
        <f>IF(Table1[Item Description]="","",Table1[[#This Row],[Qty]]*Table1[[#This Row],[Unit Price]])</f>
        <v>8520000</v>
      </c>
      <c r="Y92" s="93">
        <f>IF(Table1[[#This Row],[h_hargasebelumdiskon]]="","",IF(Table1[[#This Row],[Disc 1]]="",0,Table1[[#This Row],[h_hargasebelumdiskon]]*Table1[[#This Row],[Disc 1]]))</f>
        <v>1065000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1065000</v>
      </c>
      <c r="AB92" s="93">
        <f>IF(Table1[Item Description]="","",Table1[[#This Row],[h_hargasebelumdiskon]]-Table1[[#This Row],[h_diskon]])</f>
        <v>7455000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STAPLER JOYKO HD-10LSN85200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288</v>
      </c>
      <c r="K93" s="92" t="s">
        <v>165</v>
      </c>
      <c r="L93" s="92">
        <v>1</v>
      </c>
      <c r="M93" s="92" t="s">
        <v>315</v>
      </c>
      <c r="N93" s="196" t="str">
        <f>IF(Table1[[#This Row],[h_Item Description]]="","",INDEX([1]!db[NB PAJAK],MATCH(Table1[[#This Row],[h_Item Description]],[1]!db[kode],0)))</f>
        <v>JANGKA (MATH SET) JOYKO MS-402</v>
      </c>
      <c r="O93" s="92" t="s">
        <v>321</v>
      </c>
      <c r="P93" s="93">
        <v>12000</v>
      </c>
      <c r="Q93" s="94">
        <v>0.125</v>
      </c>
      <c r="S93" s="199">
        <f>Table1[[#This Row],[h_hargasetelahdiskon]]</f>
        <v>3024000</v>
      </c>
      <c r="V93" s="95">
        <f ca="1">IF(Table1[[#This Row],[Item Description]]="","",IF(Table1[[#This Row],[//]]="",INDIRECT(ADDRESS(ROW()-1,COLUMN())),Table1[[#This Row],[//]]))</f>
        <v>89</v>
      </c>
      <c r="W93" s="95">
        <f ca="1">IF(Table1[[#This Row],[h_id]]="","",COUNTIF(Table1[h_id],Table1[[#This Row],[h_id]]))</f>
        <v>10</v>
      </c>
      <c r="X93" s="93">
        <f>IF(Table1[Item Description]="","",Table1[[#This Row],[Qty]]*Table1[[#This Row],[Unit Price]])</f>
        <v>3456000</v>
      </c>
      <c r="Y93" s="93">
        <f>IF(Table1[[#This Row],[h_hargasebelumdiskon]]="","",IF(Table1[[#This Row],[Disc 1]]="",0,Table1[[#This Row],[h_hargasebelumdiskon]]*Table1[[#This Row],[Disc 1]]))</f>
        <v>432000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432000</v>
      </c>
      <c r="AB93" s="93">
        <f>IF(Table1[Item Description]="","",Table1[[#This Row],[h_hargasebelumdiskon]]-Table1[[#This Row],[h_diskon]])</f>
        <v>3024000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JANGKA (MATH SET) JOYKO MS-402SET12000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360</v>
      </c>
      <c r="K94" s="92" t="s">
        <v>125</v>
      </c>
      <c r="L94" s="92">
        <v>5</v>
      </c>
      <c r="M94" s="92" t="s">
        <v>310</v>
      </c>
      <c r="N94" s="196" t="e">
        <f>IF(Table1[[#This Row],[h_Item Description]]="","",INDEX([1]!db[NB PAJAK],MATCH(Table1[[#This Row],[h_Item Description]],[1]!db[kode],0)))</f>
        <v>#N/A</v>
      </c>
      <c r="O94" s="92" t="s">
        <v>117</v>
      </c>
      <c r="P94" s="93">
        <v>15800</v>
      </c>
      <c r="Q94" s="94">
        <v>0.125</v>
      </c>
      <c r="S94" s="199">
        <f>Table1[[#This Row],[h_hargasetelahdiskon]]</f>
        <v>4977000</v>
      </c>
      <c r="V94" s="95">
        <f ca="1">IF(Table1[[#This Row],[Item Description]]="","",IF(Table1[[#This Row],[//]]="",INDIRECT(ADDRESS(ROW()-1,COLUMN())),Table1[[#This Row],[//]]))</f>
        <v>89</v>
      </c>
      <c r="W94" s="95">
        <f ca="1">IF(Table1[[#This Row],[h_id]]="","",COUNTIF(Table1[h_id],Table1[[#This Row],[h_id]]))</f>
        <v>10</v>
      </c>
      <c r="X94" s="93">
        <f>IF(Table1[Item Description]="","",Table1[[#This Row],[Qty]]*Table1[[#This Row],[Unit Price]])</f>
        <v>5688000</v>
      </c>
      <c r="Y94" s="93">
        <f>IF(Table1[[#This Row],[h_hargasebelumdiskon]]="","",IF(Table1[[#This Row],[Disc 1]]="",0,Table1[[#This Row],[h_hargasebelumdiskon]]*Table1[[#This Row],[Disc 1]]))</f>
        <v>711000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711000</v>
      </c>
      <c r="AB94" s="93">
        <f>IF(Table1[Item Description]="","",Table1[[#This Row],[h_hargasebelumdiskon]]-Table1[[#This Row],[h_diskon]])</f>
        <v>4977000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BINDER NOTE JOYKO A5 (CAMPUS/CLASSIC)PCS15800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72</v>
      </c>
      <c r="K95" s="92" t="s">
        <v>120</v>
      </c>
      <c r="L95" s="92">
        <v>3</v>
      </c>
      <c r="M95" s="92" t="s">
        <v>316</v>
      </c>
      <c r="N95" s="196" t="e">
        <f>IF(Table1[[#This Row],[h_Item Description]]="","",INDEX([1]!db[NB PAJAK],MATCH(Table1[[#This Row],[h_Item Description]],[1]!db[kode],0)))</f>
        <v>#N/A</v>
      </c>
      <c r="O95" s="92" t="s">
        <v>317</v>
      </c>
      <c r="P95" s="93">
        <v>57600</v>
      </c>
      <c r="Q95" s="94">
        <v>0.125</v>
      </c>
      <c r="S95" s="199">
        <f>Table1[[#This Row],[h_hargasetelahdiskon]]</f>
        <v>3628800</v>
      </c>
      <c r="V95" s="95">
        <f ca="1">IF(Table1[[#This Row],[Item Description]]="","",IF(Table1[[#This Row],[//]]="",INDIRECT(ADDRESS(ROW()-1,COLUMN())),Table1[[#This Row],[//]]))</f>
        <v>89</v>
      </c>
      <c r="W95" s="95">
        <f ca="1">IF(Table1[[#This Row],[h_id]]="","",COUNTIF(Table1[h_id],Table1[[#This Row],[h_id]]))</f>
        <v>10</v>
      </c>
      <c r="X95" s="93">
        <f>IF(Table1[Item Description]="","",Table1[[#This Row],[Qty]]*Table1[[#This Row],[Unit Price]])</f>
        <v>4147200</v>
      </c>
      <c r="Y95" s="93">
        <f>IF(Table1[[#This Row],[h_hargasebelumdiskon]]="","",IF(Table1[[#This Row],[Disc 1]]="",0,Table1[[#This Row],[h_hargasebelumdiskon]]*Table1[[#This Row],[Disc 1]]))</f>
        <v>518400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518400</v>
      </c>
      <c r="AB95" s="93">
        <f>IF(Table1[Item Description]="","",Table1[[#This Row],[h_hargasebelumdiskon]]-Table1[[#This Row],[h_diskon]])</f>
        <v>3628800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PENCIL CASE KENKO PC-0719 POLOSLSN57600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72</v>
      </c>
      <c r="K96" s="92" t="s">
        <v>120</v>
      </c>
      <c r="L96" s="92">
        <v>3</v>
      </c>
      <c r="M96" s="92" t="s">
        <v>311</v>
      </c>
      <c r="N96" s="196" t="e">
        <f>IF(Table1[[#This Row],[h_Item Description]]="","",INDEX([1]!db[NB PAJAK],MATCH(Table1[[#This Row],[h_Item Description]],[1]!db[kode],0)))</f>
        <v>#N/A</v>
      </c>
      <c r="O96" s="92" t="s">
        <v>334</v>
      </c>
      <c r="P96" s="93">
        <v>57600</v>
      </c>
      <c r="Q96" s="94">
        <v>0.125</v>
      </c>
      <c r="S96" s="199">
        <f>Table1[[#This Row],[h_hargasetelahdiskon]]</f>
        <v>3628800</v>
      </c>
      <c r="V96" s="95">
        <f ca="1">IF(Table1[[#This Row],[Item Description]]="","",IF(Table1[[#This Row],[//]]="",INDIRECT(ADDRESS(ROW()-1,COLUMN())),Table1[[#This Row],[//]]))</f>
        <v>89</v>
      </c>
      <c r="W96" s="95">
        <f ca="1">IF(Table1[[#This Row],[h_id]]="","",COUNTIF(Table1[h_id],Table1[[#This Row],[h_id]]))</f>
        <v>10</v>
      </c>
      <c r="X96" s="93">
        <f>IF(Table1[Item Description]="","",Table1[[#This Row],[Qty]]*Table1[[#This Row],[Unit Price]])</f>
        <v>4147200</v>
      </c>
      <c r="Y96" s="93">
        <f>IF(Table1[[#This Row],[h_hargasebelumdiskon]]="","",IF(Table1[[#This Row],[Disc 1]]="",0,Table1[[#This Row],[h_hargasebelumdiskon]]*Table1[[#This Row],[Disc 1]]))</f>
        <v>518400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518400</v>
      </c>
      <c r="AB96" s="93">
        <f>IF(Table1[Item Description]="","",Table1[[#This Row],[h_hargasebelumdiskon]]-Table1[[#This Row],[h_diskon]])</f>
        <v>3628800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PENCIL CASE KENKO PC-0719 FANCYLSN57600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120</v>
      </c>
      <c r="K97" s="92" t="s">
        <v>125</v>
      </c>
      <c r="L97" s="92">
        <v>1</v>
      </c>
      <c r="M97" s="92" t="s">
        <v>312</v>
      </c>
      <c r="N97" s="196" t="str">
        <f>IF(Table1[[#This Row],[h_Item Description]]="","",INDEX([1]!db[NB PAJAK],MATCH(Table1[[#This Row],[h_Item Description]],[1]!db[kode],0)))</f>
        <v>CALCULATOR JOYKO CC-8A</v>
      </c>
      <c r="O97" s="92" t="s">
        <v>322</v>
      </c>
      <c r="P97" s="93">
        <v>47000</v>
      </c>
      <c r="Q97" s="94">
        <v>0.125</v>
      </c>
      <c r="S97" s="199">
        <f>Table1[[#This Row],[h_hargasetelahdiskon]]</f>
        <v>4935000</v>
      </c>
      <c r="V97" s="95">
        <f ca="1">IF(Table1[[#This Row],[Item Description]]="","",IF(Table1[[#This Row],[//]]="",INDIRECT(ADDRESS(ROW()-1,COLUMN())),Table1[[#This Row],[//]]))</f>
        <v>89</v>
      </c>
      <c r="W97" s="95">
        <f ca="1">IF(Table1[[#This Row],[h_id]]="","",COUNTIF(Table1[h_id],Table1[[#This Row],[h_id]]))</f>
        <v>10</v>
      </c>
      <c r="X97" s="93">
        <f>IF(Table1[Item Description]="","",Table1[[#This Row],[Qty]]*Table1[[#This Row],[Unit Price]])</f>
        <v>5640000</v>
      </c>
      <c r="Y97" s="93">
        <f>IF(Table1[[#This Row],[h_hargasebelumdiskon]]="","",IF(Table1[[#This Row],[Disc 1]]="",0,Table1[[#This Row],[h_hargasebelumdiskon]]*Table1[[#This Row],[Disc 1]]))</f>
        <v>705000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705000</v>
      </c>
      <c r="AB97" s="93">
        <f>IF(Table1[Item Description]="","",Table1[[#This Row],[h_hargasebelumdiskon]]-Table1[[#This Row],[h_diskon]])</f>
        <v>4935000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CALCULATOR JOYKO CC-8APCS47000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480</v>
      </c>
      <c r="K98" s="92" t="s">
        <v>165</v>
      </c>
      <c r="L98" s="92">
        <v>2</v>
      </c>
      <c r="M98" s="92" t="s">
        <v>313</v>
      </c>
      <c r="N98" s="196" t="str">
        <f>IF(Table1[[#This Row],[h_Item Description]]="","",INDEX([1]!db[NB PAJAK],MATCH(Table1[[#This Row],[h_Item Description]],[1]!db[kode],0)))</f>
        <v>KUAS SET JOYKO BR-1</v>
      </c>
      <c r="O98" s="92" t="s">
        <v>323</v>
      </c>
      <c r="P98" s="93">
        <v>8800</v>
      </c>
      <c r="Q98" s="94">
        <v>0.125</v>
      </c>
      <c r="S98" s="199">
        <f>Table1[[#This Row],[h_hargasetelahdiskon]]</f>
        <v>3696000</v>
      </c>
      <c r="V98" s="95">
        <f ca="1">IF(Table1[[#This Row],[Item Description]]="","",IF(Table1[[#This Row],[//]]="",INDIRECT(ADDRESS(ROW()-1,COLUMN())),Table1[[#This Row],[//]]))</f>
        <v>89</v>
      </c>
      <c r="W98" s="95">
        <f ca="1">IF(Table1[[#This Row],[h_id]]="","",COUNTIF(Table1[h_id],Table1[[#This Row],[h_id]]))</f>
        <v>10</v>
      </c>
      <c r="X98" s="93">
        <f>IF(Table1[Item Description]="","",Table1[[#This Row],[Qty]]*Table1[[#This Row],[Unit Price]])</f>
        <v>4224000</v>
      </c>
      <c r="Y98" s="93">
        <f>IF(Table1[[#This Row],[h_hargasebelumdiskon]]="","",IF(Table1[[#This Row],[Disc 1]]="",0,Table1[[#This Row],[h_hargasebelumdiskon]]*Table1[[#This Row],[Disc 1]]))</f>
        <v>528000</v>
      </c>
      <c r="Z98" s="93">
        <f>IF(Table1[[#This Row],[h_hargasebelumdiskon]]="","",IF(Table1[[#This Row],[Disc 2]]="",0,(Table1[[#This Row],[h_hargasebelumdiskon]]-Table1[[#This Row],[h_disc 1]])*Table1[[#This Row],[Disc 2]]))</f>
        <v>0</v>
      </c>
      <c r="AA98" s="93">
        <f>IF(Table1[Item Description]="","",Table1[[#This Row],[h_disc 1]]+Table1[[#This Row],[h_disc 2]])</f>
        <v>528000</v>
      </c>
      <c r="AB98" s="93">
        <f>IF(Table1[Item Description]="","",Table1[[#This Row],[h_hargasebelumdiskon]]-Table1[[#This Row],[h_diskon]])</f>
        <v>3696000</v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>KUAS SET JOYKO BR-1SET8800</v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>
        <f>IF(Table1[[#This Row],[No. Invoice :]]="","",ROW())</f>
        <v>100</v>
      </c>
      <c r="B100" s="196">
        <f>IF(Table1[h_Kode Sales :_1]="","",B$1+COUNT(B$2:B99))</f>
        <v>23030029</v>
      </c>
      <c r="C100" s="98">
        <v>45009</v>
      </c>
      <c r="D100" s="92" t="s">
        <v>118</v>
      </c>
      <c r="E100" s="97" t="s">
        <v>342</v>
      </c>
      <c r="F100" s="92" t="s">
        <v>41</v>
      </c>
      <c r="G100" s="95" t="str">
        <f>IF(Table1[[#This Row],[h_No. Invoice :]]="","",CONCATENATE("AM"," ",Table1[[#This Row],[h_No. Invoice :]]))</f>
        <v>AM 23030029</v>
      </c>
      <c r="H100" s="96" t="str">
        <f>CONCATENATE(UPPER(Table1[[#This Row],[h_Kode Sales :_1]])," ",Table1[[#This Row],[h_Kode Sales :_2]])</f>
        <v>KO 1339</v>
      </c>
      <c r="I100" s="95" t="str">
        <f>IF(Table1[[#This Row],[h_toko]]="","",INDEX(Table2[e],IF(Table1[[#This Row],[h_toko]]="","",MATCH(Table1[[#This Row],[h_toko]],Table2[a],0)),))</f>
        <v>CV DWI JAYA YOGYAKARTA</v>
      </c>
      <c r="J100" s="92">
        <v>100</v>
      </c>
      <c r="K100" s="92" t="s">
        <v>161</v>
      </c>
      <c r="L100" s="92">
        <v>1</v>
      </c>
      <c r="M100" s="92" t="s">
        <v>343</v>
      </c>
      <c r="N100" s="196" t="str">
        <f>IF(Table1[[#This Row],[h_Item Description]]="","",INDEX([1]!db[NB PAJAK],MATCH(Table1[[#This Row],[h_Item Description]],[1]!db[kode],0)))</f>
        <v>PAPER FASTENER (ACCO) KENKO PF-508 ISI 50 PC WARNA</v>
      </c>
      <c r="O100" s="92" t="s">
        <v>346</v>
      </c>
      <c r="P100" s="93">
        <v>9800</v>
      </c>
      <c r="Q100" s="94">
        <v>0.1</v>
      </c>
      <c r="S100" s="199">
        <f>Table1[[#This Row],[h_hargasetelahdiskon]]</f>
        <v>882000</v>
      </c>
      <c r="T100" s="93" t="s">
        <v>123</v>
      </c>
      <c r="V100" s="95">
        <f ca="1">IF(Table1[[#This Row],[Item Description]]="","",IF(Table1[[#This Row],[//]]="",INDIRECT(ADDRESS(ROW()-1,COLUMN())),Table1[[#This Row],[//]]))</f>
        <v>100</v>
      </c>
      <c r="W100" s="95">
        <f ca="1">IF(Table1[[#This Row],[h_id]]="","",COUNTIF(Table1[h_id],Table1[[#This Row],[h_id]]))</f>
        <v>3</v>
      </c>
      <c r="X100" s="93">
        <f>IF(Table1[Item Description]="","",Table1[[#This Row],[Qty]]*Table1[[#This Row],[Unit Price]])</f>
        <v>980000</v>
      </c>
      <c r="Y100" s="93">
        <f>IF(Table1[[#This Row],[h_hargasebelumdiskon]]="","",IF(Table1[[#This Row],[Disc 1]]="",0,Table1[[#This Row],[h_hargasebelumdiskon]]*Table1[[#This Row],[Disc 1]]))</f>
        <v>98000</v>
      </c>
      <c r="Z100" s="93">
        <f>IF(Table1[[#This Row],[h_hargasebelumdiskon]]="","",IF(Table1[[#This Row],[Disc 2]]="",0,(Table1[[#This Row],[h_hargasebelumdiskon]]-Table1[[#This Row],[h_disc 1]])*Table1[[#This Row],[Disc 2]]))</f>
        <v>0</v>
      </c>
      <c r="AA100" s="93">
        <f>IF(Table1[Item Description]="","",Table1[[#This Row],[h_disc 1]]+Table1[[#This Row],[h_disc 2]])</f>
        <v>98000</v>
      </c>
      <c r="AB100" s="93">
        <f>IF(Table1[Item Description]="","",Table1[[#This Row],[h_hargasebelumdiskon]]-Table1[[#This Row],[h_diskon]])</f>
        <v>882000</v>
      </c>
      <c r="AC100" s="93">
        <f ca="1">IF(Table1[//]="","",SUMIF(Table1[h_id],Table1[h_id],Table1[h_hargasetelahdiskon]))</f>
        <v>2376000</v>
      </c>
      <c r="AD100" s="93"/>
      <c r="AE100" s="93" t="str">
        <f>Table1[[#This Row],[Item Description]]&amp;Table1[[#This Row],[Unit]]&amp;Table1[[#This Row],[Unit Price]]</f>
        <v>PAPER FASTENER (ACCO) KENKO PF-508 ISI 50 PC WARNAPAK9800</v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500</v>
      </c>
      <c r="K101" s="92" t="s">
        <v>161</v>
      </c>
      <c r="L101" s="92">
        <v>1</v>
      </c>
      <c r="M101" s="92" t="s">
        <v>344</v>
      </c>
      <c r="N101" s="196" t="str">
        <f>IF(Table1[[#This Row],[h_Item Description]]="","",INDEX([1]!db[NB PAJAK],MATCH(Table1[[#This Row],[h_Item Description]],[1]!db[kode],0)))</f>
        <v>PAPER TRIGONAL CLIP KENKO NO. 3</v>
      </c>
      <c r="O101" s="92" t="s">
        <v>347</v>
      </c>
      <c r="P101" s="93">
        <v>1600</v>
      </c>
      <c r="Q101" s="94">
        <v>0.1</v>
      </c>
      <c r="S101" s="199">
        <f>Table1[[#This Row],[h_hargasetelahdiskon]]</f>
        <v>720000</v>
      </c>
      <c r="V101" s="95">
        <f ca="1">IF(Table1[[#This Row],[Item Description]]="","",IF(Table1[[#This Row],[//]]="",INDIRECT(ADDRESS(ROW()-1,COLUMN())),Table1[[#This Row],[//]]))</f>
        <v>100</v>
      </c>
      <c r="W101" s="95">
        <f ca="1">IF(Table1[[#This Row],[h_id]]="","",COUNTIF(Table1[h_id],Table1[[#This Row],[h_id]]))</f>
        <v>3</v>
      </c>
      <c r="X101" s="93">
        <f>IF(Table1[Item Description]="","",Table1[[#This Row],[Qty]]*Table1[[#This Row],[Unit Price]])</f>
        <v>800000</v>
      </c>
      <c r="Y101" s="93">
        <f>IF(Table1[[#This Row],[h_hargasebelumdiskon]]="","",IF(Table1[[#This Row],[Disc 1]]="",0,Table1[[#This Row],[h_hargasebelumdiskon]]*Table1[[#This Row],[Disc 1]]))</f>
        <v>80000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80000</v>
      </c>
      <c r="AB101" s="93">
        <f>IF(Table1[Item Description]="","",Table1[[#This Row],[h_hargasebelumdiskon]]-Table1[[#This Row],[h_diskon]])</f>
        <v>720000</v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>PAPER TRIGONAL CLIP KENKO NO. 3PAK1600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200</v>
      </c>
      <c r="K102" s="92" t="s">
        <v>161</v>
      </c>
      <c r="L102" s="92">
        <v>1</v>
      </c>
      <c r="M102" s="92" t="s">
        <v>345</v>
      </c>
      <c r="N102" s="196" t="str">
        <f>IF(Table1[[#This Row],[h_Item Description]]="","",INDEX([1]!db[NB PAJAK],MATCH(Table1[[#This Row],[h_Item Description]],[1]!db[kode],0)))</f>
        <v>PAPER JUMBO CLIP KENKO NO. 5</v>
      </c>
      <c r="O102" s="92" t="s">
        <v>348</v>
      </c>
      <c r="P102" s="93">
        <v>4300</v>
      </c>
      <c r="Q102" s="94">
        <v>0.1</v>
      </c>
      <c r="S102" s="199">
        <f>Table1[[#This Row],[h_hargasetelahdiskon]]</f>
        <v>774000</v>
      </c>
      <c r="V102" s="95">
        <f ca="1">IF(Table1[[#This Row],[Item Description]]="","",IF(Table1[[#This Row],[//]]="",INDIRECT(ADDRESS(ROW()-1,COLUMN())),Table1[[#This Row],[//]]))</f>
        <v>100</v>
      </c>
      <c r="W102" s="95">
        <f ca="1">IF(Table1[[#This Row],[h_id]]="","",COUNTIF(Table1[h_id],Table1[[#This Row],[h_id]]))</f>
        <v>3</v>
      </c>
      <c r="X102" s="93">
        <f>IF(Table1[Item Description]="","",Table1[[#This Row],[Qty]]*Table1[[#This Row],[Unit Price]])</f>
        <v>860000</v>
      </c>
      <c r="Y102" s="93">
        <f>IF(Table1[[#This Row],[h_hargasebelumdiskon]]="","",IF(Table1[[#This Row],[Disc 1]]="",0,Table1[[#This Row],[h_hargasebelumdiskon]]*Table1[[#This Row],[Disc 1]]))</f>
        <v>86000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86000</v>
      </c>
      <c r="AB102" s="93">
        <f>IF(Table1[Item Description]="","",Table1[[#This Row],[h_hargasebelumdiskon]]-Table1[[#This Row],[h_diskon]])</f>
        <v>774000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PAPER JUMBO CLIP KENKO NO. 5PAK4300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23030030</v>
      </c>
      <c r="C104" s="98">
        <v>45009</v>
      </c>
      <c r="D104" s="92" t="s">
        <v>118</v>
      </c>
      <c r="E104" s="97" t="s">
        <v>352</v>
      </c>
      <c r="F104" s="92" t="s">
        <v>88</v>
      </c>
      <c r="G104" s="95" t="str">
        <f>IF(Table1[[#This Row],[h_No. Invoice :]]="","",CONCATENATE("AM"," ",Table1[[#This Row],[h_No. Invoice :]]))</f>
        <v>AM 23030030</v>
      </c>
      <c r="H104" s="96" t="str">
        <f>CONCATENATE(UPPER(Table1[[#This Row],[h_Kode Sales :_1]])," ",Table1[[#This Row],[h_Kode Sales :_2]])</f>
        <v>KO 1342</v>
      </c>
      <c r="I104" s="95" t="str">
        <f>IF(Table1[[#This Row],[h_toko]]="","",INDEX(Table2[e],IF(Table1[[#This Row],[h_toko]]="","",MATCH(Table1[[#This Row],[h_toko]],Table2[a],0)),))</f>
        <v>CV PELITA JAYA (ANUGERAH SEJAHTERA) PURWOKERTO</v>
      </c>
      <c r="J104" s="92">
        <v>48</v>
      </c>
      <c r="K104" s="92" t="s">
        <v>120</v>
      </c>
      <c r="L104" s="92">
        <v>2</v>
      </c>
      <c r="M104" s="92" t="s">
        <v>219</v>
      </c>
      <c r="N104" s="196" t="str">
        <f>IF(Table1[[#This Row],[h_Item Description]]="","",INDEX([1]!db[NB PAJAK],MATCH(Table1[[#This Row],[h_Item Description]],[1]!db[kode],0)))</f>
        <v>PENSIL WARNA JOYKO CP-S12 MINI (PENDEK)</v>
      </c>
      <c r="O104" s="92" t="s">
        <v>229</v>
      </c>
      <c r="P104" s="93">
        <v>80400</v>
      </c>
      <c r="Q104" s="94">
        <v>0.13500000000000001</v>
      </c>
      <c r="S104" s="199">
        <f>Table1[[#This Row],[h_hargasetelahdiskon]]</f>
        <v>3338208</v>
      </c>
      <c r="T104" s="93" t="s">
        <v>123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2</v>
      </c>
      <c r="X104" s="93">
        <f>IF(Table1[Item Description]="","",Table1[[#This Row],[Qty]]*Table1[[#This Row],[Unit Price]])</f>
        <v>3859200</v>
      </c>
      <c r="Y104" s="93">
        <f>IF(Table1[[#This Row],[h_hargasebelumdiskon]]="","",IF(Table1[[#This Row],[Disc 1]]="",0,Table1[[#This Row],[h_hargasebelumdiskon]]*Table1[[#This Row],[Disc 1]]))</f>
        <v>520992.00000000006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520992.00000000006</v>
      </c>
      <c r="AB104" s="93">
        <f>IF(Table1[Item Description]="","",Table1[[#This Row],[h_hargasebelumdiskon]]-Table1[[#This Row],[h_diskon]])</f>
        <v>3338208</v>
      </c>
      <c r="AC104" s="93">
        <f ca="1">IF(Table1[//]="","",SUMIF(Table1[h_id],Table1[h_id],Table1[h_hargasetelahdiskon]))</f>
        <v>8494992</v>
      </c>
      <c r="AD104" s="93"/>
      <c r="AE104" s="93" t="str">
        <f>Table1[[#This Row],[Item Description]]&amp;Table1[[#This Row],[Unit]]&amp;Table1[[#This Row],[Unit Price]]</f>
        <v>PENSIL WARNA JOYKO CP-S12 MINI (PENDEK)LSN80400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48</v>
      </c>
      <c r="K105" s="92" t="s">
        <v>120</v>
      </c>
      <c r="L105" s="92">
        <v>2</v>
      </c>
      <c r="M105" s="92" t="s">
        <v>140</v>
      </c>
      <c r="N105" s="196" t="str">
        <f>IF(Table1[[#This Row],[h_Item Description]]="","",INDEX([1]!db[NB PAJAK],MATCH(Table1[[#This Row],[h_Item Description]],[1]!db[kode],0)))</f>
        <v>PENSIL WARNA KENKO CP-12F CLASSIC (PANJANG)</v>
      </c>
      <c r="O105" s="92" t="s">
        <v>141</v>
      </c>
      <c r="P105" s="93">
        <v>124200</v>
      </c>
      <c r="Q105" s="94">
        <v>0.13500000000000001</v>
      </c>
      <c r="S105" s="199">
        <f>Table1[[#This Row],[h_hargasetelahdiskon]]</f>
        <v>5156784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2</v>
      </c>
      <c r="X105" s="93">
        <f>IF(Table1[Item Description]="","",Table1[[#This Row],[Qty]]*Table1[[#This Row],[Unit Price]])</f>
        <v>5961600</v>
      </c>
      <c r="Y105" s="93">
        <f>IF(Table1[[#This Row],[h_hargasebelumdiskon]]="","",IF(Table1[[#This Row],[Disc 1]]="",0,Table1[[#This Row],[h_hargasebelumdiskon]]*Table1[[#This Row],[Disc 1]]))</f>
        <v>804816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804816</v>
      </c>
      <c r="AB105" s="93">
        <f>IF(Table1[Item Description]="","",Table1[[#This Row],[h_hargasebelumdiskon]]-Table1[[#This Row],[h_diskon]])</f>
        <v>5156784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PENSIL WARNA KENKO CP-12F CLASSIC (PANJANG)LSN124200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>
        <f>IF(Table1[[#This Row],[No. Invoice :]]="","",ROW())</f>
        <v>107</v>
      </c>
      <c r="B107" s="196">
        <f>IF(Table1[h_Kode Sales :_1]="","",B$1+COUNT(B$2:B106))</f>
        <v>23030031</v>
      </c>
      <c r="C107" s="98">
        <v>45009</v>
      </c>
      <c r="D107" s="92" t="s">
        <v>118</v>
      </c>
      <c r="E107" s="97" t="s">
        <v>354</v>
      </c>
      <c r="F107" s="92" t="s">
        <v>159</v>
      </c>
      <c r="G107" s="95" t="str">
        <f>IF(Table1[[#This Row],[h_No. Invoice :]]="","",CONCATENATE("AM"," ",Table1[[#This Row],[h_No. Invoice :]]))</f>
        <v>AM 23030031</v>
      </c>
      <c r="H107" s="96" t="str">
        <f>CONCATENATE(UPPER(Table1[[#This Row],[h_Kode Sales :_1]])," ",Table1[[#This Row],[h_Kode Sales :_2]])</f>
        <v>KO 1345</v>
      </c>
      <c r="I107" s="95" t="str">
        <f>IF(Table1[[#This Row],[h_toko]]="","",INDEX(Table2[e],IF(Table1[[#This Row],[h_toko]]="","",MATCH(Table1[[#This Row],[h_toko]],Table2[a],0)),))</f>
        <v>HARNOYO (BENDAN) PEKALONGAN</v>
      </c>
      <c r="J107" s="92">
        <v>10</v>
      </c>
      <c r="K107" s="92" t="s">
        <v>127</v>
      </c>
      <c r="L107" s="92">
        <v>1</v>
      </c>
      <c r="M107" s="92" t="s">
        <v>294</v>
      </c>
      <c r="N107" s="196" t="str">
        <f>IF(Table1[[#This Row],[h_Item Description]]="","",INDEX([1]!db[NB PAJAK],MATCH(Table1[[#This Row],[h_Item Description]],[1]!db[kode],0)))</f>
        <v>BINDER CLIP KENKO NO. 200</v>
      </c>
      <c r="O107" s="92" t="s">
        <v>297</v>
      </c>
      <c r="P107" s="93">
        <v>120000</v>
      </c>
      <c r="Q107" s="94">
        <v>0.14000000000000001</v>
      </c>
      <c r="S107" s="199">
        <f>Table1[[#This Row],[h_hargasetelahdiskon]]</f>
        <v>1032000</v>
      </c>
      <c r="T107" s="93" t="s">
        <v>123</v>
      </c>
      <c r="V107" s="95">
        <f ca="1">IF(Table1[[#This Row],[Item Description]]="","",IF(Table1[[#This Row],[//]]="",INDIRECT(ADDRESS(ROW()-1,COLUMN())),Table1[[#This Row],[//]]))</f>
        <v>107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1200000</v>
      </c>
      <c r="Y107" s="93">
        <f>IF(Table1[[#This Row],[h_hargasebelumdiskon]]="","",IF(Table1[[#This Row],[Disc 1]]="",0,Table1[[#This Row],[h_hargasebelumdiskon]]*Table1[[#This Row],[Disc 1]]))</f>
        <v>168000.00000000003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168000.00000000003</v>
      </c>
      <c r="AB107" s="93">
        <f>IF(Table1[Item Description]="","",Table1[[#This Row],[h_hargasebelumdiskon]]-Table1[[#This Row],[h_diskon]])</f>
        <v>1032000</v>
      </c>
      <c r="AC107" s="93">
        <f ca="1">IF(Table1[//]="","",SUMIF(Table1[h_id],Table1[h_id],Table1[h_hargasetelahdiskon]))</f>
        <v>3325448</v>
      </c>
      <c r="AD107" s="93"/>
      <c r="AE107" s="93" t="str">
        <f>Table1[[#This Row],[Item Description]]&amp;Table1[[#This Row],[Unit]]&amp;Table1[[#This Row],[Unit Price]]</f>
        <v>BINDER CLIP KENKO NO. 200GRS120000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D108" s="197"/>
      <c r="E108" s="198"/>
      <c r="F108" s="197"/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355</v>
      </c>
      <c r="N108" s="196" t="str">
        <f>IF(Table1[[#This Row],[h_Item Description]]="","",INDEX([1]!db[NB PAJAK],MATCH(Table1[[#This Row],[h_Item Description]],[1]!db[kode],0)))</f>
        <v>PUNCH KENKO NO. 30</v>
      </c>
      <c r="O108" s="92" t="s">
        <v>359</v>
      </c>
      <c r="P108" s="93">
        <v>13000</v>
      </c>
      <c r="Q108" s="94">
        <v>0.14000000000000001</v>
      </c>
      <c r="S108" s="199">
        <f>Table1[[#This Row],[h_hargasetelahdiskon]]</f>
        <v>1341600</v>
      </c>
      <c r="V108" s="95">
        <f ca="1">IF(Table1[[#This Row],[Item Description]]="","",IF(Table1[[#This Row],[//]]="",INDIRECT(ADDRESS(ROW()-1,COLUMN())),Table1[[#This Row],[//]]))</f>
        <v>107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1560000</v>
      </c>
      <c r="Y108" s="93">
        <f>IF(Table1[[#This Row],[h_hargasebelumdiskon]]="","",IF(Table1[[#This Row],[Disc 1]]="",0,Table1[[#This Row],[h_hargasebelumdiskon]]*Table1[[#This Row],[Disc 1]]))</f>
        <v>218400.00000000003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218400.00000000003</v>
      </c>
      <c r="AB108" s="93">
        <f>IF(Table1[Item Description]="","",Table1[[#This Row],[h_hargasebelumdiskon]]-Table1[[#This Row],[h_diskon]])</f>
        <v>1341600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PUNCH KENKO NO. 30PCS13000</v>
      </c>
    </row>
    <row r="109" spans="1:31" x14ac:dyDescent="0.25">
      <c r="A109" s="95" t="str">
        <f>IF(Table1[[#This Row],[No. Invoice :]]="","",ROW())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80</v>
      </c>
      <c r="K109" s="92" t="s">
        <v>125</v>
      </c>
      <c r="M109" s="92" t="s">
        <v>356</v>
      </c>
      <c r="N109" s="291" t="e">
        <f>IF(Table1[[#This Row],[h_Item Description]]="","",INDEX([1]!db[NB PAJAK],MATCH(Table1[[#This Row],[h_Item Description]],[1]!db[kode],0)))</f>
        <v>#N/A</v>
      </c>
      <c r="O109" s="92" t="s">
        <v>372</v>
      </c>
      <c r="P109" s="93">
        <v>3050</v>
      </c>
      <c r="Q109" s="94">
        <v>0.14000000000000001</v>
      </c>
      <c r="S109" s="294">
        <f>Table1[[#This Row],[h_hargasetelahdiskon]]</f>
        <v>209840</v>
      </c>
      <c r="V109" s="95">
        <f ca="1">IF(Table1[[#This Row],[Item Description]]="","",IF(Table1[[#This Row],[//]]="",INDIRECT(ADDRESS(ROW()-1,COLUMN())),Table1[[#This Row],[//]]))</f>
        <v>107</v>
      </c>
      <c r="W109" s="95">
        <f ca="1">IF(Table1[[#This Row],[h_id]]="","",COUNTIF(Table1[h_id],Table1[[#This Row],[h_id]]))</f>
        <v>5</v>
      </c>
      <c r="X109" s="93">
        <f>IF(Table1[Item Description]="","",Table1[[#This Row],[Qty]]*Table1[[#This Row],[Unit Price]])</f>
        <v>244000</v>
      </c>
      <c r="Y109" s="93">
        <f>IF(Table1[[#This Row],[h_hargasebelumdiskon]]="","",IF(Table1[[#This Row],[Disc 1]]="",0,Table1[[#This Row],[h_hargasebelumdiskon]]*Table1[[#This Row],[Disc 1]]))</f>
        <v>34160</v>
      </c>
      <c r="Z109" s="93">
        <f>IF(Table1[[#This Row],[h_hargasebelumdiskon]]="","",IF(Table1[[#This Row],[Disc 2]]="",0,(Table1[[#This Row],[h_hargasebelumdiskon]]-Table1[[#This Row],[h_disc 1]])*Table1[[#This Row],[Disc 2]]))</f>
        <v>0</v>
      </c>
      <c r="AA109" s="93">
        <f>IF(Table1[Item Description]="","",Table1[[#This Row],[h_disc 1]]+Table1[[#This Row],[h_disc 2]])</f>
        <v>34160</v>
      </c>
      <c r="AB109" s="93">
        <f>IF(Table1[Item Description]="","",Table1[[#This Row],[h_hargasebelumdiskon]]-Table1[[#This Row],[h_diskon]])</f>
        <v>209840</v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>KENKO HIGHLIGHTER HL-100 HIJAUPCS3050</v>
      </c>
    </row>
    <row r="110" spans="1:31" x14ac:dyDescent="0.25">
      <c r="A110" s="95" t="str">
        <f>IF(Table1[[#This Row],[No. Invoice :]]="","",ROW())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M110" s="92" t="s">
        <v>357</v>
      </c>
      <c r="N110" s="291" t="e">
        <f>IF(Table1[[#This Row],[h_Item Description]]="","",INDEX([1]!db[NB PAJAK],MATCH(Table1[[#This Row],[h_Item Description]],[1]!db[kode],0)))</f>
        <v>#N/A</v>
      </c>
      <c r="O110" s="92" t="s">
        <v>373</v>
      </c>
      <c r="P110" s="93">
        <v>3050</v>
      </c>
      <c r="Q110" s="94">
        <v>0.14000000000000001</v>
      </c>
      <c r="S110" s="294">
        <f>Table1[[#This Row],[h_hargasetelahdiskon]]</f>
        <v>314760</v>
      </c>
      <c r="V110" s="95">
        <f ca="1">IF(Table1[[#This Row],[Item Description]]="","",IF(Table1[[#This Row],[//]]="",INDIRECT(ADDRESS(ROW()-1,COLUMN())),Table1[[#This Row],[//]]))</f>
        <v>107</v>
      </c>
      <c r="W110" s="95">
        <f ca="1">IF(Table1[[#This Row],[h_id]]="","",COUNTIF(Table1[h_id],Table1[[#This Row],[h_id]]))</f>
        <v>5</v>
      </c>
      <c r="X110" s="93">
        <f>IF(Table1[Item Description]="","",Table1[[#This Row],[Qty]]*Table1[[#This Row],[Unit Price]])</f>
        <v>366000</v>
      </c>
      <c r="Y110" s="93">
        <f>IF(Table1[[#This Row],[h_hargasebelumdiskon]]="","",IF(Table1[[#This Row],[Disc 1]]="",0,Table1[[#This Row],[h_hargasebelumdiskon]]*Table1[[#This Row],[Disc 1]]))</f>
        <v>51240.000000000007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51240.000000000007</v>
      </c>
      <c r="AB110" s="93">
        <f>IF(Table1[Item Description]="","",Table1[[#This Row],[h_hargasebelumdiskon]]-Table1[[#This Row],[h_diskon]])</f>
        <v>314760</v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>KENKO HIGHLIGHTER HL-100 PINKPCS3050</v>
      </c>
    </row>
    <row r="111" spans="1:31" x14ac:dyDescent="0.25">
      <c r="A111" s="95" t="str">
        <f>IF(Table1[[#This Row],[No. Invoice :]]="","",ROW())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12</v>
      </c>
      <c r="K111" s="92" t="s">
        <v>120</v>
      </c>
      <c r="M111" s="92" t="s">
        <v>358</v>
      </c>
      <c r="N111" s="291" t="str">
        <f>IF(Table1[[#This Row],[h_Item Description]]="","",INDEX([1]!db[NB PAJAK],MATCH(Table1[[#This Row],[h_Item Description]],[1]!db[kode],0)))</f>
        <v>PAPER CLIP WARNA KENKO 3100</v>
      </c>
      <c r="O111" s="92" t="s">
        <v>360</v>
      </c>
      <c r="P111" s="93">
        <v>41400</v>
      </c>
      <c r="Q111" s="94">
        <v>0.14000000000000001</v>
      </c>
      <c r="S111" s="294">
        <f>Table1[[#This Row],[h_hargasetelahdiskon]]</f>
        <v>427248</v>
      </c>
      <c r="V111" s="95">
        <f ca="1">IF(Table1[[#This Row],[Item Description]]="","",IF(Table1[[#This Row],[//]]="",INDIRECT(ADDRESS(ROW()-1,COLUMN())),Table1[[#This Row],[//]]))</f>
        <v>107</v>
      </c>
      <c r="W111" s="95">
        <f ca="1">IF(Table1[[#This Row],[h_id]]="","",COUNTIF(Table1[h_id],Table1[[#This Row],[h_id]]))</f>
        <v>5</v>
      </c>
      <c r="X111" s="93">
        <f>IF(Table1[Item Description]="","",Table1[[#This Row],[Qty]]*Table1[[#This Row],[Unit Price]])</f>
        <v>496800</v>
      </c>
      <c r="Y111" s="93">
        <f>IF(Table1[[#This Row],[h_hargasebelumdiskon]]="","",IF(Table1[[#This Row],[Disc 1]]="",0,Table1[[#This Row],[h_hargasebelumdiskon]]*Table1[[#This Row],[Disc 1]]))</f>
        <v>69552</v>
      </c>
      <c r="Z111" s="93">
        <f>IF(Table1[[#This Row],[h_hargasebelumdiskon]]="","",IF(Table1[[#This Row],[Disc 2]]="",0,(Table1[[#This Row],[h_hargasebelumdiskon]]-Table1[[#This Row],[h_disc 1]])*Table1[[#This Row],[Disc 2]]))</f>
        <v>0</v>
      </c>
      <c r="AA111" s="93">
        <f>IF(Table1[Item Description]="","",Table1[[#This Row],[h_disc 1]]+Table1[[#This Row],[h_disc 2]])</f>
        <v>69552</v>
      </c>
      <c r="AB111" s="93">
        <f>IF(Table1[Item Description]="","",Table1[[#This Row],[h_hargasebelumdiskon]]-Table1[[#This Row],[h_diskon]])</f>
        <v>427248</v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>PAPER CLIP WARNA KENKO 3100LSN41400</v>
      </c>
    </row>
    <row r="112" spans="1:31" x14ac:dyDescent="0.25">
      <c r="A112" s="95" t="str">
        <f>IF(Table1[[#This Row],[No. Invoice :]]="","",ROW())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M112" s="292"/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>
        <f>IF(Table1[[#This Row],[No. Invoice :]]="","",ROW())</f>
        <v>113</v>
      </c>
      <c r="B113" s="291">
        <f>IF(Table1[h_Kode Sales :_1]="","",B$1+COUNT(B$2:B112))</f>
        <v>23030032</v>
      </c>
      <c r="C113" s="98">
        <v>45009</v>
      </c>
      <c r="D113" s="92" t="s">
        <v>253</v>
      </c>
      <c r="E113" s="97" t="s">
        <v>363</v>
      </c>
      <c r="F113" s="92" t="s">
        <v>101</v>
      </c>
      <c r="G113" s="95" t="str">
        <f>IF(Table1[[#This Row],[h_No. Invoice :]]="","",CONCATENATE("AM"," ",Table1[[#This Row],[h_No. Invoice :]]))</f>
        <v>AM 23030032</v>
      </c>
      <c r="H113" s="96" t="str">
        <f>CONCATENATE(UPPER(Table1[[#This Row],[h_Kode Sales :_1]])," ",Table1[[#This Row],[h_Kode Sales :_2]])</f>
        <v>N 1346</v>
      </c>
      <c r="I113" s="95" t="str">
        <f>IF(Table1[[#This Row],[h_toko]]="","",INDEX(Table2[e],IF(Table1[[#This Row],[h_toko]]="","",MATCH(Table1[[#This Row],[h_toko]],Table2[a],0)),))</f>
        <v>CV TIARA SOLO</v>
      </c>
      <c r="J113" s="92">
        <v>120</v>
      </c>
      <c r="K113" s="92" t="s">
        <v>120</v>
      </c>
      <c r="L113" s="92">
        <v>1</v>
      </c>
      <c r="M113" s="292"/>
      <c r="N113" s="95" t="str">
        <f>IF(Table1[[#This Row],[h_Item Description]]="","",INDEX([1]!db[NB PAJAK],MATCH(Table1[[#This Row],[h_Item Description]],[1]!db[kode],0)))</f>
        <v/>
      </c>
      <c r="O113" s="92" t="s">
        <v>364</v>
      </c>
      <c r="P113" s="93">
        <v>18000</v>
      </c>
      <c r="Q113" s="94"/>
      <c r="S113" s="294">
        <f>Table1[[#This Row],[h_hargasetelahdiskon]]</f>
        <v>2160000</v>
      </c>
      <c r="T113" s="93" t="s">
        <v>123</v>
      </c>
      <c r="V113" s="95">
        <f ca="1">IF(Table1[[#This Row],[Item Description]]="","",IF(Table1[[#This Row],[//]]="",INDIRECT(ADDRESS(ROW()-1,COLUMN())),Table1[[#This Row],[//]]))</f>
        <v>113</v>
      </c>
      <c r="W113" s="95">
        <f ca="1">IF(Table1[[#This Row],[h_id]]="","",COUNTIF(Table1[h_id],Table1[[#This Row],[h_id]]))</f>
        <v>4</v>
      </c>
      <c r="X113" s="93">
        <f>IF(Table1[Item Description]="","",Table1[[#This Row],[Qty]]*Table1[[#This Row],[Unit Price]])</f>
        <v>2160000</v>
      </c>
      <c r="Y113" s="93">
        <f>IF(Table1[[#This Row],[h_hargasebelumdiskon]]="","",IF(Table1[[#This Row],[Disc 1]]="",0,Table1[[#This Row],[h_hargasebelumdiskon]]*Table1[[#This Row],[Disc 1]]))</f>
        <v>0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0</v>
      </c>
      <c r="AB113" s="93">
        <f>IF(Table1[Item Description]="","",Table1[[#This Row],[h_hargasebelumdiskon]]-Table1[[#This Row],[h_diskon]])</f>
        <v>2160000</v>
      </c>
      <c r="AC113" s="93">
        <f ca="1">IF(Table1[//]="","",SUMIF(Table1[h_id],Table1[h_id],Table1[h_hargasetelahdiskon]))</f>
        <v>8640000</v>
      </c>
      <c r="AD113" s="93"/>
      <c r="AE113" s="93" t="str">
        <f>Table1[[#This Row],[Item Description]]&amp;Table1[[#This Row],[Unit]]&amp;Table1[[#This Row],[Unit Price]]</f>
        <v>GEL PEN ZHIXIN G-5001 + REFILLLSN18000</v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120</v>
      </c>
      <c r="K114" s="92" t="s">
        <v>120</v>
      </c>
      <c r="L114" s="92">
        <v>1</v>
      </c>
      <c r="M114" s="292"/>
      <c r="N114" s="95" t="str">
        <f>IF(Table1[[#This Row],[h_Item Description]]="","",INDEX([1]!db[NB PAJAK],MATCH(Table1[[#This Row],[h_Item Description]],[1]!db[kode],0)))</f>
        <v/>
      </c>
      <c r="O114" s="92" t="s">
        <v>365</v>
      </c>
      <c r="P114" s="93">
        <v>18000</v>
      </c>
      <c r="Q114" s="94"/>
      <c r="S114" s="294">
        <f>Table1[[#This Row],[h_hargasetelahdiskon]]</f>
        <v>2160000</v>
      </c>
      <c r="V114" s="95">
        <f ca="1">IF(Table1[[#This Row],[Item Description]]="","",IF(Table1[[#This Row],[//]]="",INDIRECT(ADDRESS(ROW()-1,COLUMN())),Table1[[#This Row],[//]]))</f>
        <v>113</v>
      </c>
      <c r="W114" s="95">
        <f ca="1">IF(Table1[[#This Row],[h_id]]="","",COUNTIF(Table1[h_id],Table1[[#This Row],[h_id]]))</f>
        <v>4</v>
      </c>
      <c r="X114" s="93">
        <f>IF(Table1[Item Description]="","",Table1[[#This Row],[Qty]]*Table1[[#This Row],[Unit Price]])</f>
        <v>2160000</v>
      </c>
      <c r="Y114" s="93">
        <f>IF(Table1[[#This Row],[h_hargasebelumdiskon]]="","",IF(Table1[[#This Row],[Disc 1]]="",0,Table1[[#This Row],[h_hargasebelumdiskon]]*Table1[[#This Row],[Disc 1]]))</f>
        <v>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0</v>
      </c>
      <c r="AB114" s="93">
        <f>IF(Table1[Item Description]="","",Table1[[#This Row],[h_hargasebelumdiskon]]-Table1[[#This Row],[h_diskon]])</f>
        <v>2160000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GEL PEN ZHIXIN G-3132 + REFILLLSN18000</v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120</v>
      </c>
      <c r="K115" s="92" t="s">
        <v>120</v>
      </c>
      <c r="L115" s="92">
        <v>1</v>
      </c>
      <c r="M115" s="292"/>
      <c r="N115" s="95" t="str">
        <f>IF(Table1[[#This Row],[h_Item Description]]="","",INDEX([1]!db[NB PAJAK],MATCH(Table1[[#This Row],[h_Item Description]],[1]!db[kode],0)))</f>
        <v/>
      </c>
      <c r="O115" s="92" t="s">
        <v>366</v>
      </c>
      <c r="P115" s="93">
        <v>18000</v>
      </c>
      <c r="Q115" s="94"/>
      <c r="S115" s="294">
        <f>Table1[[#This Row],[h_hargasetelahdiskon]]</f>
        <v>2160000</v>
      </c>
      <c r="V115" s="95">
        <f ca="1">IF(Table1[[#This Row],[Item Description]]="","",IF(Table1[[#This Row],[//]]="",INDIRECT(ADDRESS(ROW()-1,COLUMN())),Table1[[#This Row],[//]]))</f>
        <v>113</v>
      </c>
      <c r="W115" s="95">
        <f ca="1">IF(Table1[[#This Row],[h_id]]="","",COUNTIF(Table1[h_id],Table1[[#This Row],[h_id]]))</f>
        <v>4</v>
      </c>
      <c r="X115" s="93">
        <f>IF(Table1[Item Description]="","",Table1[[#This Row],[Qty]]*Table1[[#This Row],[Unit Price]])</f>
        <v>2160000</v>
      </c>
      <c r="Y115" s="93">
        <f>IF(Table1[[#This Row],[h_hargasebelumdiskon]]="","",IF(Table1[[#This Row],[Disc 1]]="",0,Table1[[#This Row],[h_hargasebelumdiskon]]*Table1[[#This Row],[Disc 1]]))</f>
        <v>0</v>
      </c>
      <c r="Z115" s="93">
        <f>IF(Table1[[#This Row],[h_hargasebelumdiskon]]="","",IF(Table1[[#This Row],[Disc 2]]="",0,(Table1[[#This Row],[h_hargasebelumdiskon]]-Table1[[#This Row],[h_disc 1]])*Table1[[#This Row],[Disc 2]]))</f>
        <v>0</v>
      </c>
      <c r="AA115" s="93">
        <f>IF(Table1[Item Description]="","",Table1[[#This Row],[h_disc 1]]+Table1[[#This Row],[h_disc 2]])</f>
        <v>0</v>
      </c>
      <c r="AB115" s="93">
        <f>IF(Table1[Item Description]="","",Table1[[#This Row],[h_hargasebelumdiskon]]-Table1[[#This Row],[h_diskon]])</f>
        <v>2160000</v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>GEL PEN ZHIXIN G-3136 + REFILLLSN18000</v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120</v>
      </c>
      <c r="K116" s="92" t="s">
        <v>120</v>
      </c>
      <c r="L116" s="92">
        <v>1</v>
      </c>
      <c r="M116" s="292"/>
      <c r="N116" s="95" t="str">
        <f>IF(Table1[[#This Row],[h_Item Description]]="","",INDEX([1]!db[NB PAJAK],MATCH(Table1[[#This Row],[h_Item Description]],[1]!db[kode],0)))</f>
        <v/>
      </c>
      <c r="O116" s="92" t="s">
        <v>367</v>
      </c>
      <c r="P116" s="93">
        <v>18000</v>
      </c>
      <c r="Q116" s="94"/>
      <c r="S116" s="294">
        <f>Table1[[#This Row],[h_hargasetelahdiskon]]</f>
        <v>2160000</v>
      </c>
      <c r="V116" s="95">
        <f ca="1">IF(Table1[[#This Row],[Item Description]]="","",IF(Table1[[#This Row],[//]]="",INDIRECT(ADDRESS(ROW()-1,COLUMN())),Table1[[#This Row],[//]]))</f>
        <v>113</v>
      </c>
      <c r="W116" s="95">
        <f ca="1">IF(Table1[[#This Row],[h_id]]="","",COUNTIF(Table1[h_id],Table1[[#This Row],[h_id]]))</f>
        <v>4</v>
      </c>
      <c r="X116" s="93">
        <f>IF(Table1[Item Description]="","",Table1[[#This Row],[Qty]]*Table1[[#This Row],[Unit Price]])</f>
        <v>2160000</v>
      </c>
      <c r="Y116" s="93">
        <f>IF(Table1[[#This Row],[h_hargasebelumdiskon]]="","",IF(Table1[[#This Row],[Disc 1]]="",0,Table1[[#This Row],[h_hargasebelumdiskon]]*Table1[[#This Row],[Disc 1]]))</f>
        <v>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0</v>
      </c>
      <c r="AB116" s="93">
        <f>IF(Table1[Item Description]="","",Table1[[#This Row],[h_hargasebelumdiskon]]-Table1[[#This Row],[h_diskon]])</f>
        <v>2160000</v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>GEL PEN ZHIXIN G-5004 + REFILLLSN18000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291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>
        <f>IF(Table1[[#This Row],[No. Invoice :]]="","",ROW())</f>
        <v>118</v>
      </c>
      <c r="B118" s="291">
        <f>IF(Table1[h_Kode Sales :_1]="","",B$1+COUNT(B$2:B117))</f>
        <v>23030033</v>
      </c>
      <c r="C118" s="98">
        <v>45009</v>
      </c>
      <c r="D118" s="92" t="s">
        <v>118</v>
      </c>
      <c r="E118" s="97" t="s">
        <v>374</v>
      </c>
      <c r="F118" s="92" t="s">
        <v>78</v>
      </c>
      <c r="G118" s="95" t="str">
        <f>IF(Table1[[#This Row],[h_No. Invoice :]]="","",CONCATENATE("AM"," ",Table1[[#This Row],[h_No. Invoice :]]))</f>
        <v>AM 23030033</v>
      </c>
      <c r="H118" s="96" t="str">
        <f>CONCATENATE(UPPER(Table1[[#This Row],[h_Kode Sales :_1]])," ",Table1[[#This Row],[h_Kode Sales :_2]])</f>
        <v>KO 1243</v>
      </c>
      <c r="I118" s="95" t="str">
        <f>IF(Table1[[#This Row],[h_toko]]="","",INDEX(Table2[e],IF(Table1[[#This Row],[h_toko]]="","",MATCH(Table1[[#This Row],[h_toko]],Table2[a],0)),))</f>
        <v>CV SINAR CAHAYA NIRMALA BREBES</v>
      </c>
      <c r="J118" s="92">
        <v>3</v>
      </c>
      <c r="K118" s="92" t="s">
        <v>120</v>
      </c>
      <c r="M118" s="92" t="s">
        <v>375</v>
      </c>
      <c r="N118" s="291" t="str">
        <f>IF(Table1[[#This Row],[h_Item Description]]="","",INDEX([1]!db[NB PAJAK],MATCH(Table1[[#This Row],[h_Item Description]],[1]!db[kode],0)))</f>
        <v>GEL PEN JOYKO GP-266 ITECH 2 HITAM</v>
      </c>
      <c r="O118" s="92" t="s">
        <v>385</v>
      </c>
      <c r="P118" s="93">
        <v>27600</v>
      </c>
      <c r="Q118" s="94">
        <v>0.1</v>
      </c>
      <c r="S118" s="294">
        <f>Table1[[#This Row],[h_hargasetelahdiskon]]</f>
        <v>74520</v>
      </c>
      <c r="T118" s="93" t="s">
        <v>394</v>
      </c>
      <c r="V118" s="95">
        <f ca="1">IF(Table1[[#This Row],[Item Description]]="","",IF(Table1[[#This Row],[//]]="",INDIRECT(ADDRESS(ROW()-1,COLUMN())),Table1[[#This Row],[//]]))</f>
        <v>118</v>
      </c>
      <c r="W118" s="95">
        <f ca="1">IF(Table1[[#This Row],[h_id]]="","",COUNTIF(Table1[h_id],Table1[[#This Row],[h_id]]))</f>
        <v>13</v>
      </c>
      <c r="X118" s="93">
        <f>IF(Table1[Item Description]="","",Table1[[#This Row],[Qty]]*Table1[[#This Row],[Unit Price]])</f>
        <v>82800</v>
      </c>
      <c r="Y118" s="93">
        <f>IF(Table1[[#This Row],[h_hargasebelumdiskon]]="","",IF(Table1[[#This Row],[Disc 1]]="",0,Table1[[#This Row],[h_hargasebelumdiskon]]*Table1[[#This Row],[Disc 1]]))</f>
        <v>8280</v>
      </c>
      <c r="Z118" s="93">
        <f>IF(Table1[[#This Row],[h_hargasebelumdiskon]]="","",IF(Table1[[#This Row],[Disc 2]]="",0,(Table1[[#This Row],[h_hargasebelumdiskon]]-Table1[[#This Row],[h_disc 1]])*Table1[[#This Row],[Disc 2]]))</f>
        <v>0</v>
      </c>
      <c r="AA118" s="93">
        <f>IF(Table1[Item Description]="","",Table1[[#This Row],[h_disc 1]]+Table1[[#This Row],[h_disc 2]])</f>
        <v>8280</v>
      </c>
      <c r="AB118" s="93">
        <f>IF(Table1[Item Description]="","",Table1[[#This Row],[h_hargasebelumdiskon]]-Table1[[#This Row],[h_diskon]])</f>
        <v>74520</v>
      </c>
      <c r="AC118" s="93">
        <f ca="1">IF(Table1[//]="","",SUMIF(Table1[h_id],Table1[h_id],Table1[h_hargasetelahdiskon]))</f>
        <v>1512310</v>
      </c>
      <c r="AD118" s="93"/>
      <c r="AE118" s="93" t="str">
        <f>Table1[[#This Row],[Item Description]]&amp;Table1[[#This Row],[Unit]]&amp;Table1[[#This Row],[Unit Price]]</f>
        <v>GEL PEN JOYKO GP-266 ITECH 2 HITAMLSN27600</v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J119" s="92">
        <v>40</v>
      </c>
      <c r="K119" s="92" t="s">
        <v>125</v>
      </c>
      <c r="M119" s="292" t="s">
        <v>376</v>
      </c>
      <c r="N119" s="291" t="str">
        <f>IF(Table1[[#This Row],[h_Item Description]]="","",INDEX([1]!db[NB PAJAK],MATCH(Table1[[#This Row],[h_Item Description]],[1]!db[kode],0)))</f>
        <v>ISI BENSIA LANTU LT 11-32 (40 SET)</v>
      </c>
      <c r="O119" s="92" t="s">
        <v>386</v>
      </c>
      <c r="P119" s="93">
        <v>2750</v>
      </c>
      <c r="Q119" s="94"/>
      <c r="S119" s="294">
        <f>Table1[[#This Row],[h_hargasetelahdiskon]]</f>
        <v>110000</v>
      </c>
      <c r="V119" s="95">
        <f ca="1">IF(Table1[[#This Row],[Item Description]]="","",IF(Table1[[#This Row],[//]]="",INDIRECT(ADDRESS(ROW()-1,COLUMN())),Table1[[#This Row],[//]]))</f>
        <v>118</v>
      </c>
      <c r="W119" s="95">
        <f ca="1">IF(Table1[[#This Row],[h_id]]="","",COUNTIF(Table1[h_id],Table1[[#This Row],[h_id]]))</f>
        <v>13</v>
      </c>
      <c r="X119" s="93">
        <f>IF(Table1[Item Description]="","",Table1[[#This Row],[Qty]]*Table1[[#This Row],[Unit Price]])</f>
        <v>110000</v>
      </c>
      <c r="Y119" s="93">
        <f>IF(Table1[[#This Row],[h_hargasebelumdiskon]]="","",IF(Table1[[#This Row],[Disc 1]]="",0,Table1[[#This Row],[h_hargasebelumdiskon]]*Table1[[#This Row],[Disc 1]]))</f>
        <v>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0</v>
      </c>
      <c r="AB119" s="93">
        <f>IF(Table1[Item Description]="","",Table1[[#This Row],[h_hargasebelumdiskon]]-Table1[[#This Row],[h_diskon]])</f>
        <v>110000</v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>ISI BENSIA LANTU LT 11-32 (40 SET)PCS2750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24</v>
      </c>
      <c r="K120" s="92" t="s">
        <v>165</v>
      </c>
      <c r="M120" s="92" t="s">
        <v>457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458</v>
      </c>
      <c r="P120" s="93">
        <v>6600</v>
      </c>
      <c r="Q120" s="94">
        <v>0.1</v>
      </c>
      <c r="S120" s="294">
        <f>Table1[[#This Row],[h_hargasetelahdiskon]]</f>
        <v>142560</v>
      </c>
      <c r="V120" s="95">
        <f ca="1">IF(Table1[[#This Row],[Item Description]]="","",IF(Table1[[#This Row],[//]]="",INDIRECT(ADDRESS(ROW()-1,COLUMN())),Table1[[#This Row],[//]]))</f>
        <v>118</v>
      </c>
      <c r="W120" s="95">
        <f ca="1">IF(Table1[[#This Row],[h_id]]="","",COUNTIF(Table1[h_id],Table1[[#This Row],[h_id]]))</f>
        <v>13</v>
      </c>
      <c r="X120" s="93">
        <f>IF(Table1[Item Description]="","",Table1[[#This Row],[Qty]]*Table1[[#This Row],[Unit Price]])</f>
        <v>158400</v>
      </c>
      <c r="Y120" s="93">
        <f>IF(Table1[[#This Row],[h_hargasebelumdiskon]]="","",IF(Table1[[#This Row],[Disc 1]]="",0,Table1[[#This Row],[h_hargasebelumdiskon]]*Table1[[#This Row],[Disc 1]]))</f>
        <v>15840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15840</v>
      </c>
      <c r="AB120" s="93">
        <f>IF(Table1[Item Description]="","",Table1[[#This Row],[h_hargasebelumdiskon]]-Table1[[#This Row],[h_diskon]])</f>
        <v>142560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(PENDEK)SET6600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24</v>
      </c>
      <c r="K121" s="92" t="s">
        <v>165</v>
      </c>
      <c r="M121" s="92" t="s">
        <v>377</v>
      </c>
      <c r="N121" s="291" t="str">
        <f>IF(Table1[[#This Row],[h_Item Description]]="","",INDEX([1]!db[NB PAJAK],MATCH(Table1[[#This Row],[h_Item Description]],[1]!db[kode],0)))</f>
        <v>PENSIL WARNA KENKO CP-24F CLASSIC (PANJANG)</v>
      </c>
      <c r="O121" s="92" t="s">
        <v>387</v>
      </c>
      <c r="P121" s="93">
        <v>20700</v>
      </c>
      <c r="Q121" s="94">
        <v>0.1</v>
      </c>
      <c r="S121" s="294">
        <f>Table1[[#This Row],[h_hargasetelahdiskon]]</f>
        <v>447120</v>
      </c>
      <c r="V121" s="95">
        <f ca="1">IF(Table1[[#This Row],[Item Description]]="","",IF(Table1[[#This Row],[//]]="",INDIRECT(ADDRESS(ROW()-1,COLUMN())),Table1[[#This Row],[//]]))</f>
        <v>118</v>
      </c>
      <c r="W121" s="95">
        <f ca="1">IF(Table1[[#This Row],[h_id]]="","",COUNTIF(Table1[h_id],Table1[[#This Row],[h_id]]))</f>
        <v>13</v>
      </c>
      <c r="X121" s="93">
        <f>IF(Table1[Item Description]="","",Table1[[#This Row],[Qty]]*Table1[[#This Row],[Unit Price]])</f>
        <v>496800</v>
      </c>
      <c r="Y121" s="93">
        <f>IF(Table1[[#This Row],[h_hargasebelumdiskon]]="","",IF(Table1[[#This Row],[Disc 1]]="",0,Table1[[#This Row],[h_hargasebelumdiskon]]*Table1[[#This Row],[Disc 1]]))</f>
        <v>49680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49680</v>
      </c>
      <c r="AB121" s="93">
        <f>IF(Table1[Item Description]="","",Table1[[#This Row],[h_hargasebelumdiskon]]-Table1[[#This Row],[h_diskon]])</f>
        <v>447120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PENSIL WARNA KENKO CP-24F CLASSIC (PANJANG)SET20700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3</v>
      </c>
      <c r="K122" s="92" t="s">
        <v>120</v>
      </c>
      <c r="M122" s="92" t="s">
        <v>378</v>
      </c>
      <c r="N122" s="291" t="str">
        <f>IF(Table1[[#This Row],[h_Item Description]]="","",INDEX([1]!db[NB PAJAK],MATCH(Table1[[#This Row],[h_Item Description]],[1]!db[kode],0)))</f>
        <v>GEL PEN VANCO GP-559 HI-TOUCH BLACK</v>
      </c>
      <c r="O122" s="92" t="s">
        <v>406</v>
      </c>
      <c r="P122" s="93">
        <v>26000</v>
      </c>
      <c r="Q122" s="94"/>
      <c r="S122" s="294">
        <f>Table1[[#This Row],[h_hargasetelahdiskon]]</f>
        <v>78000</v>
      </c>
      <c r="V122" s="95">
        <f ca="1">IF(Table1[[#This Row],[Item Description]]="","",IF(Table1[[#This Row],[//]]="",INDIRECT(ADDRESS(ROW()-1,COLUMN())),Table1[[#This Row],[//]]))</f>
        <v>118</v>
      </c>
      <c r="W122" s="95">
        <f ca="1">IF(Table1[[#This Row],[h_id]]="","",COUNTIF(Table1[h_id],Table1[[#This Row],[h_id]]))</f>
        <v>13</v>
      </c>
      <c r="X122" s="93">
        <f>IF(Table1[Item Description]="","",Table1[[#This Row],[Qty]]*Table1[[#This Row],[Unit Price]])</f>
        <v>78000</v>
      </c>
      <c r="Y122" s="93">
        <f>IF(Table1[[#This Row],[h_hargasebelumdiskon]]="","",IF(Table1[[#This Row],[Disc 1]]="",0,Table1[[#This Row],[h_hargasebelumdiskon]]*Table1[[#This Row],[Disc 1]]))</f>
        <v>0</v>
      </c>
      <c r="Z122" s="93">
        <f>IF(Table1[[#This Row],[h_hargasebelumdiskon]]="","",IF(Table1[[#This Row],[Disc 2]]="",0,(Table1[[#This Row],[h_hargasebelumdiskon]]-Table1[[#This Row],[h_disc 1]])*Table1[[#This Row],[Disc 2]]))</f>
        <v>0</v>
      </c>
      <c r="AA122" s="93">
        <f>IF(Table1[Item Description]="","",Table1[[#This Row],[h_disc 1]]+Table1[[#This Row],[h_disc 2]])</f>
        <v>0</v>
      </c>
      <c r="AB122" s="93">
        <f>IF(Table1[Item Description]="","",Table1[[#This Row],[h_hargasebelumdiskon]]-Table1[[#This Row],[h_diskon]])</f>
        <v>78000</v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>GEL PEN VANCO GP-559 HI-TOUCH HITAMLSN26000</v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10</v>
      </c>
      <c r="K123" s="92" t="s">
        <v>125</v>
      </c>
      <c r="M123" s="92" t="s">
        <v>379</v>
      </c>
      <c r="N123" s="291" t="str">
        <f>IF(Table1[[#This Row],[h_Item Description]]="","",INDEX([1]!db[NB PAJAK],MATCH(Table1[[#This Row],[h_Item Description]],[1]!db[kode],0)))</f>
        <v>BUKU KAS KWARTO</v>
      </c>
      <c r="O123" s="92" t="s">
        <v>388</v>
      </c>
      <c r="P123" s="93">
        <v>9500</v>
      </c>
      <c r="Q123" s="94"/>
      <c r="S123" s="294">
        <f>Table1[[#This Row],[h_hargasetelahdiskon]]</f>
        <v>95000</v>
      </c>
      <c r="V123" s="95">
        <f ca="1">IF(Table1[[#This Row],[Item Description]]="","",IF(Table1[[#This Row],[//]]="",INDIRECT(ADDRESS(ROW()-1,COLUMN())),Table1[[#This Row],[//]]))</f>
        <v>118</v>
      </c>
      <c r="W123" s="95">
        <f ca="1">IF(Table1[[#This Row],[h_id]]="","",COUNTIF(Table1[h_id],Table1[[#This Row],[h_id]]))</f>
        <v>13</v>
      </c>
      <c r="X123" s="93">
        <f>IF(Table1[Item Description]="","",Table1[[#This Row],[Qty]]*Table1[[#This Row],[Unit Price]])</f>
        <v>95000</v>
      </c>
      <c r="Y123" s="93">
        <f>IF(Table1[[#This Row],[h_hargasebelumdiskon]]="","",IF(Table1[[#This Row],[Disc 1]]="",0,Table1[[#This Row],[h_hargasebelumdiskon]]*Table1[[#This Row],[Disc 1]]))</f>
        <v>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0</v>
      </c>
      <c r="AB123" s="93">
        <f>IF(Table1[Item Description]="","",Table1[[#This Row],[h_hargasebelumdiskon]]-Table1[[#This Row],[h_diskon]])</f>
        <v>95000</v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>BUKU KAS KWARTOPCS9500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50</v>
      </c>
      <c r="K124" s="92" t="s">
        <v>161</v>
      </c>
      <c r="M124" s="92" t="s">
        <v>380</v>
      </c>
      <c r="N124" s="291" t="str">
        <f>IF(Table1[[#This Row],[h_Item Description]]="","",INDEX([1]!db[NB PAJAK],MATCH(Table1[[#This Row],[h_Item Description]],[1]!db[kode],0)))</f>
        <v>LOOSE LEAF JOYKO A5-7020 (50S)</v>
      </c>
      <c r="O124" s="92" t="s">
        <v>389</v>
      </c>
      <c r="P124" s="93">
        <v>3600</v>
      </c>
      <c r="Q124" s="94">
        <v>0.1</v>
      </c>
      <c r="S124" s="294">
        <f>Table1[[#This Row],[h_hargasetelahdiskon]]</f>
        <v>162000</v>
      </c>
      <c r="V124" s="95">
        <f ca="1">IF(Table1[[#This Row],[Item Description]]="","",IF(Table1[[#This Row],[//]]="",INDIRECT(ADDRESS(ROW()-1,COLUMN())),Table1[[#This Row],[//]]))</f>
        <v>118</v>
      </c>
      <c r="W124" s="95">
        <f ca="1">IF(Table1[[#This Row],[h_id]]="","",COUNTIF(Table1[h_id],Table1[[#This Row],[h_id]]))</f>
        <v>13</v>
      </c>
      <c r="X124" s="93">
        <f>IF(Table1[Item Description]="","",Table1[[#This Row],[Qty]]*Table1[[#This Row],[Unit Price]])</f>
        <v>180000</v>
      </c>
      <c r="Y124" s="93">
        <f>IF(Table1[[#This Row],[h_hargasebelumdiskon]]="","",IF(Table1[[#This Row],[Disc 1]]="",0,Table1[[#This Row],[h_hargasebelumdiskon]]*Table1[[#This Row],[Disc 1]]))</f>
        <v>18000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18000</v>
      </c>
      <c r="AB124" s="93">
        <f>IF(Table1[Item Description]="","",Table1[[#This Row],[h_hargasebelumdiskon]]-Table1[[#This Row],[h_diskon]])</f>
        <v>162000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LOOSE LEAF JOYKO A5-7020 (50S)PAK3600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</v>
      </c>
      <c r="K125" s="92" t="s">
        <v>161</v>
      </c>
      <c r="M125" s="92" t="s">
        <v>381</v>
      </c>
      <c r="N125" s="291" t="str">
        <f>IF(Table1[[#This Row],[h_Item Description]]="","",INDEX([1]!db[NB PAJAK],MATCH(Table1[[#This Row],[h_Item Description]],[1]!db[kode],0)))</f>
        <v>STIP / PENGHAPUS KENKO ERB-40SQ HITAM</v>
      </c>
      <c r="O125" s="92" t="s">
        <v>390</v>
      </c>
      <c r="P125" s="93">
        <v>27500</v>
      </c>
      <c r="Q125" s="94">
        <v>0.1</v>
      </c>
      <c r="S125" s="294">
        <f>Table1[[#This Row],[h_hargasetelahdiskon]]</f>
        <v>74250</v>
      </c>
      <c r="V125" s="95">
        <f ca="1">IF(Table1[[#This Row],[Item Description]]="","",IF(Table1[[#This Row],[//]]="",INDIRECT(ADDRESS(ROW()-1,COLUMN())),Table1[[#This Row],[//]]))</f>
        <v>118</v>
      </c>
      <c r="W125" s="95">
        <f ca="1">IF(Table1[[#This Row],[h_id]]="","",COUNTIF(Table1[h_id],Table1[[#This Row],[h_id]]))</f>
        <v>13</v>
      </c>
      <c r="X125" s="93">
        <f>IF(Table1[Item Description]="","",Table1[[#This Row],[Qty]]*Table1[[#This Row],[Unit Price]])</f>
        <v>82500</v>
      </c>
      <c r="Y125" s="93">
        <f>IF(Table1[[#This Row],[h_hargasebelumdiskon]]="","",IF(Table1[[#This Row],[Disc 1]]="",0,Table1[[#This Row],[h_hargasebelumdiskon]]*Table1[[#This Row],[Disc 1]]))</f>
        <v>8250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8250</v>
      </c>
      <c r="AB125" s="93">
        <f>IF(Table1[Item Description]="","",Table1[[#This Row],[h_hargasebelumdiskon]]-Table1[[#This Row],[h_diskon]])</f>
        <v>74250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STIP / PENGHAPUS KENKO ERB-40SQ HITAMPAK27500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2</v>
      </c>
      <c r="K126" s="92" t="s">
        <v>120</v>
      </c>
      <c r="M126" s="92" t="s">
        <v>382</v>
      </c>
      <c r="N126" s="291" t="str">
        <f>IF(Table1[[#This Row],[h_Item Description]]="","",INDEX([1]!db[NB PAJAK],MATCH(Table1[[#This Row],[h_Item Description]],[1]!db[kode],0)))</f>
        <v>ISI CUTTER 9 MM KENKO A-100 (KECIL)</v>
      </c>
      <c r="O126" s="92" t="s">
        <v>391</v>
      </c>
      <c r="P126" s="93">
        <v>32400</v>
      </c>
      <c r="Q126" s="94">
        <v>0.1</v>
      </c>
      <c r="S126" s="294">
        <f>Table1[[#This Row],[h_hargasetelahdiskon]]</f>
        <v>58320</v>
      </c>
      <c r="V126" s="95">
        <f ca="1">IF(Table1[[#This Row],[Item Description]]="","",IF(Table1[[#This Row],[//]]="",INDIRECT(ADDRESS(ROW()-1,COLUMN())),Table1[[#This Row],[//]]))</f>
        <v>118</v>
      </c>
      <c r="W126" s="95">
        <f ca="1">IF(Table1[[#This Row],[h_id]]="","",COUNTIF(Table1[h_id],Table1[[#This Row],[h_id]]))</f>
        <v>13</v>
      </c>
      <c r="X126" s="93">
        <f>IF(Table1[Item Description]="","",Table1[[#This Row],[Qty]]*Table1[[#This Row],[Unit Price]])</f>
        <v>64800</v>
      </c>
      <c r="Y126" s="93">
        <f>IF(Table1[[#This Row],[h_hargasebelumdiskon]]="","",IF(Table1[[#This Row],[Disc 1]]="",0,Table1[[#This Row],[h_hargasebelumdiskon]]*Table1[[#This Row],[Disc 1]]))</f>
        <v>6480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6480</v>
      </c>
      <c r="AB126" s="93">
        <f>IF(Table1[Item Description]="","",Table1[[#This Row],[h_hargasebelumdiskon]]-Table1[[#This Row],[h_diskon]])</f>
        <v>58320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ISI CUTTER 9 MM KENKO A-100 (KECIL)LSN32400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2</v>
      </c>
      <c r="K127" s="92" t="s">
        <v>120</v>
      </c>
      <c r="M127" s="92" t="s">
        <v>132</v>
      </c>
      <c r="N127" s="291" t="str">
        <f>IF(Table1[[#This Row],[h_Item Description]]="","",INDEX([1]!db[NB PAJAK],MATCH(Table1[[#This Row],[h_Item Description]],[1]!db[kode],0)))</f>
        <v>ISI CUTTER 18 MM KENKO L-150 (BESAR)</v>
      </c>
      <c r="O127" s="92" t="s">
        <v>133</v>
      </c>
      <c r="P127" s="93">
        <v>64800</v>
      </c>
      <c r="Q127" s="94">
        <v>0.1</v>
      </c>
      <c r="S127" s="294">
        <f>Table1[[#This Row],[h_hargasetelahdiskon]]</f>
        <v>116640</v>
      </c>
      <c r="V127" s="95">
        <f ca="1">IF(Table1[[#This Row],[Item Description]]="","",IF(Table1[[#This Row],[//]]="",INDIRECT(ADDRESS(ROW()-1,COLUMN())),Table1[[#This Row],[//]]))</f>
        <v>118</v>
      </c>
      <c r="W127" s="95">
        <f ca="1">IF(Table1[[#This Row],[h_id]]="","",COUNTIF(Table1[h_id],Table1[[#This Row],[h_id]]))</f>
        <v>13</v>
      </c>
      <c r="X127" s="93">
        <f>IF(Table1[Item Description]="","",Table1[[#This Row],[Qty]]*Table1[[#This Row],[Unit Price]])</f>
        <v>129600</v>
      </c>
      <c r="Y127" s="93">
        <f>IF(Table1[[#This Row],[h_hargasebelumdiskon]]="","",IF(Table1[[#This Row],[Disc 1]]="",0,Table1[[#This Row],[h_hargasebelumdiskon]]*Table1[[#This Row],[Disc 1]]))</f>
        <v>12960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12960</v>
      </c>
      <c r="AB127" s="93">
        <f>IF(Table1[Item Description]="","",Table1[[#This Row],[h_hargasebelumdiskon]]-Table1[[#This Row],[h_diskon]])</f>
        <v>116640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ISI CUTTER 18 MM KENKO L-150 (BESAR)LSN64800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</v>
      </c>
      <c r="K128" s="92" t="s">
        <v>127</v>
      </c>
      <c r="M128" s="92" t="s">
        <v>383</v>
      </c>
      <c r="N128" s="291" t="str">
        <f>IF(Table1[[#This Row],[h_Item Description]]="","",INDEX([1]!db[NB PAJAK],MATCH(Table1[[#This Row],[h_Item Description]],[1]!db[kode],0)))</f>
        <v>BINDER CLIP KENKO NO. 105</v>
      </c>
      <c r="O128" s="92" t="s">
        <v>392</v>
      </c>
      <c r="P128" s="93">
        <v>28800</v>
      </c>
      <c r="Q128" s="94">
        <v>0.1</v>
      </c>
      <c r="S128" s="294">
        <f>Table1[[#This Row],[h_hargasetelahdiskon]]</f>
        <v>25920</v>
      </c>
      <c r="V128" s="95">
        <f ca="1">IF(Table1[[#This Row],[Item Description]]="","",IF(Table1[[#This Row],[//]]="",INDIRECT(ADDRESS(ROW()-1,COLUMN())),Table1[[#This Row],[//]]))</f>
        <v>118</v>
      </c>
      <c r="W128" s="95">
        <f ca="1">IF(Table1[[#This Row],[h_id]]="","",COUNTIF(Table1[h_id],Table1[[#This Row],[h_id]]))</f>
        <v>13</v>
      </c>
      <c r="X128" s="93">
        <f>IF(Table1[Item Description]="","",Table1[[#This Row],[Qty]]*Table1[[#This Row],[Unit Price]])</f>
        <v>28800</v>
      </c>
      <c r="Y128" s="93">
        <f>IF(Table1[[#This Row],[h_hargasebelumdiskon]]="","",IF(Table1[[#This Row],[Disc 1]]="",0,Table1[[#This Row],[h_hargasebelumdiskon]]*Table1[[#This Row],[Disc 1]]))</f>
        <v>2880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2880</v>
      </c>
      <c r="AB128" s="93">
        <f>IF(Table1[Item Description]="","",Table1[[#This Row],[h_hargasebelumdiskon]]-Table1[[#This Row],[h_diskon]])</f>
        <v>25920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BINDER CLIP KENKO NO. 105GRS28800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1</v>
      </c>
      <c r="K129" s="92" t="s">
        <v>127</v>
      </c>
      <c r="M129" s="92" t="s">
        <v>384</v>
      </c>
      <c r="N129" s="291" t="str">
        <f>IF(Table1[[#This Row],[h_Item Description]]="","",INDEX([1]!db[NB PAJAK],MATCH(Table1[[#This Row],[h_Item Description]],[1]!db[kode],0)))</f>
        <v>BINDER CLIP KENKO NO. 111</v>
      </c>
      <c r="O129" s="92" t="s">
        <v>393</v>
      </c>
      <c r="P129" s="93">
        <v>49200</v>
      </c>
      <c r="Q129" s="94">
        <v>0.1</v>
      </c>
      <c r="S129" s="294">
        <f>Table1[[#This Row],[h_hargasetelahdiskon]]</f>
        <v>44280</v>
      </c>
      <c r="V129" s="95">
        <f ca="1">IF(Table1[[#This Row],[Item Description]]="","",IF(Table1[[#This Row],[//]]="",INDIRECT(ADDRESS(ROW()-1,COLUMN())),Table1[[#This Row],[//]]))</f>
        <v>118</v>
      </c>
      <c r="W129" s="95">
        <f ca="1">IF(Table1[[#This Row],[h_id]]="","",COUNTIF(Table1[h_id],Table1[[#This Row],[h_id]]))</f>
        <v>13</v>
      </c>
      <c r="X129" s="93">
        <f>IF(Table1[Item Description]="","",Table1[[#This Row],[Qty]]*Table1[[#This Row],[Unit Price]])</f>
        <v>49200</v>
      </c>
      <c r="Y129" s="93">
        <f>IF(Table1[[#This Row],[h_hargasebelumdiskon]]="","",IF(Table1[[#This Row],[Disc 1]]="",0,Table1[[#This Row],[h_hargasebelumdiskon]]*Table1[[#This Row],[Disc 1]]))</f>
        <v>4920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4920</v>
      </c>
      <c r="AB129" s="93">
        <f>IF(Table1[Item Description]="","",Table1[[#This Row],[h_hargasebelumdiskon]]-Table1[[#This Row],[h_diskon]])</f>
        <v>44280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BINDER CLIP KENKO NO. 111GRS49200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</v>
      </c>
      <c r="K130" s="92" t="s">
        <v>120</v>
      </c>
      <c r="M130" s="92" t="s">
        <v>121</v>
      </c>
      <c r="N130" s="291" t="str">
        <f>IF(Table1[[#This Row],[h_Item Description]]="","",INDEX([1]!db[NB PAJAK],MATCH(Table1[[#This Row],[h_Item Description]],[1]!db[kode],0)))</f>
        <v>STAPLER KENKO HD-10</v>
      </c>
      <c r="O130" s="92" t="s">
        <v>122</v>
      </c>
      <c r="P130" s="93">
        <v>93000</v>
      </c>
      <c r="Q130" s="94">
        <v>0.1</v>
      </c>
      <c r="S130" s="294">
        <f>Table1[[#This Row],[h_hargasetelahdiskon]]</f>
        <v>83700</v>
      </c>
      <c r="V130" s="95">
        <f ca="1">IF(Table1[[#This Row],[Item Description]]="","",IF(Table1[[#This Row],[//]]="",INDIRECT(ADDRESS(ROW()-1,COLUMN())),Table1[[#This Row],[//]]))</f>
        <v>118</v>
      </c>
      <c r="W130" s="95">
        <f ca="1">IF(Table1[[#This Row],[h_id]]="","",COUNTIF(Table1[h_id],Table1[[#This Row],[h_id]]))</f>
        <v>13</v>
      </c>
      <c r="X130" s="93">
        <f>IF(Table1[Item Description]="","",Table1[[#This Row],[Qty]]*Table1[[#This Row],[Unit Price]])</f>
        <v>93000</v>
      </c>
      <c r="Y130" s="93">
        <f>IF(Table1[[#This Row],[h_hargasebelumdiskon]]="","",IF(Table1[[#This Row],[Disc 1]]="",0,Table1[[#This Row],[h_hargasebelumdiskon]]*Table1[[#This Row],[Disc 1]]))</f>
        <v>9300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9300</v>
      </c>
      <c r="AB130" s="93">
        <f>IF(Table1[Item Description]="","",Table1[[#This Row],[h_hargasebelumdiskon]]-Table1[[#This Row],[h_diskon]])</f>
        <v>83700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STAPLER KENKO HD-10LSN93000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>
        <f>IF(Table1[[#This Row],[No. Invoice :]]="","",ROW())</f>
        <v>132</v>
      </c>
      <c r="B132" s="291">
        <f>IF(Table1[h_Kode Sales :_1]="","",B$1+COUNT(B$2:B131))</f>
        <v>23030034</v>
      </c>
      <c r="C132" s="98">
        <v>45014</v>
      </c>
      <c r="D132" s="92" t="s">
        <v>118</v>
      </c>
      <c r="E132" s="97" t="s">
        <v>408</v>
      </c>
      <c r="F132" s="92" t="s">
        <v>88</v>
      </c>
      <c r="G132" s="95" t="str">
        <f>IF(Table1[[#This Row],[h_No. Invoice :]]="","",CONCATENATE("AM"," ",Table1[[#This Row],[h_No. Invoice :]]))</f>
        <v>AM 23030034</v>
      </c>
      <c r="H132" s="96" t="str">
        <f>CONCATENATE(UPPER(Table1[[#This Row],[h_Kode Sales :_1]])," ",Table1[[#This Row],[h_Kode Sales :_2]])</f>
        <v>KO 1364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36</v>
      </c>
      <c r="K132" s="92" t="s">
        <v>120</v>
      </c>
      <c r="L132" s="92">
        <v>3</v>
      </c>
      <c r="M132" s="92" t="s">
        <v>166</v>
      </c>
      <c r="N132" s="291" t="str">
        <f>IF(Table1[[#This Row],[h_Item Description]]="","",INDEX([1]!db[NB PAJAK],MATCH(Table1[[#This Row],[h_Item Description]],[1]!db[kode],0)))</f>
        <v>PENSIL WARNA JOYKO CP-12PB (PANJANG)</v>
      </c>
      <c r="O132" s="92" t="s">
        <v>167</v>
      </c>
      <c r="P132" s="93">
        <v>127200</v>
      </c>
      <c r="Q132" s="94">
        <v>0.13500000000000001</v>
      </c>
      <c r="S132" s="294">
        <f>Table1[[#This Row],[h_hargasetelahdiskon]]</f>
        <v>3961008</v>
      </c>
      <c r="T132" s="93" t="s">
        <v>123</v>
      </c>
      <c r="V132" s="95">
        <f ca="1">IF(Table1[[#This Row],[Item Description]]="","",IF(Table1[[#This Row],[//]]="",INDIRECT(ADDRESS(ROW()-1,COLUMN())),Table1[[#This Row],[//]]))</f>
        <v>132</v>
      </c>
      <c r="W132" s="95">
        <f ca="1">IF(Table1[[#This Row],[h_id]]="","",COUNTIF(Table1[h_id],Table1[[#This Row],[h_id]]))</f>
        <v>1</v>
      </c>
      <c r="X132" s="93">
        <f>IF(Table1[Item Description]="","",Table1[[#This Row],[Qty]]*Table1[[#This Row],[Unit Price]])</f>
        <v>4579200</v>
      </c>
      <c r="Y132" s="93">
        <f>IF(Table1[[#This Row],[h_hargasebelumdiskon]]="","",IF(Table1[[#This Row],[Disc 1]]="",0,Table1[[#This Row],[h_hargasebelumdiskon]]*Table1[[#This Row],[Disc 1]]))</f>
        <v>618192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618192</v>
      </c>
      <c r="AB132" s="93">
        <f>IF(Table1[Item Description]="","",Table1[[#This Row],[h_hargasebelumdiskon]]-Table1[[#This Row],[h_diskon]])</f>
        <v>3961008</v>
      </c>
      <c r="AC132" s="93">
        <f ca="1">IF(Table1[//]="","",SUMIF(Table1[h_id],Table1[h_id],Table1[h_hargasetelahdiskon]))</f>
        <v>3961008</v>
      </c>
      <c r="AD132" s="93"/>
      <c r="AE132" s="93" t="str">
        <f>Table1[[#This Row],[Item Description]]&amp;Table1[[#This Row],[Unit]]&amp;Table1[[#This Row],[Unit Price]]</f>
        <v>PENSIL WARNA JOYKO CP-12PB (PANJANG)LSN127200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23030035</v>
      </c>
      <c r="C134" s="98">
        <v>45015</v>
      </c>
      <c r="D134" s="92" t="s">
        <v>118</v>
      </c>
      <c r="E134" s="97" t="s">
        <v>410</v>
      </c>
      <c r="F134" s="92" t="s">
        <v>91</v>
      </c>
      <c r="G134" s="95" t="str">
        <f>IF(Table1[[#This Row],[h_No. Invoice :]]="","",CONCATENATE("AM"," ",Table1[[#This Row],[h_No. Invoice :]]))</f>
        <v>AM 23030035</v>
      </c>
      <c r="H134" s="96" t="str">
        <f>CONCATENATE(UPPER(Table1[[#This Row],[h_Kode Sales :_1]])," ",Table1[[#This Row],[h_Kode Sales :_2]])</f>
        <v>KO 1371</v>
      </c>
      <c r="I134" s="95" t="str">
        <f>IF(Table1[[#This Row],[h_toko]]="","",INDEX(Table2[e],IF(Table1[[#This Row],[h_toko]]="","",MATCH(Table1[[#This Row],[h_toko]],Table2[a],0)),))</f>
        <v>SANTOSO BUDIONO (  ARMADA  ) PURWOKERTO</v>
      </c>
      <c r="J134" s="92">
        <v>144</v>
      </c>
      <c r="K134" s="92" t="s">
        <v>120</v>
      </c>
      <c r="L134" s="92">
        <v>1</v>
      </c>
      <c r="M134" s="92" t="s">
        <v>273</v>
      </c>
      <c r="N134" s="291" t="str">
        <f>IF(Table1[[#This Row],[h_Item Description]]="","",INDEX([1]!db[NB PAJAK],MATCH(Table1[[#This Row],[h_Item Description]],[1]!db[kode],0)))</f>
        <v>GEL PEN KENKO HI-TECH-H 0.28 MM HITAM</v>
      </c>
      <c r="O134" s="92" t="s">
        <v>277</v>
      </c>
      <c r="P134" s="93">
        <v>39000</v>
      </c>
      <c r="Q134" s="94">
        <v>0.13500000000000001</v>
      </c>
      <c r="S134" s="294">
        <f>Table1[[#This Row],[h_hargasetelahdiskon]]</f>
        <v>4857840</v>
      </c>
      <c r="T134" s="93" t="s">
        <v>123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5616000</v>
      </c>
      <c r="Y134" s="93">
        <f>IF(Table1[[#This Row],[h_hargasebelumdiskon]]="","",IF(Table1[[#This Row],[Disc 1]]="",0,Table1[[#This Row],[h_hargasebelumdiskon]]*Table1[[#This Row],[Disc 1]]))</f>
        <v>758160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758160</v>
      </c>
      <c r="AB134" s="93">
        <f>IF(Table1[Item Description]="","",Table1[[#This Row],[h_hargasebelumdiskon]]-Table1[[#This Row],[h_diskon]])</f>
        <v>4857840</v>
      </c>
      <c r="AC134" s="93">
        <f ca="1">IF(Table1[//]="","",SUMIF(Table1[h_id],Table1[h_id],Table1[h_hargasetelahdiskon]))</f>
        <v>4857840</v>
      </c>
      <c r="AD134" s="93"/>
      <c r="AE134" s="93" t="str">
        <f>Table1[[#This Row],[Item Description]]&amp;Table1[[#This Row],[Unit]]&amp;Table1[[#This Row],[Unit Price]]</f>
        <v>GEL PEN KENKO HI-TECH-H 0.28 MM HITAMLSN39000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23030036</v>
      </c>
      <c r="C136" s="98">
        <v>45015</v>
      </c>
      <c r="D136" s="92" t="s">
        <v>118</v>
      </c>
      <c r="E136" s="97" t="s">
        <v>412</v>
      </c>
      <c r="F136" s="92" t="s">
        <v>88</v>
      </c>
      <c r="G136" s="95" t="str">
        <f>IF(Table1[[#This Row],[h_No. Invoice :]]="","",CONCATENATE("AM"," ",Table1[[#This Row],[h_No. Invoice :]]))</f>
        <v>AM 23030036</v>
      </c>
      <c r="H136" s="96" t="str">
        <f>CONCATENATE(UPPER(Table1[[#This Row],[h_Kode Sales :_1]])," ",Table1[[#This Row],[h_Kode Sales :_2]])</f>
        <v>KO 1370</v>
      </c>
      <c r="I136" s="95" t="str">
        <f>IF(Table1[[#This Row],[h_toko]]="","",INDEX(Table2[e],IF(Table1[[#This Row],[h_toko]]="","",MATCH(Table1[[#This Row],[h_toko]],Table2[a],0)),))</f>
        <v>CV PELITA JAYA (ANUGERAH SEJAHTERA) PURWOKERTO</v>
      </c>
      <c r="J136" s="92">
        <v>720</v>
      </c>
      <c r="K136" s="92" t="s">
        <v>120</v>
      </c>
      <c r="L136" s="92">
        <v>5</v>
      </c>
      <c r="M136" s="92" t="s">
        <v>273</v>
      </c>
      <c r="N136" s="291" t="str">
        <f>IF(Table1[[#This Row],[h_Item Description]]="","",INDEX([1]!db[NB PAJAK],MATCH(Table1[[#This Row],[h_Item Description]],[1]!db[kode],0)))</f>
        <v>GEL PEN KENKO HI-TECH-H 0.28 MM HITAM</v>
      </c>
      <c r="O136" s="92" t="s">
        <v>277</v>
      </c>
      <c r="P136" s="93">
        <v>39000</v>
      </c>
      <c r="Q136" s="94">
        <v>0.13500000000000001</v>
      </c>
      <c r="S136" s="294">
        <f>Table1[[#This Row],[h_hargasetelahdiskon]]</f>
        <v>24289200</v>
      </c>
      <c r="T136" s="93" t="s">
        <v>123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5</v>
      </c>
      <c r="X136" s="93">
        <f>IF(Table1[Item Description]="","",Table1[[#This Row],[Qty]]*Table1[[#This Row],[Unit Price]])</f>
        <v>28080000</v>
      </c>
      <c r="Y136" s="93">
        <f>IF(Table1[[#This Row],[h_hargasebelumdiskon]]="","",IF(Table1[[#This Row],[Disc 1]]="",0,Table1[[#This Row],[h_hargasebelumdiskon]]*Table1[[#This Row],[Disc 1]]))</f>
        <v>3790800.0000000005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3790800.0000000005</v>
      </c>
      <c r="AB136" s="93">
        <f>IF(Table1[Item Description]="","",Table1[[#This Row],[h_hargasebelumdiskon]]-Table1[[#This Row],[h_diskon]])</f>
        <v>24289200</v>
      </c>
      <c r="AC136" s="93">
        <f ca="1">IF(Table1[//]="","",SUMIF(Table1[h_id],Table1[h_id],Table1[h_hargasetelahdiskon]))</f>
        <v>35246328</v>
      </c>
      <c r="AD136" s="93"/>
      <c r="AE136" s="93" t="str">
        <f>Table1[[#This Row],[Item Description]]&amp;Table1[[#This Row],[Unit]]&amp;Table1[[#This Row],[Unit Price]]</f>
        <v>GEL PEN KENKO HI-TECH-H 0.28 MM HITAMLSN39000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144</v>
      </c>
      <c r="K137" s="92" t="s">
        <v>120</v>
      </c>
      <c r="L137" s="92">
        <v>2</v>
      </c>
      <c r="M137" s="92" t="s">
        <v>274</v>
      </c>
      <c r="N137" s="291" t="str">
        <f>IF(Table1[[#This Row],[h_Item Description]]="","",INDEX([1]!db[NB PAJAK],MATCH(Table1[[#This Row],[h_Item Description]],[1]!db[kode],0)))</f>
        <v>CORRECTION FLUID KENKO KE-01</v>
      </c>
      <c r="O137" s="92" t="s">
        <v>278</v>
      </c>
      <c r="P137" s="93">
        <v>54300</v>
      </c>
      <c r="Q137" s="94">
        <v>0.13500000000000001</v>
      </c>
      <c r="S137" s="294">
        <f>Table1[[#This Row],[h_hargasetelahdiskon]]</f>
        <v>6763608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5</v>
      </c>
      <c r="X137" s="93">
        <f>IF(Table1[Item Description]="","",Table1[[#This Row],[Qty]]*Table1[[#This Row],[Unit Price]])</f>
        <v>7819200</v>
      </c>
      <c r="Y137" s="93">
        <f>IF(Table1[[#This Row],[h_hargasebelumdiskon]]="","",IF(Table1[[#This Row],[Disc 1]]="",0,Table1[[#This Row],[h_hargasebelumdiskon]]*Table1[[#This Row],[Disc 1]]))</f>
        <v>1055592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1055592</v>
      </c>
      <c r="AB137" s="93">
        <f>IF(Table1[Item Description]="","",Table1[[#This Row],[h_hargasebelumdiskon]]-Table1[[#This Row],[h_diskon]])</f>
        <v>6763608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CORRECTION FLUID KENKO KE-01LSN54300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24</v>
      </c>
      <c r="K138" s="92" t="s">
        <v>125</v>
      </c>
      <c r="L138" s="92">
        <v>1</v>
      </c>
      <c r="M138" s="92" t="s">
        <v>413</v>
      </c>
      <c r="N138" s="291" t="str">
        <f>IF(Table1[[#This Row],[h_Item Description]]="","",INDEX([1]!db[NB PAJAK],MATCH(Table1[[#This Row],[h_Item Description]],[1]!db[kode],0)))</f>
        <v>PUNCH KENKO NO. 85XL</v>
      </c>
      <c r="O138" s="92" t="s">
        <v>416</v>
      </c>
      <c r="P138" s="93">
        <v>59000</v>
      </c>
      <c r="Q138" s="94">
        <v>0.13500000000000001</v>
      </c>
      <c r="S138" s="294">
        <f>Table1[[#This Row],[h_hargasetelahdiskon]]</f>
        <v>1224840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5</v>
      </c>
      <c r="X138" s="93">
        <f>IF(Table1[Item Description]="","",Table1[[#This Row],[Qty]]*Table1[[#This Row],[Unit Price]])</f>
        <v>1416000</v>
      </c>
      <c r="Y138" s="93">
        <f>IF(Table1[[#This Row],[h_hargasebelumdiskon]]="","",IF(Table1[[#This Row],[Disc 1]]="",0,Table1[[#This Row],[h_hargasebelumdiskon]]*Table1[[#This Row],[Disc 1]]))</f>
        <v>191160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191160</v>
      </c>
      <c r="AB138" s="93">
        <f>IF(Table1[Item Description]="","",Table1[[#This Row],[h_hargasebelumdiskon]]-Table1[[#This Row],[h_diskon]])</f>
        <v>1224840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PUNCH KENKO NO. 85XLPCS59000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J139" s="92">
        <v>200</v>
      </c>
      <c r="K139" s="92" t="s">
        <v>414</v>
      </c>
      <c r="L139" s="92">
        <v>1</v>
      </c>
      <c r="M139" s="92" t="s">
        <v>415</v>
      </c>
      <c r="N139" s="291" t="str">
        <f>IF(Table1[[#This Row],[h_Item Description]]="","",INDEX([1]!db[NB PAJAK],MATCH(Table1[[#This Row],[h_Item Description]],[1]!db[kode],0)))</f>
        <v>ISI STAPLER (STAPLES) KENKO 1210 PREMIUM (23/10)</v>
      </c>
      <c r="O139" s="92" t="s">
        <v>417</v>
      </c>
      <c r="P139" s="93">
        <v>4200</v>
      </c>
      <c r="Q139" s="94">
        <v>0.13500000000000001</v>
      </c>
      <c r="S139" s="294">
        <f>Table1[[#This Row],[h_hargasetelahdiskon]]</f>
        <v>726600</v>
      </c>
      <c r="V139" s="95">
        <f ca="1">IF(Table1[[#This Row],[Item Description]]="","",IF(Table1[[#This Row],[//]]="",INDIRECT(ADDRESS(ROW()-1,COLUMN())),Table1[[#This Row],[//]]))</f>
        <v>136</v>
      </c>
      <c r="W139" s="95">
        <f ca="1">IF(Table1[[#This Row],[h_id]]="","",COUNTIF(Table1[h_id],Table1[[#This Row],[h_id]]))</f>
        <v>5</v>
      </c>
      <c r="X139" s="93">
        <f>IF(Table1[Item Description]="","",Table1[[#This Row],[Qty]]*Table1[[#This Row],[Unit Price]])</f>
        <v>840000</v>
      </c>
      <c r="Y139" s="93">
        <f>IF(Table1[[#This Row],[h_hargasebelumdiskon]]="","",IF(Table1[[#This Row],[Disc 1]]="",0,Table1[[#This Row],[h_hargasebelumdiskon]]*Table1[[#This Row],[Disc 1]]))</f>
        <v>113400.00000000001</v>
      </c>
      <c r="Z139" s="93">
        <f>IF(Table1[[#This Row],[h_hargasebelumdiskon]]="","",IF(Table1[[#This Row],[Disc 2]]="",0,(Table1[[#This Row],[h_hargasebelumdiskon]]-Table1[[#This Row],[h_disc 1]])*Table1[[#This Row],[Disc 2]]))</f>
        <v>0</v>
      </c>
      <c r="AA139" s="93">
        <f>IF(Table1[Item Description]="","",Table1[[#This Row],[h_disc 1]]+Table1[[#This Row],[h_disc 2]])</f>
        <v>113400.00000000001</v>
      </c>
      <c r="AB139" s="93">
        <f>IF(Table1[Item Description]="","",Table1[[#This Row],[h_hargasebelumdiskon]]-Table1[[#This Row],[h_diskon]])</f>
        <v>726600</v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>ISI STAPLER (STAPLES) KENKO 1210 PREMIUM (23/10)BOX 4200</v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36</v>
      </c>
      <c r="K140" s="92" t="s">
        <v>146</v>
      </c>
      <c r="L140" s="92">
        <v>1</v>
      </c>
      <c r="M140" s="92" t="s">
        <v>148</v>
      </c>
      <c r="N140" s="291" t="str">
        <f>IF(Table1[[#This Row],[h_Item Description]]="","",INDEX([1]!db[NB PAJAK],MATCH(Table1[[#This Row],[h_Item Description]],[1]!db[kode],0)))</f>
        <v>LEM STICK KENKO 15 GR (TANGGUNG) isi 20 pc</v>
      </c>
      <c r="O140" s="92" t="s">
        <v>150</v>
      </c>
      <c r="P140" s="93">
        <v>72000</v>
      </c>
      <c r="Q140" s="94">
        <v>0.13500000000000001</v>
      </c>
      <c r="S140" s="294">
        <f>Table1[[#This Row],[h_hargasetelahdiskon]]</f>
        <v>2242080</v>
      </c>
      <c r="V140" s="95">
        <f ca="1">IF(Table1[[#This Row],[Item Description]]="","",IF(Table1[[#This Row],[//]]="",INDIRECT(ADDRESS(ROW()-1,COLUMN())),Table1[[#This Row],[//]]))</f>
        <v>136</v>
      </c>
      <c r="W140" s="95">
        <f ca="1">IF(Table1[[#This Row],[h_id]]="","",COUNTIF(Table1[h_id],Table1[[#This Row],[h_id]]))</f>
        <v>5</v>
      </c>
      <c r="X140" s="93">
        <f>IF(Table1[Item Description]="","",Table1[[#This Row],[Qty]]*Table1[[#This Row],[Unit Price]])</f>
        <v>2592000</v>
      </c>
      <c r="Y140" s="93">
        <f>IF(Table1[[#This Row],[h_hargasebelumdiskon]]="","",IF(Table1[[#This Row],[Disc 1]]="",0,Table1[[#This Row],[h_hargasebelumdiskon]]*Table1[[#This Row],[Disc 1]]))</f>
        <v>349920</v>
      </c>
      <c r="Z140" s="93">
        <f>IF(Table1[[#This Row],[h_hargasebelumdiskon]]="","",IF(Table1[[#This Row],[Disc 2]]="",0,(Table1[[#This Row],[h_hargasebelumdiskon]]-Table1[[#This Row],[h_disc 1]])*Table1[[#This Row],[Disc 2]]))</f>
        <v>0</v>
      </c>
      <c r="AA140" s="93">
        <f>IF(Table1[Item Description]="","",Table1[[#This Row],[h_disc 1]]+Table1[[#This Row],[h_disc 2]])</f>
        <v>349920</v>
      </c>
      <c r="AB140" s="93">
        <f>IF(Table1[Item Description]="","",Table1[[#This Row],[h_hargasebelumdiskon]]-Table1[[#This Row],[h_diskon]])</f>
        <v>2242080</v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>LEM STICK KENKO 15 GR (TANGGUNG) isi 20 pcBOX72000</v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>
        <f>IF(Table1[[#This Row],[No. Invoice :]]="","",ROW())</f>
        <v>142</v>
      </c>
      <c r="B142" s="291">
        <f>IF(Table1[h_Kode Sales :_1]="","",B$1+COUNT(B$2:B141))</f>
        <v>23030037</v>
      </c>
      <c r="C142" s="98">
        <v>45015</v>
      </c>
      <c r="D142" s="92" t="s">
        <v>118</v>
      </c>
      <c r="E142" s="97" t="s">
        <v>420</v>
      </c>
      <c r="F142" s="92" t="s">
        <v>95</v>
      </c>
      <c r="G142" s="95" t="str">
        <f>IF(Table1[[#This Row],[h_No. Invoice :]]="","",CONCATENATE("AM"," ",Table1[[#This Row],[h_No. Invoice :]]))</f>
        <v>AM 23030037</v>
      </c>
      <c r="H142" s="96" t="str">
        <f>CONCATENATE(UPPER(Table1[[#This Row],[h_Kode Sales :_1]])," ",Table1[[#This Row],[h_Kode Sales :_2]])</f>
        <v>KO 1249</v>
      </c>
      <c r="I142" s="95" t="str">
        <f>IF(Table1[[#This Row],[h_toko]]="","",INDEX(Table2[e],IF(Table1[[#This Row],[h_toko]]="","",MATCH(Table1[[#This Row],[h_toko]],Table2[a],0)),))</f>
        <v>CV  WISUDA PURWOKERTO</v>
      </c>
      <c r="J142" s="92">
        <v>10</v>
      </c>
      <c r="K142" s="92" t="s">
        <v>120</v>
      </c>
      <c r="M142" s="92" t="s">
        <v>274</v>
      </c>
      <c r="N142" s="291" t="str">
        <f>IF(Table1[[#This Row],[h_Item Description]]="","",INDEX([1]!db[NB PAJAK],MATCH(Table1[[#This Row],[h_Item Description]],[1]!db[kode],0)))</f>
        <v>CORRECTION FLUID KENKO KE-01</v>
      </c>
      <c r="O142" s="92" t="s">
        <v>278</v>
      </c>
      <c r="P142" s="93">
        <v>54300</v>
      </c>
      <c r="Q142" s="94">
        <v>0.1</v>
      </c>
      <c r="S142" s="294">
        <f>Table1[[#This Row],[h_hargasetelahdiskon]]</f>
        <v>488700</v>
      </c>
      <c r="T142" s="93" t="s">
        <v>123</v>
      </c>
      <c r="V142" s="95">
        <f ca="1">IF(Table1[[#This Row],[Item Description]]="","",IF(Table1[[#This Row],[//]]="",INDIRECT(ADDRESS(ROW()-1,COLUMN())),Table1[[#This Row],[//]]))</f>
        <v>142</v>
      </c>
      <c r="W142" s="95">
        <f ca="1">IF(Table1[[#This Row],[h_id]]="","",COUNTIF(Table1[h_id],Table1[[#This Row],[h_id]]))</f>
        <v>4</v>
      </c>
      <c r="X142" s="93">
        <f>IF(Table1[Item Description]="","",Table1[[#This Row],[Qty]]*Table1[[#This Row],[Unit Price]])</f>
        <v>543000</v>
      </c>
      <c r="Y142" s="93">
        <f>IF(Table1[[#This Row],[h_hargasebelumdiskon]]="","",IF(Table1[[#This Row],[Disc 1]]="",0,Table1[[#This Row],[h_hargasebelumdiskon]]*Table1[[#This Row],[Disc 1]]))</f>
        <v>54300</v>
      </c>
      <c r="Z142" s="93">
        <f>IF(Table1[[#This Row],[h_hargasebelumdiskon]]="","",IF(Table1[[#This Row],[Disc 2]]="",0,(Table1[[#This Row],[h_hargasebelumdiskon]]-Table1[[#This Row],[h_disc 1]])*Table1[[#This Row],[Disc 2]]))</f>
        <v>0</v>
      </c>
      <c r="AA142" s="93">
        <f>IF(Table1[Item Description]="","",Table1[[#This Row],[h_disc 1]]+Table1[[#This Row],[h_disc 2]])</f>
        <v>54300</v>
      </c>
      <c r="AB142" s="93">
        <f>IF(Table1[Item Description]="","",Table1[[#This Row],[h_hargasebelumdiskon]]-Table1[[#This Row],[h_diskon]])</f>
        <v>488700</v>
      </c>
      <c r="AC142" s="93">
        <f ca="1">IF(Table1[//]="","",SUMIF(Table1[h_id],Table1[h_id],Table1[h_hargasetelahdiskon]))</f>
        <v>2138700</v>
      </c>
      <c r="AD142" s="93"/>
      <c r="AE142" s="93" t="str">
        <f>Table1[[#This Row],[Item Description]]&amp;Table1[[#This Row],[Unit]]&amp;Table1[[#This Row],[Unit Price]]</f>
        <v>CORRECTION FLUID KENKO KE-01LSN54300</v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J143" s="92">
        <v>12</v>
      </c>
      <c r="K143" s="92" t="s">
        <v>120</v>
      </c>
      <c r="M143" s="92" t="s">
        <v>206</v>
      </c>
      <c r="N143" s="291" t="s">
        <v>208</v>
      </c>
      <c r="O143" s="92" t="s">
        <v>208</v>
      </c>
      <c r="P143" s="93">
        <v>35000</v>
      </c>
      <c r="Q143" s="94"/>
      <c r="S143" s="294">
        <f>Table1[[#This Row],[h_hargasetelahdiskon]]</f>
        <v>420000</v>
      </c>
      <c r="V143" s="95">
        <f ca="1">IF(Table1[[#This Row],[Item Description]]="","",IF(Table1[[#This Row],[//]]="",INDIRECT(ADDRESS(ROW()-1,COLUMN())),Table1[[#This Row],[//]]))</f>
        <v>142</v>
      </c>
      <c r="W143" s="95">
        <f ca="1">IF(Table1[[#This Row],[h_id]]="","",COUNTIF(Table1[h_id],Table1[[#This Row],[h_id]]))</f>
        <v>4</v>
      </c>
      <c r="X143" s="93">
        <f>IF(Table1[Item Description]="","",Table1[[#This Row],[Qty]]*Table1[[#This Row],[Unit Price]])</f>
        <v>420000</v>
      </c>
      <c r="Y143" s="93">
        <f>IF(Table1[[#This Row],[h_hargasebelumdiskon]]="","",IF(Table1[[#This Row],[Disc 1]]="",0,Table1[[#This Row],[h_hargasebelumdiskon]]*Table1[[#This Row],[Disc 1]]))</f>
        <v>0</v>
      </c>
      <c r="Z143" s="93">
        <f>IF(Table1[[#This Row],[h_hargasebelumdiskon]]="","",IF(Table1[[#This Row],[Disc 2]]="",0,(Table1[[#This Row],[h_hargasebelumdiskon]]-Table1[[#This Row],[h_disc 1]])*Table1[[#This Row],[Disc 2]]))</f>
        <v>0</v>
      </c>
      <c r="AA143" s="93">
        <f>IF(Table1[Item Description]="","",Table1[[#This Row],[h_disc 1]]+Table1[[#This Row],[h_disc 2]])</f>
        <v>0</v>
      </c>
      <c r="AB143" s="93">
        <f>IF(Table1[Item Description]="","",Table1[[#This Row],[h_hargasebelumdiskon]]-Table1[[#This Row],[h_diskon]])</f>
        <v>420000</v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>GEL PEN TIZO 1.0 MM TG-340 HITAMLSN35000</v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J144" s="92">
        <v>12</v>
      </c>
      <c r="K144" s="92" t="s">
        <v>120</v>
      </c>
      <c r="M144" s="92" t="s">
        <v>295</v>
      </c>
      <c r="N144" s="291" t="str">
        <f>IF(Table1[[#This Row],[h_Item Description]]="","",INDEX([1]!db[NB PAJAK],MATCH(Table1[[#This Row],[h_Item Description]],[1]!db[kode],0)))</f>
        <v>GEL PEN TIZO 1.0 MM TG-340BI BIRU</v>
      </c>
      <c r="O144" s="92" t="s">
        <v>248</v>
      </c>
      <c r="P144" s="93">
        <v>35000</v>
      </c>
      <c r="Q144" s="94"/>
      <c r="S144" s="294">
        <f>Table1[[#This Row],[h_hargasetelahdiskon]]</f>
        <v>420000</v>
      </c>
      <c r="V144" s="95">
        <f ca="1">IF(Table1[[#This Row],[Item Description]]="","",IF(Table1[[#This Row],[//]]="",INDIRECT(ADDRESS(ROW()-1,COLUMN())),Table1[[#This Row],[//]]))</f>
        <v>142</v>
      </c>
      <c r="W144" s="95">
        <f ca="1">IF(Table1[[#This Row],[h_id]]="","",COUNTIF(Table1[h_id],Table1[[#This Row],[h_id]]))</f>
        <v>4</v>
      </c>
      <c r="X144" s="93">
        <f>IF(Table1[Item Description]="","",Table1[[#This Row],[Qty]]*Table1[[#This Row],[Unit Price]])</f>
        <v>420000</v>
      </c>
      <c r="Y144" s="93">
        <f>IF(Table1[[#This Row],[h_hargasebelumdiskon]]="","",IF(Table1[[#This Row],[Disc 1]]="",0,Table1[[#This Row],[h_hargasebelumdiskon]]*Table1[[#This Row],[Disc 1]]))</f>
        <v>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0</v>
      </c>
      <c r="AB144" s="93">
        <f>IF(Table1[Item Description]="","",Table1[[#This Row],[h_hargasebelumdiskon]]-Table1[[#This Row],[h_diskon]])</f>
        <v>420000</v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>GEL PEN TIZO 1.0 MM TG-340BI BIRULSN35000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5</v>
      </c>
      <c r="K145" s="92" t="s">
        <v>127</v>
      </c>
      <c r="L145" s="92">
        <v>1</v>
      </c>
      <c r="M145" s="92" t="s">
        <v>268</v>
      </c>
      <c r="N145" s="291" t="str">
        <f>IF(Table1[[#This Row],[h_Item Description]]="","",INDEX([1]!db[NB PAJAK],MATCH(Table1[[#This Row],[h_Item Description]],[1]!db[kode],0)))</f>
        <v>BINDER CLIP KENKO NO. 260</v>
      </c>
      <c r="O145" s="92" t="s">
        <v>269</v>
      </c>
      <c r="P145" s="93">
        <v>180000</v>
      </c>
      <c r="Q145" s="94">
        <v>0.1</v>
      </c>
      <c r="S145" s="294">
        <f>Table1[[#This Row],[h_hargasetelahdiskon]]</f>
        <v>810000</v>
      </c>
      <c r="V145" s="95">
        <f ca="1">IF(Table1[[#This Row],[Item Description]]="","",IF(Table1[[#This Row],[//]]="",INDIRECT(ADDRESS(ROW()-1,COLUMN())),Table1[[#This Row],[//]]))</f>
        <v>142</v>
      </c>
      <c r="W145" s="95">
        <f ca="1">IF(Table1[[#This Row],[h_id]]="","",COUNTIF(Table1[h_id],Table1[[#This Row],[h_id]]))</f>
        <v>4</v>
      </c>
      <c r="X145" s="93">
        <f>IF(Table1[Item Description]="","",Table1[[#This Row],[Qty]]*Table1[[#This Row],[Unit Price]])</f>
        <v>900000</v>
      </c>
      <c r="Y145" s="93">
        <f>IF(Table1[[#This Row],[h_hargasebelumdiskon]]="","",IF(Table1[[#This Row],[Disc 1]]="",0,Table1[[#This Row],[h_hargasebelumdiskon]]*Table1[[#This Row],[Disc 1]]))</f>
        <v>90000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90000</v>
      </c>
      <c r="AB145" s="93">
        <f>IF(Table1[Item Description]="","",Table1[[#This Row],[h_hargasebelumdiskon]]-Table1[[#This Row],[h_diskon]])</f>
        <v>810000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BINDER CLIP KENKO NO. 260GRS180000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>
        <f>IF(Table1[[#This Row],[No. Invoice :]]="","",ROW())</f>
        <v>147</v>
      </c>
      <c r="B147" s="291">
        <f>IF(Table1[h_Kode Sales :_1]="","",B$1+COUNT(B$2:B146))</f>
        <v>23030038</v>
      </c>
      <c r="C147" s="98">
        <v>45015</v>
      </c>
      <c r="D147" s="92" t="s">
        <v>118</v>
      </c>
      <c r="E147" s="97" t="s">
        <v>421</v>
      </c>
      <c r="F147" s="92" t="s">
        <v>88</v>
      </c>
      <c r="G147" s="95" t="str">
        <f>IF(Table1[[#This Row],[h_No. Invoice :]]="","",CONCATENATE("AM"," ",Table1[[#This Row],[h_No. Invoice :]]))</f>
        <v>AM 23030038</v>
      </c>
      <c r="H147" s="96" t="str">
        <f>CONCATENATE(UPPER(Table1[[#This Row],[h_Kode Sales :_1]])," ",Table1[[#This Row],[h_Kode Sales :_2]])</f>
        <v>KO 1376</v>
      </c>
      <c r="I147" s="95" t="str">
        <f>IF(Table1[[#This Row],[h_toko]]="","",INDEX(Table2[e],IF(Table1[[#This Row],[h_toko]]="","",MATCH(Table1[[#This Row],[h_toko]],Table2[a],0)),))</f>
        <v>CV PELITA JAYA (ANUGERAH SEJAHTERA) PURWOKERTO</v>
      </c>
      <c r="J147" s="92">
        <v>360</v>
      </c>
      <c r="K147" s="92" t="s">
        <v>120</v>
      </c>
      <c r="L147" s="92">
        <v>3</v>
      </c>
      <c r="M147" s="92" t="s">
        <v>382</v>
      </c>
      <c r="N147" s="291" t="str">
        <f>IF(Table1[[#This Row],[h_Item Description]]="","",INDEX([1]!db[NB PAJAK],MATCH(Table1[[#This Row],[h_Item Description]],[1]!db[kode],0)))</f>
        <v>ISI CUTTER 9 MM KENKO A-100 (KECIL)</v>
      </c>
      <c r="O147" s="92" t="s">
        <v>391</v>
      </c>
      <c r="P147" s="93">
        <v>32400</v>
      </c>
      <c r="Q147" s="94">
        <v>0.13500000000000001</v>
      </c>
      <c r="S147" s="294">
        <f>Table1[[#This Row],[h_hargasetelahdiskon]]</f>
        <v>10089360</v>
      </c>
      <c r="T147" s="93" t="s">
        <v>123</v>
      </c>
      <c r="V147" s="95">
        <f ca="1">IF(Table1[[#This Row],[Item Description]]="","",IF(Table1[[#This Row],[//]]="",INDIRECT(ADDRESS(ROW()-1,COLUMN())),Table1[[#This Row],[//]]))</f>
        <v>147</v>
      </c>
      <c r="W147" s="95">
        <f ca="1">IF(Table1[[#This Row],[h_id]]="","",COUNTIF(Table1[h_id],Table1[[#This Row],[h_id]]))</f>
        <v>1</v>
      </c>
      <c r="X147" s="93">
        <f>IF(Table1[Item Description]="","",Table1[[#This Row],[Qty]]*Table1[[#This Row],[Unit Price]])</f>
        <v>11664000</v>
      </c>
      <c r="Y147" s="93">
        <f>IF(Table1[[#This Row],[h_hargasebelumdiskon]]="","",IF(Table1[[#This Row],[Disc 1]]="",0,Table1[[#This Row],[h_hargasebelumdiskon]]*Table1[[#This Row],[Disc 1]]))</f>
        <v>1574640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1574640</v>
      </c>
      <c r="AB147" s="93">
        <f>IF(Table1[Item Description]="","",Table1[[#This Row],[h_hargasebelumdiskon]]-Table1[[#This Row],[h_diskon]])</f>
        <v>10089360</v>
      </c>
      <c r="AC147" s="93">
        <f ca="1">IF(Table1[//]="","",SUMIF(Table1[h_id],Table1[h_id],Table1[h_hargasetelahdiskon]))</f>
        <v>10089360</v>
      </c>
      <c r="AD147" s="93"/>
      <c r="AE147" s="93" t="str">
        <f>Table1[[#This Row],[Item Description]]&amp;Table1[[#This Row],[Unit]]&amp;Table1[[#This Row],[Unit Price]]</f>
        <v>ISI CUTTER 9 MM KENKO A-100 (KECIL)LSN32400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>
        <f>IF(Table1[[#This Row],[No. Invoice :]]="","",ROW())</f>
        <v>149</v>
      </c>
      <c r="B149" s="291">
        <f>IF(Table1[h_Kode Sales :_1]="","",B$1+COUNT(B$2:B148))</f>
        <v>23030039</v>
      </c>
      <c r="C149" s="98">
        <v>45015</v>
      </c>
      <c r="D149" s="92" t="s">
        <v>118</v>
      </c>
      <c r="E149" s="97" t="s">
        <v>422</v>
      </c>
      <c r="F149" s="92" t="s">
        <v>42</v>
      </c>
      <c r="G149" s="95" t="str">
        <f>IF(Table1[[#This Row],[h_No. Invoice :]]="","",CONCATENATE("AM"," ",Table1[[#This Row],[h_No. Invoice :]]))</f>
        <v>AM 23030039</v>
      </c>
      <c r="H149" s="96" t="str">
        <f>CONCATENATE(UPPER(Table1[[#This Row],[h_Kode Sales :_1]])," ",Table1[[#This Row],[h_Kode Sales :_2]])</f>
        <v>KO 1250</v>
      </c>
      <c r="I149" s="95" t="str">
        <f>IF(Table1[[#This Row],[h_toko]]="","",INDEX(Table2[e],IF(Table1[[#This Row],[h_toko]]="","",MATCH(Table1[[#This Row],[h_toko]],Table2[a],0)),))</f>
        <v>CV TRINITY CENTRAAL PURWOKERTO</v>
      </c>
      <c r="J149" s="92">
        <v>6</v>
      </c>
      <c r="K149" s="92" t="s">
        <v>120</v>
      </c>
      <c r="M149" s="92" t="s">
        <v>423</v>
      </c>
      <c r="N149" s="291" t="str">
        <f>IF(Table1[[#This Row],[h_Item Description]]="","",INDEX([1]!db[NB PAJAK],MATCH(Table1[[#This Row],[h_Item Description]],[1]!db[kode],0)))</f>
        <v>STAMP PLATE DATER KENKO S-68 (Cap Lunas)</v>
      </c>
      <c r="O149" s="92" t="s">
        <v>424</v>
      </c>
      <c r="P149" s="93">
        <v>99600</v>
      </c>
      <c r="Q149" s="94">
        <v>0.13</v>
      </c>
      <c r="S149" s="294">
        <f>Table1[[#This Row],[h_hargasetelahdiskon]]</f>
        <v>519912</v>
      </c>
      <c r="T149" s="93" t="s">
        <v>123</v>
      </c>
      <c r="V149" s="95">
        <f ca="1">IF(Table1[[#This Row],[Item Description]]="","",IF(Table1[[#This Row],[//]]="",INDIRECT(ADDRESS(ROW()-1,COLUMN())),Table1[[#This Row],[//]]))</f>
        <v>149</v>
      </c>
      <c r="W149" s="95">
        <f ca="1">IF(Table1[[#This Row],[h_id]]="","",COUNTIF(Table1[h_id],Table1[[#This Row],[h_id]]))</f>
        <v>1</v>
      </c>
      <c r="X149" s="93">
        <f>IF(Table1[Item Description]="","",Table1[[#This Row],[Qty]]*Table1[[#This Row],[Unit Price]])</f>
        <v>597600</v>
      </c>
      <c r="Y149" s="93">
        <f>IF(Table1[[#This Row],[h_hargasebelumdiskon]]="","",IF(Table1[[#This Row],[Disc 1]]="",0,Table1[[#This Row],[h_hargasebelumdiskon]]*Table1[[#This Row],[Disc 1]]))</f>
        <v>77688</v>
      </c>
      <c r="Z149" s="93">
        <f>IF(Table1[[#This Row],[h_hargasebelumdiskon]]="","",IF(Table1[[#This Row],[Disc 2]]="",0,(Table1[[#This Row],[h_hargasebelumdiskon]]-Table1[[#This Row],[h_disc 1]])*Table1[[#This Row],[Disc 2]]))</f>
        <v>0</v>
      </c>
      <c r="AA149" s="93">
        <f>IF(Table1[Item Description]="","",Table1[[#This Row],[h_disc 1]]+Table1[[#This Row],[h_disc 2]])</f>
        <v>77688</v>
      </c>
      <c r="AB149" s="93">
        <f>IF(Table1[Item Description]="","",Table1[[#This Row],[h_hargasebelumdiskon]]-Table1[[#This Row],[h_diskon]])</f>
        <v>519912</v>
      </c>
      <c r="AC149" s="93">
        <f ca="1">IF(Table1[//]="","",SUMIF(Table1[h_id],Table1[h_id],Table1[h_hargasetelahdiskon]))</f>
        <v>519912</v>
      </c>
      <c r="AD149" s="93"/>
      <c r="AE149" s="93" t="str">
        <f>Table1[[#This Row],[Item Description]]&amp;Table1[[#This Row],[Unit]]&amp;Table1[[#This Row],[Unit Price]]</f>
        <v>STAMP PLATE DATER KENKO S-68 (Cap Lunas)LSN99600</v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>
        <f>IF(Table1[[#This Row],[No. Invoice :]]="","",ROW())</f>
        <v>151</v>
      </c>
      <c r="B151" s="291">
        <f>IF(Table1[h_Kode Sales :_1]="","",B$1+COUNT(B$2:B150))</f>
        <v>23030040</v>
      </c>
      <c r="C151" s="98">
        <v>45016</v>
      </c>
      <c r="D151" s="92" t="s">
        <v>130</v>
      </c>
      <c r="E151" s="97" t="s">
        <v>427</v>
      </c>
      <c r="F151" s="92" t="s">
        <v>97</v>
      </c>
      <c r="G151" s="95" t="str">
        <f>IF(Table1[[#This Row],[h_No. Invoice :]]="","",CONCATENATE("AM"," ",Table1[[#This Row],[h_No. Invoice :]]))</f>
        <v>AM 23030040</v>
      </c>
      <c r="H151" s="96" t="str">
        <f>CONCATENATE(UPPER(Table1[[#This Row],[h_Kode Sales :_1]])," ",Table1[[#This Row],[h_Kode Sales :_2]])</f>
        <v>G 2916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120</v>
      </c>
      <c r="K151" s="92" t="s">
        <v>125</v>
      </c>
      <c r="L151" s="92">
        <v>1</v>
      </c>
      <c r="M151" s="92" t="s">
        <v>428</v>
      </c>
      <c r="N151" s="291" t="str">
        <f>IF(Table1[[#This Row],[h_Item Description]]="","",INDEX([1]!db[NB PAJAK],MATCH(Table1[[#This Row],[h_Item Description]],[1]!db[kode],0)))</f>
        <v>CALCULATOR JOYKO CC-15A</v>
      </c>
      <c r="O151" s="92" t="s">
        <v>431</v>
      </c>
      <c r="P151" s="93">
        <v>47000</v>
      </c>
      <c r="Q151" s="94">
        <v>0.125</v>
      </c>
      <c r="R151" s="94">
        <v>0.05</v>
      </c>
      <c r="S151" s="294">
        <f>Table1[[#This Row],[h_hargasetelahdiskon]]</f>
        <v>4688250</v>
      </c>
      <c r="T151" s="93" t="s">
        <v>123</v>
      </c>
      <c r="V151" s="95">
        <f ca="1">IF(Table1[[#This Row],[Item Description]]="","",IF(Table1[[#This Row],[//]]="",INDIRECT(ADDRESS(ROW()-1,COLUMN())),Table1[[#This Row],[//]]))</f>
        <v>151</v>
      </c>
      <c r="W151" s="95">
        <f ca="1">IF(Table1[[#This Row],[h_id]]="","",COUNTIF(Table1[h_id],Table1[[#This Row],[h_id]]))</f>
        <v>4</v>
      </c>
      <c r="X151" s="93">
        <f>IF(Table1[Item Description]="","",Table1[[#This Row],[Qty]]*Table1[[#This Row],[Unit Price]])</f>
        <v>5640000</v>
      </c>
      <c r="Y151" s="93">
        <f>IF(Table1[[#This Row],[h_hargasebelumdiskon]]="","",IF(Table1[[#This Row],[Disc 1]]="",0,Table1[[#This Row],[h_hargasebelumdiskon]]*Table1[[#This Row],[Disc 1]]))</f>
        <v>705000</v>
      </c>
      <c r="Z151" s="93">
        <f>IF(Table1[[#This Row],[h_hargasebelumdiskon]]="","",IF(Table1[[#This Row],[Disc 2]]="",0,(Table1[[#This Row],[h_hargasebelumdiskon]]-Table1[[#This Row],[h_disc 1]])*Table1[[#This Row],[Disc 2]]))</f>
        <v>246750</v>
      </c>
      <c r="AA151" s="93">
        <f>IF(Table1[Item Description]="","",Table1[[#This Row],[h_disc 1]]+Table1[[#This Row],[h_disc 2]])</f>
        <v>951750</v>
      </c>
      <c r="AB151" s="93">
        <f>IF(Table1[Item Description]="","",Table1[[#This Row],[h_hargasebelumdiskon]]-Table1[[#This Row],[h_diskon]])</f>
        <v>4688250</v>
      </c>
      <c r="AC151" s="93">
        <f ca="1">IF(Table1[//]="","",SUMIF(Table1[h_id],Table1[h_id],Table1[h_hargasetelahdiskon]))</f>
        <v>20498625</v>
      </c>
      <c r="AD151" s="93"/>
      <c r="AE151" s="93" t="str">
        <f>Table1[[#This Row],[Item Description]]&amp;Table1[[#This Row],[Unit]]&amp;Table1[[#This Row],[Unit Price]]</f>
        <v>CALCULATOR JOYKO CC-15APCS47000</v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J152" s="92">
        <v>120</v>
      </c>
      <c r="K152" s="92" t="s">
        <v>125</v>
      </c>
      <c r="L152" s="92">
        <v>1</v>
      </c>
      <c r="M152" s="92" t="s">
        <v>429</v>
      </c>
      <c r="N152" s="291" t="str">
        <f>IF(Table1[[#This Row],[h_Item Description]]="","",INDEX([1]!db[NB PAJAK],MATCH(Table1[[#This Row],[h_Item Description]],[1]!db[kode],0)))</f>
        <v>CALCULATOR JOYKO CC-8CO WARNA</v>
      </c>
      <c r="O152" s="92" t="s">
        <v>432</v>
      </c>
      <c r="P152" s="93">
        <v>46000</v>
      </c>
      <c r="Q152" s="94">
        <v>0.125</v>
      </c>
      <c r="R152" s="94">
        <v>0.05</v>
      </c>
      <c r="S152" s="294">
        <f>Table1[[#This Row],[h_hargasetelahdiskon]]</f>
        <v>4588500</v>
      </c>
      <c r="V152" s="95">
        <f ca="1">IF(Table1[[#This Row],[Item Description]]="","",IF(Table1[[#This Row],[//]]="",INDIRECT(ADDRESS(ROW()-1,COLUMN())),Table1[[#This Row],[//]]))</f>
        <v>151</v>
      </c>
      <c r="W152" s="95">
        <f ca="1">IF(Table1[[#This Row],[h_id]]="","",COUNTIF(Table1[h_id],Table1[[#This Row],[h_id]]))</f>
        <v>4</v>
      </c>
      <c r="X152" s="93">
        <f>IF(Table1[Item Description]="","",Table1[[#This Row],[Qty]]*Table1[[#This Row],[Unit Price]])</f>
        <v>5520000</v>
      </c>
      <c r="Y152" s="93">
        <f>IF(Table1[[#This Row],[h_hargasebelumdiskon]]="","",IF(Table1[[#This Row],[Disc 1]]="",0,Table1[[#This Row],[h_hargasebelumdiskon]]*Table1[[#This Row],[Disc 1]]))</f>
        <v>690000</v>
      </c>
      <c r="Z152" s="93">
        <f>IF(Table1[[#This Row],[h_hargasebelumdiskon]]="","",IF(Table1[[#This Row],[Disc 2]]="",0,(Table1[[#This Row],[h_hargasebelumdiskon]]-Table1[[#This Row],[h_disc 1]])*Table1[[#This Row],[Disc 2]]))</f>
        <v>241500</v>
      </c>
      <c r="AA152" s="93">
        <f>IF(Table1[Item Description]="","",Table1[[#This Row],[h_disc 1]]+Table1[[#This Row],[h_disc 2]])</f>
        <v>931500</v>
      </c>
      <c r="AB152" s="93">
        <f>IF(Table1[Item Description]="","",Table1[[#This Row],[h_hargasebelumdiskon]]-Table1[[#This Row],[h_diskon]])</f>
        <v>4588500</v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>CALCULATOR JOYKO CC-8CO WARNAPCS46000</v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J153" s="92">
        <v>120</v>
      </c>
      <c r="K153" s="92" t="s">
        <v>125</v>
      </c>
      <c r="L153" s="92">
        <v>1</v>
      </c>
      <c r="M153" s="92" t="s">
        <v>430</v>
      </c>
      <c r="N153" s="291" t="str">
        <f>IF(Table1[[#This Row],[h_Item Description]]="","",INDEX([1]!db[NB PAJAK],MATCH(Table1[[#This Row],[h_Item Description]],[1]!db[kode],0)))</f>
        <v>CALCULATOR JOYKO CC-47CO WARNA</v>
      </c>
      <c r="O153" s="92" t="s">
        <v>433</v>
      </c>
      <c r="P153" s="93">
        <v>32500</v>
      </c>
      <c r="Q153" s="94">
        <v>0.125</v>
      </c>
      <c r="R153" s="94">
        <v>0.05</v>
      </c>
      <c r="S153" s="294">
        <f>Table1[[#This Row],[h_hargasetelahdiskon]]</f>
        <v>3241875</v>
      </c>
      <c r="V153" s="95">
        <f ca="1">IF(Table1[[#This Row],[Item Description]]="","",IF(Table1[[#This Row],[//]]="",INDIRECT(ADDRESS(ROW()-1,COLUMN())),Table1[[#This Row],[//]]))</f>
        <v>151</v>
      </c>
      <c r="W153" s="95">
        <f ca="1">IF(Table1[[#This Row],[h_id]]="","",COUNTIF(Table1[h_id],Table1[[#This Row],[h_id]]))</f>
        <v>4</v>
      </c>
      <c r="X153" s="93">
        <f>IF(Table1[Item Description]="","",Table1[[#This Row],[Qty]]*Table1[[#This Row],[Unit Price]])</f>
        <v>3900000</v>
      </c>
      <c r="Y153" s="93">
        <f>IF(Table1[[#This Row],[h_hargasebelumdiskon]]="","",IF(Table1[[#This Row],[Disc 1]]="",0,Table1[[#This Row],[h_hargasebelumdiskon]]*Table1[[#This Row],[Disc 1]]))</f>
        <v>487500</v>
      </c>
      <c r="Z153" s="93">
        <f>IF(Table1[[#This Row],[h_hargasebelumdiskon]]="","",IF(Table1[[#This Row],[Disc 2]]="",0,(Table1[[#This Row],[h_hargasebelumdiskon]]-Table1[[#This Row],[h_disc 1]])*Table1[[#This Row],[Disc 2]]))</f>
        <v>170625</v>
      </c>
      <c r="AA153" s="93">
        <f>IF(Table1[Item Description]="","",Table1[[#This Row],[h_disc 1]]+Table1[[#This Row],[h_disc 2]])</f>
        <v>658125</v>
      </c>
      <c r="AB153" s="93">
        <f>IF(Table1[Item Description]="","",Table1[[#This Row],[h_hargasebelumdiskon]]-Table1[[#This Row],[h_diskon]])</f>
        <v>3241875</v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>CALCULATOR JOYKO CC-47CO WARNAPCS32500</v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240</v>
      </c>
      <c r="K154" s="92" t="s">
        <v>125</v>
      </c>
      <c r="L154" s="92">
        <v>2</v>
      </c>
      <c r="M154" s="92" t="s">
        <v>242</v>
      </c>
      <c r="N154" s="291" t="str">
        <f>IF(Table1[[#This Row],[h_Item Description]]="","",INDEX([1]!db[NB PAJAK],MATCH(Table1[[#This Row],[h_Item Description]],[1]!db[kode],0)))</f>
        <v>CALCULATOR JOYKO DTC-1313CH</v>
      </c>
      <c r="O154" s="92" t="s">
        <v>243</v>
      </c>
      <c r="P154" s="93">
        <v>40000</v>
      </c>
      <c r="Q154" s="94">
        <v>0.125</v>
      </c>
      <c r="R154" s="94">
        <v>0.05</v>
      </c>
      <c r="S154" s="294">
        <f>Table1[[#This Row],[h_hargasetelahdiskon]]</f>
        <v>7980000</v>
      </c>
      <c r="V154" s="95">
        <f ca="1">IF(Table1[[#This Row],[Item Description]]="","",IF(Table1[[#This Row],[//]]="",INDIRECT(ADDRESS(ROW()-1,COLUMN())),Table1[[#This Row],[//]]))</f>
        <v>151</v>
      </c>
      <c r="W154" s="95">
        <f ca="1">IF(Table1[[#This Row],[h_id]]="","",COUNTIF(Table1[h_id],Table1[[#This Row],[h_id]]))</f>
        <v>4</v>
      </c>
      <c r="X154" s="93">
        <f>IF(Table1[Item Description]="","",Table1[[#This Row],[Qty]]*Table1[[#This Row],[Unit Price]])</f>
        <v>9600000</v>
      </c>
      <c r="Y154" s="93">
        <f>IF(Table1[[#This Row],[h_hargasebelumdiskon]]="","",IF(Table1[[#This Row],[Disc 1]]="",0,Table1[[#This Row],[h_hargasebelumdiskon]]*Table1[[#This Row],[Disc 1]]))</f>
        <v>1200000</v>
      </c>
      <c r="Z154" s="93">
        <f>IF(Table1[[#This Row],[h_hargasebelumdiskon]]="","",IF(Table1[[#This Row],[Disc 2]]="",0,(Table1[[#This Row],[h_hargasebelumdiskon]]-Table1[[#This Row],[h_disc 1]])*Table1[[#This Row],[Disc 2]]))</f>
        <v>420000</v>
      </c>
      <c r="AA154" s="93">
        <f>IF(Table1[Item Description]="","",Table1[[#This Row],[h_disc 1]]+Table1[[#This Row],[h_disc 2]])</f>
        <v>1620000</v>
      </c>
      <c r="AB154" s="93">
        <f>IF(Table1[Item Description]="","",Table1[[#This Row],[h_hargasebelumdiskon]]-Table1[[#This Row],[h_diskon]])</f>
        <v>7980000</v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>CALCULATOR JOYKO DTC-1313CHPCS40000</v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>
        <f>IF(Table1[[#This Row],[No. Invoice :]]="","",ROW())</f>
        <v>156</v>
      </c>
      <c r="B156" s="291">
        <f>IF(Table1[h_Kode Sales :_1]="","",B$1+COUNT(B$2:B155))</f>
        <v>23030041</v>
      </c>
      <c r="C156" s="98">
        <v>45016</v>
      </c>
      <c r="D156" s="92" t="s">
        <v>118</v>
      </c>
      <c r="E156" s="97" t="s">
        <v>437</v>
      </c>
      <c r="F156" s="92" t="s">
        <v>159</v>
      </c>
      <c r="G156" s="95" t="str">
        <f>IF(Table1[[#This Row],[h_No. Invoice :]]="","",CONCATENATE("AM"," ",Table1[[#This Row],[h_No. Invoice :]]))</f>
        <v>AM 23030041</v>
      </c>
      <c r="H156" s="96" t="str">
        <f>CONCATENATE(UPPER(Table1[[#This Row],[h_Kode Sales :_1]])," ",Table1[[#This Row],[h_Kode Sales :_2]])</f>
        <v>KO 2917</v>
      </c>
      <c r="I156" s="95" t="str">
        <f>IF(Table1[[#This Row],[h_toko]]="","",INDEX(Table2[e],IF(Table1[[#This Row],[h_toko]]="","",MATCH(Table1[[#This Row],[h_toko]],Table2[a],0)),))</f>
        <v>HARNOYO (BENDAN) PEKALONGAN</v>
      </c>
      <c r="J156" s="92">
        <v>20</v>
      </c>
      <c r="K156" s="92" t="s">
        <v>127</v>
      </c>
      <c r="L156" s="92">
        <v>1</v>
      </c>
      <c r="M156" s="92" t="s">
        <v>438</v>
      </c>
      <c r="N156" s="291" t="str">
        <f>IF(Table1[[#This Row],[h_Item Description]]="","",INDEX([1]!db[NB PAJAK],MATCH(Table1[[#This Row],[h_Item Description]],[1]!db[kode],0)))</f>
        <v>BINDER CLIP KENKO NO. 155</v>
      </c>
      <c r="O156" s="92" t="s">
        <v>439</v>
      </c>
      <c r="P156" s="93">
        <v>69000</v>
      </c>
      <c r="Q156" s="94">
        <v>0.14000000000000001</v>
      </c>
      <c r="S156" s="294">
        <f>Table1[[#This Row],[h_hargasetelahdiskon]]</f>
        <v>1186800</v>
      </c>
      <c r="T156" s="93" t="s">
        <v>123</v>
      </c>
      <c r="V156" s="95">
        <f ca="1">IF(Table1[[#This Row],[Item Description]]="","",IF(Table1[[#This Row],[//]]="",INDIRECT(ADDRESS(ROW()-1,COLUMN())),Table1[[#This Row],[//]]))</f>
        <v>156</v>
      </c>
      <c r="W156" s="95">
        <f ca="1">IF(Table1[[#This Row],[h_id]]="","",COUNTIF(Table1[h_id],Table1[[#This Row],[h_id]]))</f>
        <v>1</v>
      </c>
      <c r="X156" s="93">
        <f>IF(Table1[Item Description]="","",Table1[[#This Row],[Qty]]*Table1[[#This Row],[Unit Price]])</f>
        <v>1380000</v>
      </c>
      <c r="Y156" s="93">
        <f>IF(Table1[[#This Row],[h_hargasebelumdiskon]]="","",IF(Table1[[#This Row],[Disc 1]]="",0,Table1[[#This Row],[h_hargasebelumdiskon]]*Table1[[#This Row],[Disc 1]]))</f>
        <v>193200.00000000003</v>
      </c>
      <c r="Z156" s="93">
        <f>IF(Table1[[#This Row],[h_hargasebelumdiskon]]="","",IF(Table1[[#This Row],[Disc 2]]="",0,(Table1[[#This Row],[h_hargasebelumdiskon]]-Table1[[#This Row],[h_disc 1]])*Table1[[#This Row],[Disc 2]]))</f>
        <v>0</v>
      </c>
      <c r="AA156" s="93">
        <f>IF(Table1[Item Description]="","",Table1[[#This Row],[h_disc 1]]+Table1[[#This Row],[h_disc 2]])</f>
        <v>193200.00000000003</v>
      </c>
      <c r="AB156" s="93">
        <f>IF(Table1[Item Description]="","",Table1[[#This Row],[h_hargasebelumdiskon]]-Table1[[#This Row],[h_diskon]])</f>
        <v>1186800</v>
      </c>
      <c r="AC156" s="93">
        <f ca="1">IF(Table1[//]="","",SUMIF(Table1[h_id],Table1[h_id],Table1[h_hargasetelahdiskon]))</f>
        <v>1186800</v>
      </c>
      <c r="AD156" s="93"/>
      <c r="AE156" s="93" t="str">
        <f>Table1[[#This Row],[Item Description]]&amp;Table1[[#This Row],[Unit]]&amp;Table1[[#This Row],[Unit Price]]</f>
        <v>BINDER CLIP KENKO NO. 155GRS69000</v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>
        <f>IF(Table1[[#This Row],[No. Invoice :]]="","",ROW())</f>
        <v>158</v>
      </c>
      <c r="B158" s="291">
        <f>IF(Table1[h_Kode Sales :_1]="","",B$1+COUNT(B$2:B157))</f>
        <v>23030042</v>
      </c>
      <c r="C158" s="98">
        <v>45016</v>
      </c>
      <c r="D158" s="92" t="s">
        <v>118</v>
      </c>
      <c r="E158" s="97" t="s">
        <v>441</v>
      </c>
      <c r="F158" s="92" t="s">
        <v>88</v>
      </c>
      <c r="G158" s="95" t="str">
        <f>IF(Table1[[#This Row],[h_No. Invoice :]]="","",CONCATENATE("AM"," ",Table1[[#This Row],[h_No. Invoice :]]))</f>
        <v>AM 23030042</v>
      </c>
      <c r="H158" s="96" t="str">
        <f>CONCATENATE(UPPER(Table1[[#This Row],[h_Kode Sales :_1]])," ",Table1[[#This Row],[h_Kode Sales :_2]])</f>
        <v>KO 1380</v>
      </c>
      <c r="I158" s="95" t="str">
        <f>IF(Table1[[#This Row],[h_toko]]="","",INDEX(Table2[e],IF(Table1[[#This Row],[h_toko]]="","",MATCH(Table1[[#This Row],[h_toko]],Table2[a],0)),))</f>
        <v>CV PELITA JAYA (ANUGERAH SEJAHTERA) PURWOKERTO</v>
      </c>
      <c r="J158" s="92">
        <v>144</v>
      </c>
      <c r="K158" s="92" t="s">
        <v>120</v>
      </c>
      <c r="L158" s="92">
        <v>1</v>
      </c>
      <c r="M158" s="92" t="s">
        <v>444</v>
      </c>
      <c r="N158" s="291" t="str">
        <f>IF(Table1[[#This Row],[h_Item Description]]="","",INDEX([1]!db[NB PAJAK],MATCH(Table1[[#This Row],[h_Item Description]],[1]!db[kode],0)))</f>
        <v>GEL PEN KENKO K-1 HITAM</v>
      </c>
      <c r="O158" s="92" t="s">
        <v>445</v>
      </c>
      <c r="P158" s="93">
        <v>39600</v>
      </c>
      <c r="Q158" s="94">
        <v>0.13500000000000001</v>
      </c>
      <c r="S158" s="294">
        <f>Table1[[#This Row],[h_hargasetelahdiskon]]</f>
        <v>4932576</v>
      </c>
      <c r="T158" s="93" t="s">
        <v>123</v>
      </c>
      <c r="V158" s="95">
        <f ca="1">IF(Table1[[#This Row],[Item Description]]="","",IF(Table1[[#This Row],[//]]="",INDIRECT(ADDRESS(ROW()-1,COLUMN())),Table1[[#This Row],[//]]))</f>
        <v>158</v>
      </c>
      <c r="W158" s="95">
        <f ca="1">IF(Table1[[#This Row],[h_id]]="","",COUNTIF(Table1[h_id],Table1[[#This Row],[h_id]]))</f>
        <v>2</v>
      </c>
      <c r="X158" s="93">
        <f>IF(Table1[Item Description]="","",Table1[[#This Row],[Qty]]*Table1[[#This Row],[Unit Price]])</f>
        <v>5702400</v>
      </c>
      <c r="Y158" s="93">
        <f>IF(Table1[[#This Row],[h_hargasebelumdiskon]]="","",IF(Table1[[#This Row],[Disc 1]]="",0,Table1[[#This Row],[h_hargasebelumdiskon]]*Table1[[#This Row],[Disc 1]]))</f>
        <v>769824</v>
      </c>
      <c r="Z158" s="93">
        <f>IF(Table1[[#This Row],[h_hargasebelumdiskon]]="","",IF(Table1[[#This Row],[Disc 2]]="",0,(Table1[[#This Row],[h_hargasebelumdiskon]]-Table1[[#This Row],[h_disc 1]])*Table1[[#This Row],[Disc 2]]))</f>
        <v>0</v>
      </c>
      <c r="AA158" s="93">
        <f>IF(Table1[Item Description]="","",Table1[[#This Row],[h_disc 1]]+Table1[[#This Row],[h_disc 2]])</f>
        <v>769824</v>
      </c>
      <c r="AB158" s="93">
        <f>IF(Table1[Item Description]="","",Table1[[#This Row],[h_hargasebelumdiskon]]-Table1[[#This Row],[h_diskon]])</f>
        <v>4932576</v>
      </c>
      <c r="AC158" s="93">
        <f ca="1">IF(Table1[//]="","",SUMIF(Table1[h_id],Table1[h_id],Table1[h_hargasetelahdiskon]))</f>
        <v>7351776</v>
      </c>
      <c r="AD158" s="93"/>
      <c r="AE158" s="93" t="str">
        <f>Table1[[#This Row],[Item Description]]&amp;Table1[[#This Row],[Unit]]&amp;Table1[[#This Row],[Unit Price]]</f>
        <v>GEL PEN KENKO K-1 HITAMLSN39600</v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48</v>
      </c>
      <c r="K159" s="92" t="s">
        <v>146</v>
      </c>
      <c r="L159" s="92">
        <v>1</v>
      </c>
      <c r="N159" s="291" t="s">
        <v>443</v>
      </c>
      <c r="O159" s="92" t="s">
        <v>442</v>
      </c>
      <c r="P159" s="93">
        <v>56000</v>
      </c>
      <c r="Q159" s="94">
        <v>0.1</v>
      </c>
      <c r="S159" s="294">
        <f>Table1[[#This Row],[h_hargasetelahdiskon]]</f>
        <v>2419200</v>
      </c>
      <c r="V159" s="95">
        <f ca="1">IF(Table1[[#This Row],[Item Description]]="","",IF(Table1[[#This Row],[//]]="",INDIRECT(ADDRESS(ROW()-1,COLUMN())),Table1[[#This Row],[//]]))</f>
        <v>158</v>
      </c>
      <c r="W159" s="95">
        <f ca="1">IF(Table1[[#This Row],[h_id]]="","",COUNTIF(Table1[h_id],Table1[[#This Row],[h_id]]))</f>
        <v>2</v>
      </c>
      <c r="X159" s="93">
        <f>IF(Table1[Item Description]="","",Table1[[#This Row],[Qty]]*Table1[[#This Row],[Unit Price]])</f>
        <v>2688000</v>
      </c>
      <c r="Y159" s="93">
        <f>IF(Table1[[#This Row],[h_hargasebelumdiskon]]="","",IF(Table1[[#This Row],[Disc 1]]="",0,Table1[[#This Row],[h_hargasebelumdiskon]]*Table1[[#This Row],[Disc 1]]))</f>
        <v>268800</v>
      </c>
      <c r="Z159" s="93">
        <f>IF(Table1[[#This Row],[h_hargasebelumdiskon]]="","",IF(Table1[[#This Row],[Disc 2]]="",0,(Table1[[#This Row],[h_hargasebelumdiskon]]-Table1[[#This Row],[h_disc 1]])*Table1[[#This Row],[Disc 2]]))</f>
        <v>0</v>
      </c>
      <c r="AA159" s="93">
        <f>IF(Table1[Item Description]="","",Table1[[#This Row],[h_disc 1]]+Table1[[#This Row],[h_disc 2]])</f>
        <v>268800</v>
      </c>
      <c r="AB159" s="93">
        <f>IF(Table1[Item Description]="","",Table1[[#This Row],[h_hargasebelumdiskon]]-Table1[[#This Row],[h_diskon]])</f>
        <v>2419200</v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>BENSIA SF-9939 A ISI 32 PC (LOVE DADU)BOX56000</v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>
        <f>IF(Table1[[#This Row],[No. Invoice :]]="","",ROW())</f>
        <v>161</v>
      </c>
      <c r="B161" s="291">
        <f>IF(Table1[h_Kode Sales :_1]="","",B$1+COUNT(B$2:B160))</f>
        <v>23030043</v>
      </c>
      <c r="C161" s="98">
        <v>45016</v>
      </c>
      <c r="D161" s="92" t="s">
        <v>118</v>
      </c>
      <c r="E161" s="97" t="s">
        <v>450</v>
      </c>
      <c r="F161" s="92" t="s">
        <v>88</v>
      </c>
      <c r="G161" s="95" t="str">
        <f>IF(Table1[[#This Row],[h_No. Invoice :]]="","",CONCATENATE("AM"," ",Table1[[#This Row],[h_No. Invoice :]]))</f>
        <v>AM 23030043</v>
      </c>
      <c r="H161" s="96" t="str">
        <f>CONCATENATE(UPPER(Table1[[#This Row],[h_Kode Sales :_1]])," ",Table1[[#This Row],[h_Kode Sales :_2]])</f>
        <v>KO 1388</v>
      </c>
      <c r="I161" s="95" t="str">
        <f>IF(Table1[[#This Row],[h_toko]]="","",INDEX(Table2[e],IF(Table1[[#This Row],[h_toko]]="","",MATCH(Table1[[#This Row],[h_toko]],Table2[a],0)),))</f>
        <v>CV PELITA JAYA (ANUGERAH SEJAHTERA) PURWOKERTO</v>
      </c>
      <c r="J161" s="92">
        <v>72</v>
      </c>
      <c r="K161" s="92" t="s">
        <v>125</v>
      </c>
      <c r="L161" s="92">
        <v>3</v>
      </c>
      <c r="M161" s="92" t="s">
        <v>451</v>
      </c>
      <c r="N161" s="291" t="str">
        <f>IF(Table1[[#This Row],[h_Item Description]]="","",INDEX([1]!db[NB PAJAK],MATCH(Table1[[#This Row],[h_Item Description]],[1]!db[kode],0)))</f>
        <v>PUNCH KENKO NO. 85N</v>
      </c>
      <c r="O161" s="92" t="s">
        <v>453</v>
      </c>
      <c r="P161" s="93">
        <v>42500</v>
      </c>
      <c r="Q161" s="94">
        <v>0.13500000000000001</v>
      </c>
      <c r="S161" s="294">
        <f>Table1[[#This Row],[h_hargasetelahdiskon]]</f>
        <v>2646900</v>
      </c>
      <c r="T161" s="93" t="s">
        <v>123</v>
      </c>
      <c r="V161" s="95">
        <f ca="1">IF(Table1[[#This Row],[Item Description]]="","",IF(Table1[[#This Row],[//]]="",INDIRECT(ADDRESS(ROW()-1,COLUMN())),Table1[[#This Row],[//]]))</f>
        <v>161</v>
      </c>
      <c r="W161" s="95">
        <f ca="1">IF(Table1[[#This Row],[h_id]]="","",COUNTIF(Table1[h_id],Table1[[#This Row],[h_id]]))</f>
        <v>2</v>
      </c>
      <c r="X161" s="93">
        <f>IF(Table1[Item Description]="","",Table1[[#This Row],[Qty]]*Table1[[#This Row],[Unit Price]])</f>
        <v>3060000</v>
      </c>
      <c r="Y161" s="93">
        <f>IF(Table1[[#This Row],[h_hargasebelumdiskon]]="","",IF(Table1[[#This Row],[Disc 1]]="",0,Table1[[#This Row],[h_hargasebelumdiskon]]*Table1[[#This Row],[Disc 1]]))</f>
        <v>413100</v>
      </c>
      <c r="Z161" s="93">
        <f>IF(Table1[[#This Row],[h_hargasebelumdiskon]]="","",IF(Table1[[#This Row],[Disc 2]]="",0,(Table1[[#This Row],[h_hargasebelumdiskon]]-Table1[[#This Row],[h_disc 1]])*Table1[[#This Row],[Disc 2]]))</f>
        <v>0</v>
      </c>
      <c r="AA161" s="93">
        <f>IF(Table1[Item Description]="","",Table1[[#This Row],[h_disc 1]]+Table1[[#This Row],[h_disc 2]])</f>
        <v>413100</v>
      </c>
      <c r="AB161" s="93">
        <f>IF(Table1[Item Description]="","",Table1[[#This Row],[h_hargasebelumdiskon]]-Table1[[#This Row],[h_diskon]])</f>
        <v>2646900</v>
      </c>
      <c r="AC161" s="93">
        <f ca="1">IF(Table1[//]="","",SUMIF(Table1[h_id],Table1[h_id],Table1[h_hargasetelahdiskon]))</f>
        <v>5200380</v>
      </c>
      <c r="AD161" s="93"/>
      <c r="AE161" s="93" t="str">
        <f>Table1[[#This Row],[Item Description]]&amp;Table1[[#This Row],[Unit]]&amp;Table1[[#This Row],[Unit Price]]</f>
        <v>PUNCH KENKO NO. 85NPCS42500</v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J162" s="92">
        <v>20</v>
      </c>
      <c r="K162" s="92" t="s">
        <v>120</v>
      </c>
      <c r="L162" s="92">
        <v>1</v>
      </c>
      <c r="M162" s="92" t="s">
        <v>452</v>
      </c>
      <c r="N162" s="291" t="str">
        <f>IF(Table1[[#This Row],[h_Item Description]]="","",INDEX([1]!db[NB PAJAK],MATCH(Table1[[#This Row],[h_Item Description]],[1]!db[kode],0)))</f>
        <v>CUTTER 18 MM KENKO L-500 (BESAR)</v>
      </c>
      <c r="O162" s="92" t="s">
        <v>454</v>
      </c>
      <c r="P162" s="93">
        <v>147600</v>
      </c>
      <c r="Q162" s="94">
        <v>0.13500000000000001</v>
      </c>
      <c r="S162" s="294">
        <f>Table1[[#This Row],[h_hargasetelahdiskon]]</f>
        <v>2553480</v>
      </c>
      <c r="V162" s="95">
        <f ca="1">IF(Table1[[#This Row],[Item Description]]="","",IF(Table1[[#This Row],[//]]="",INDIRECT(ADDRESS(ROW()-1,COLUMN())),Table1[[#This Row],[//]]))</f>
        <v>161</v>
      </c>
      <c r="W162" s="95">
        <f ca="1">IF(Table1[[#This Row],[h_id]]="","",COUNTIF(Table1[h_id],Table1[[#This Row],[h_id]]))</f>
        <v>2</v>
      </c>
      <c r="X162" s="93">
        <f>IF(Table1[Item Description]="","",Table1[[#This Row],[Qty]]*Table1[[#This Row],[Unit Price]])</f>
        <v>2952000</v>
      </c>
      <c r="Y162" s="93">
        <f>IF(Table1[[#This Row],[h_hargasebelumdiskon]]="","",IF(Table1[[#This Row],[Disc 1]]="",0,Table1[[#This Row],[h_hargasebelumdiskon]]*Table1[[#This Row],[Disc 1]]))</f>
        <v>398520</v>
      </c>
      <c r="Z162" s="93">
        <f>IF(Table1[[#This Row],[h_hargasebelumdiskon]]="","",IF(Table1[[#This Row],[Disc 2]]="",0,(Table1[[#This Row],[h_hargasebelumdiskon]]-Table1[[#This Row],[h_disc 1]])*Table1[[#This Row],[Disc 2]]))</f>
        <v>0</v>
      </c>
      <c r="AA162" s="93">
        <f>IF(Table1[Item Description]="","",Table1[[#This Row],[h_disc 1]]+Table1[[#This Row],[h_disc 2]])</f>
        <v>398520</v>
      </c>
      <c r="AB162" s="93">
        <f>IF(Table1[Item Description]="","",Table1[[#This Row],[h_hargasebelumdiskon]]-Table1[[#This Row],[h_diskon]])</f>
        <v>2553480</v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>CUTTER 18 MM KENKO L-500 (BESAR)LSN147600</v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>
        <f>IF(Table1[[#This Row],[No. Invoice :]]="","",ROW())</f>
        <v>164</v>
      </c>
      <c r="B164" s="291">
        <f>IF(Table1[h_Kode Sales :_1]="","",B$1+COUNT(B$2:B163))</f>
        <v>23030044</v>
      </c>
      <c r="C164" s="98">
        <v>45016</v>
      </c>
      <c r="D164" s="92" t="s">
        <v>118</v>
      </c>
      <c r="E164" s="97" t="s">
        <v>459</v>
      </c>
      <c r="F164" s="92" t="s">
        <v>98</v>
      </c>
      <c r="G164" s="95" t="str">
        <f>IF(Table1[[#This Row],[h_No. Invoice :]]="","",CONCATENATE("AM"," ",Table1[[#This Row],[h_No. Invoice :]]))</f>
        <v>AM 23030044</v>
      </c>
      <c r="H164" s="96" t="str">
        <f>CONCATENATE(UPPER(Table1[[#This Row],[h_Kode Sales :_1]])," ",Table1[[#This Row],[h_Kode Sales :_2]])</f>
        <v>KO 1019</v>
      </c>
      <c r="I164" s="95" t="str">
        <f>IF(Table1[[#This Row],[h_toko]]="","",INDEX(Table2[e],IF(Table1[[#This Row],[h_toko]]="","",MATCH(Table1[[#This Row],[h_toko]],Table2[a],0)),))</f>
        <v>SOEYANTO LOPULUSI ( LANCAR ) MALANG</v>
      </c>
      <c r="J164" s="92">
        <v>72</v>
      </c>
      <c r="K164" s="92" t="s">
        <v>120</v>
      </c>
      <c r="L164" s="92">
        <v>2</v>
      </c>
      <c r="M164" s="92" t="s">
        <v>460</v>
      </c>
      <c r="N164" s="291" t="str">
        <f>IF(Table1[[#This Row],[h_Item Description]]="","",INDEX([1]!db[NB PAJAK],MATCH(Table1[[#This Row],[h_Item Description]],[1]!db[kode],0)))</f>
        <v>CORRECTION TAPE KENKO CT-919 (12M x 5MM)</v>
      </c>
      <c r="O164" s="92" t="s">
        <v>464</v>
      </c>
      <c r="P164" s="93">
        <v>55800</v>
      </c>
      <c r="Q164" s="94">
        <v>0.125</v>
      </c>
      <c r="S164" s="294">
        <f>Table1[[#This Row],[h_hargasetelahdiskon]]</f>
        <v>3515400</v>
      </c>
      <c r="T164" s="93" t="s">
        <v>123</v>
      </c>
      <c r="V164" s="95">
        <f ca="1">IF(Table1[[#This Row],[Item Description]]="","",IF(Table1[[#This Row],[//]]="",INDIRECT(ADDRESS(ROW()-1,COLUMN())),Table1[[#This Row],[//]]))</f>
        <v>164</v>
      </c>
      <c r="W164" s="95">
        <f ca="1">IF(Table1[[#This Row],[h_id]]="","",COUNTIF(Table1[h_id],Table1[[#This Row],[h_id]]))</f>
        <v>4</v>
      </c>
      <c r="X164" s="93">
        <f>IF(Table1[Item Description]="","",Table1[[#This Row],[Qty]]*Table1[[#This Row],[Unit Price]])</f>
        <v>4017600</v>
      </c>
      <c r="Y164" s="93">
        <f>IF(Table1[[#This Row],[h_hargasebelumdiskon]]="","",IF(Table1[[#This Row],[Disc 1]]="",0,Table1[[#This Row],[h_hargasebelumdiskon]]*Table1[[#This Row],[Disc 1]]))</f>
        <v>502200</v>
      </c>
      <c r="Z164" s="93">
        <f>IF(Table1[[#This Row],[h_hargasebelumdiskon]]="","",IF(Table1[[#This Row],[Disc 2]]="",0,(Table1[[#This Row],[h_hargasebelumdiskon]]-Table1[[#This Row],[h_disc 1]])*Table1[[#This Row],[Disc 2]]))</f>
        <v>0</v>
      </c>
      <c r="AA164" s="93">
        <f>IF(Table1[Item Description]="","",Table1[[#This Row],[h_disc 1]]+Table1[[#This Row],[h_disc 2]])</f>
        <v>502200</v>
      </c>
      <c r="AB164" s="93">
        <f>IF(Table1[Item Description]="","",Table1[[#This Row],[h_hargasebelumdiskon]]-Table1[[#This Row],[h_diskon]])</f>
        <v>3515400</v>
      </c>
      <c r="AC164" s="93">
        <f ca="1">IF(Table1[//]="","",SUMIF(Table1[h_id],Table1[h_id],Table1[h_hargasetelahdiskon]))</f>
        <v>9172800</v>
      </c>
      <c r="AD164" s="93"/>
      <c r="AE164" s="93" t="str">
        <f>Table1[[#This Row],[Item Description]]&amp;Table1[[#This Row],[Unit]]&amp;Table1[[#This Row],[Unit Price]]</f>
        <v>CORRECTION TAPE KENKO CT-919 (12M x 5MM)LSN55800</v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24</v>
      </c>
      <c r="K165" s="92" t="s">
        <v>120</v>
      </c>
      <c r="L165" s="92">
        <v>1</v>
      </c>
      <c r="M165" s="92" t="s">
        <v>461</v>
      </c>
      <c r="N165" s="291" t="str">
        <f>IF(Table1[[#This Row],[h_Item Description]]="","",INDEX([1]!db[NB PAJAK],MATCH(Table1[[#This Row],[h_Item Description]],[1]!db[kode],0)))</f>
        <v>JANGKA (MATH SET) JOYKO MS-75</v>
      </c>
      <c r="O165" s="92" t="s">
        <v>465</v>
      </c>
      <c r="P165" s="93">
        <v>90600</v>
      </c>
      <c r="Q165" s="94">
        <v>0.125</v>
      </c>
      <c r="S165" s="294">
        <f>Table1[[#This Row],[h_hargasetelahdiskon]]</f>
        <v>1902600</v>
      </c>
      <c r="V165" s="95">
        <f ca="1">IF(Table1[[#This Row],[Item Description]]="","",IF(Table1[[#This Row],[//]]="",INDIRECT(ADDRESS(ROW()-1,COLUMN())),Table1[[#This Row],[//]]))</f>
        <v>164</v>
      </c>
      <c r="W165" s="95">
        <f ca="1">IF(Table1[[#This Row],[h_id]]="","",COUNTIF(Table1[h_id],Table1[[#This Row],[h_id]]))</f>
        <v>4</v>
      </c>
      <c r="X165" s="93">
        <f>IF(Table1[Item Description]="","",Table1[[#This Row],[Qty]]*Table1[[#This Row],[Unit Price]])</f>
        <v>2174400</v>
      </c>
      <c r="Y165" s="93">
        <f>IF(Table1[[#This Row],[h_hargasebelumdiskon]]="","",IF(Table1[[#This Row],[Disc 1]]="",0,Table1[[#This Row],[h_hargasebelumdiskon]]*Table1[[#This Row],[Disc 1]]))</f>
        <v>271800</v>
      </c>
      <c r="Z165" s="93">
        <f>IF(Table1[[#This Row],[h_hargasebelumdiskon]]="","",IF(Table1[[#This Row],[Disc 2]]="",0,(Table1[[#This Row],[h_hargasebelumdiskon]]-Table1[[#This Row],[h_disc 1]])*Table1[[#This Row],[Disc 2]]))</f>
        <v>0</v>
      </c>
      <c r="AA165" s="93">
        <f>IF(Table1[Item Description]="","",Table1[[#This Row],[h_disc 1]]+Table1[[#This Row],[h_disc 2]])</f>
        <v>271800</v>
      </c>
      <c r="AB165" s="93">
        <f>IF(Table1[Item Description]="","",Table1[[#This Row],[h_hargasebelumdiskon]]-Table1[[#This Row],[h_diskon]])</f>
        <v>1902600</v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>JANGKA (MATH SET) JOYKO MS-75LSN90600</v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24</v>
      </c>
      <c r="K166" s="92" t="s">
        <v>120</v>
      </c>
      <c r="L166" s="92">
        <v>1</v>
      </c>
      <c r="M166" s="92" t="s">
        <v>462</v>
      </c>
      <c r="N166" s="291" t="str">
        <f>IF(Table1[[#This Row],[h_Item Description]]="","",INDEX([1]!db[NB PAJAK],MATCH(Table1[[#This Row],[h_Item Description]],[1]!db[kode],0)))</f>
        <v>JANGKA (MATH SET) JOYKO MS-25</v>
      </c>
      <c r="O166" s="92" t="s">
        <v>466</v>
      </c>
      <c r="P166" s="93">
        <v>89400</v>
      </c>
      <c r="Q166" s="94">
        <v>0.125</v>
      </c>
      <c r="S166" s="294">
        <f>Table1[[#This Row],[h_hargasetelahdiskon]]</f>
        <v>1877400</v>
      </c>
      <c r="V166" s="95">
        <f ca="1">IF(Table1[[#This Row],[Item Description]]="","",IF(Table1[[#This Row],[//]]="",INDIRECT(ADDRESS(ROW()-1,COLUMN())),Table1[[#This Row],[//]]))</f>
        <v>164</v>
      </c>
      <c r="W166" s="95">
        <f ca="1">IF(Table1[[#This Row],[h_id]]="","",COUNTIF(Table1[h_id],Table1[[#This Row],[h_id]]))</f>
        <v>4</v>
      </c>
      <c r="X166" s="93">
        <f>IF(Table1[Item Description]="","",Table1[[#This Row],[Qty]]*Table1[[#This Row],[Unit Price]])</f>
        <v>2145600</v>
      </c>
      <c r="Y166" s="93">
        <f>IF(Table1[[#This Row],[h_hargasebelumdiskon]]="","",IF(Table1[[#This Row],[Disc 1]]="",0,Table1[[#This Row],[h_hargasebelumdiskon]]*Table1[[#This Row],[Disc 1]]))</f>
        <v>268200</v>
      </c>
      <c r="Z166" s="93">
        <f>IF(Table1[[#This Row],[h_hargasebelumdiskon]]="","",IF(Table1[[#This Row],[Disc 2]]="",0,(Table1[[#This Row],[h_hargasebelumdiskon]]-Table1[[#This Row],[h_disc 1]])*Table1[[#This Row],[Disc 2]]))</f>
        <v>0</v>
      </c>
      <c r="AA166" s="93">
        <f>IF(Table1[Item Description]="","",Table1[[#This Row],[h_disc 1]]+Table1[[#This Row],[h_disc 2]])</f>
        <v>268200</v>
      </c>
      <c r="AB166" s="93">
        <f>IF(Table1[Item Description]="","",Table1[[#This Row],[h_hargasebelumdiskon]]-Table1[[#This Row],[h_diskon]])</f>
        <v>1877400</v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>JANGKA (MATH SET) JOYKO MS-25LSN89400</v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J167" s="92">
        <v>24</v>
      </c>
      <c r="K167" s="92" t="s">
        <v>120</v>
      </c>
      <c r="L167" s="92">
        <v>1</v>
      </c>
      <c r="M167" s="92" t="s">
        <v>463</v>
      </c>
      <c r="N167" s="291" t="str">
        <f>IF(Table1[[#This Row],[h_Item Description]]="","",INDEX([1]!db[NB PAJAK],MATCH(Table1[[#This Row],[h_Item Description]],[1]!db[kode],0)))</f>
        <v>JANGKA (MATH SET) JOYKO MS-55</v>
      </c>
      <c r="O167" s="92" t="s">
        <v>467</v>
      </c>
      <c r="P167" s="93">
        <v>89400</v>
      </c>
      <c r="Q167" s="94">
        <v>0.125</v>
      </c>
      <c r="S167" s="294">
        <f>Table1[[#This Row],[h_hargasetelahdiskon]]</f>
        <v>1877400</v>
      </c>
      <c r="V167" s="95">
        <f ca="1">IF(Table1[[#This Row],[Item Description]]="","",IF(Table1[[#This Row],[//]]="",INDIRECT(ADDRESS(ROW()-1,COLUMN())),Table1[[#This Row],[//]]))</f>
        <v>164</v>
      </c>
      <c r="W167" s="95">
        <f ca="1">IF(Table1[[#This Row],[h_id]]="","",COUNTIF(Table1[h_id],Table1[[#This Row],[h_id]]))</f>
        <v>4</v>
      </c>
      <c r="X167" s="93">
        <f>IF(Table1[Item Description]="","",Table1[[#This Row],[Qty]]*Table1[[#This Row],[Unit Price]])</f>
        <v>2145600</v>
      </c>
      <c r="Y167" s="93">
        <f>IF(Table1[[#This Row],[h_hargasebelumdiskon]]="","",IF(Table1[[#This Row],[Disc 1]]="",0,Table1[[#This Row],[h_hargasebelumdiskon]]*Table1[[#This Row],[Disc 1]]))</f>
        <v>268200</v>
      </c>
      <c r="Z167" s="93">
        <f>IF(Table1[[#This Row],[h_hargasebelumdiskon]]="","",IF(Table1[[#This Row],[Disc 2]]="",0,(Table1[[#This Row],[h_hargasebelumdiskon]]-Table1[[#This Row],[h_disc 1]])*Table1[[#This Row],[Disc 2]]))</f>
        <v>0</v>
      </c>
      <c r="AA167" s="93">
        <f>IF(Table1[Item Description]="","",Table1[[#This Row],[h_disc 1]]+Table1[[#This Row],[h_disc 2]])</f>
        <v>268200</v>
      </c>
      <c r="AB167" s="93">
        <f>IF(Table1[Item Description]="","",Table1[[#This Row],[h_hargasebelumdiskon]]-Table1[[#This Row],[h_diskon]])</f>
        <v>1877400</v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>JANGKA (MATH SET) JOYKO MS-55LSN89400</v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M169" s="292"/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M176" s="292"/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/>
      <c r="B216" s="95"/>
      <c r="G216" s="95"/>
      <c r="H216" s="96"/>
      <c r="I216" s="95"/>
      <c r="N216" s="95"/>
      <c r="P216" s="93"/>
      <c r="Q216" s="94"/>
      <c r="S216" s="93"/>
      <c r="V216" s="95"/>
      <c r="W216" s="95"/>
      <c r="X216" s="93"/>
      <c r="Y216" s="93"/>
      <c r="Z216" s="93"/>
      <c r="AD216" s="93"/>
      <c r="AE216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abSelected="1" topLeftCell="A37" zoomScaleNormal="100" workbookViewId="0">
      <selection activeCell="G48" sqref="G48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44</v>
      </c>
    </row>
    <row r="2" spans="1:24" s="88" customFormat="1" x14ac:dyDescent="0.25">
      <c r="A2" s="300" t="s">
        <v>54</v>
      </c>
      <c r="C2" s="88" t="s">
        <v>14</v>
      </c>
      <c r="D2" s="88" t="s">
        <v>1</v>
      </c>
      <c r="E2" s="301" t="s">
        <v>2</v>
      </c>
      <c r="F2" s="88" t="s">
        <v>3</v>
      </c>
      <c r="G2" s="88" t="s">
        <v>4</v>
      </c>
      <c r="H2" s="302" t="s">
        <v>51</v>
      </c>
      <c r="I2" s="302" t="s">
        <v>57</v>
      </c>
      <c r="J2" s="302" t="s">
        <v>50</v>
      </c>
      <c r="K2" s="302" t="s">
        <v>52</v>
      </c>
      <c r="L2" s="302" t="s">
        <v>53</v>
      </c>
      <c r="M2" s="303" t="s">
        <v>58</v>
      </c>
      <c r="N2" s="303" t="s">
        <v>59</v>
      </c>
      <c r="O2" s="303"/>
      <c r="P2" s="88" t="s">
        <v>86</v>
      </c>
      <c r="Q2" s="88" t="s">
        <v>337</v>
      </c>
      <c r="R2" s="88" t="s">
        <v>338</v>
      </c>
      <c r="S2" s="88" t="s">
        <v>339</v>
      </c>
      <c r="T2" s="88" t="s">
        <v>340</v>
      </c>
      <c r="U2" s="88" t="s">
        <v>341</v>
      </c>
      <c r="W2" s="88" t="s">
        <v>26</v>
      </c>
      <c r="X2" s="302">
        <f ca="1">SUM(pajak[Total Invoice])</f>
        <v>343992987</v>
      </c>
    </row>
    <row r="3" spans="1:24" x14ac:dyDescent="0.25">
      <c r="A3" s="88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23030001</v>
      </c>
      <c r="E3" s="90">
        <f>IF(pajak[[#This Row],[//]]="","",INDEX(Table1[Tgl Invoice :],pajak[//]-offset))</f>
        <v>44988</v>
      </c>
      <c r="F3" t="str">
        <f>IF(pajak[[#This Row],[//]]="","",INDEX(Table1[Kode Sales :],pajak[//]-offset))</f>
        <v>KO 1182</v>
      </c>
      <c r="G3" t="str">
        <f>IF(pajak[[#This Row],[//]]="","",INDEX(Table1[Toko],pajak[//]-offset))</f>
        <v>CV PELITA JAYA (ANUGERAH SEJAHTERA) PURWOKERTO</v>
      </c>
      <c r="H3" s="89">
        <f ca="1">IF(pajak[[#This Row],[//]]="","",SUMIF(Table1[h_id],pajak[[#This Row],[//]],Table1[h_hargasebelumdiskon]))</f>
        <v>9300000</v>
      </c>
      <c r="I3" s="89">
        <f ca="1">IF(pajak[[#This Row],[//]]="","",SUMIF(Table1[h_id],pajak[[#This Row],[//]],Table1[h_diskon]))</f>
        <v>1255500</v>
      </c>
      <c r="J3" s="89">
        <f ca="1">IF(pajak[[#This Row],[//]]="","",SUMIF(Table1[h_id],pajak[[#This Row],[//]],Table1[h_hargasetelahdiskon]))</f>
        <v>8044500</v>
      </c>
      <c r="K3" s="89">
        <f ca="1">IF(pajak[//]="","",pajak[[#This Row],[Sub Total]]/1.11*11%)</f>
        <v>797202.70270270272</v>
      </c>
      <c r="L3" s="89">
        <f ca="1">pajak[[#This Row],[Sub Total]]</f>
        <v>8044500</v>
      </c>
      <c r="M3" s="86" t="str">
        <f>IF(pajak[[#This Row],[//]]="","",INDEX(Table1[pembuat nota :],pajak[//]-offset))</f>
        <v>NOVI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34089395.108108111</v>
      </c>
    </row>
    <row r="4" spans="1:24" x14ac:dyDescent="0.25">
      <c r="A4" s="88">
        <v>5</v>
      </c>
      <c r="C4">
        <f t="shared" si="0"/>
        <v>5</v>
      </c>
      <c r="D4" t="str">
        <f>IF(pajak[[#This Row],[//]]="","",INDEX(Table1[No. Invoice :],pajak[//]-offset))</f>
        <v>AM 23030002</v>
      </c>
      <c r="E4" s="90">
        <f>IF(pajak[[#This Row],[//]]="","",INDEX(Table1[Tgl Invoice :],pajak[//]-offset))</f>
        <v>44988</v>
      </c>
      <c r="F4" t="str">
        <f>IF(pajak[[#This Row],[//]]="","",INDEX(Table1[Kode Sales :],pajak[//]-offset))</f>
        <v>KO 1097</v>
      </c>
      <c r="G4" t="str">
        <f>IF(pajak[[#This Row],[//]]="","",INDEX(Table1[Toko],pajak[//]-offset))</f>
        <v>CV TRINITY CENTRAAL PURWOKERTO</v>
      </c>
      <c r="H4" s="89">
        <f ca="1">IF(pajak[[#This Row],[//]]="","",SUMIF(Table1[h_id],pajak[[#This Row],[//]],Table1[h_hargasebelumdiskon]))</f>
        <v>4653000</v>
      </c>
      <c r="I4" s="89">
        <f ca="1">IF(pajak[[#This Row],[//]]="","",SUMIF(Table1[h_id],pajak[[#This Row],[//]],Table1[h_diskon]))</f>
        <v>604890</v>
      </c>
      <c r="J4" s="89">
        <f ca="1">IF(pajak[[#This Row],[//]]="","",SUMIF(Table1[h_id],pajak[[#This Row],[//]],Table1[h_hargasetelahdiskon]))</f>
        <v>4048110</v>
      </c>
      <c r="K4" s="89">
        <f ca="1">IF(pajak[//]="","",pajak[[#This Row],[Sub Total]]/1.11*11%)</f>
        <v>401164.05405405402</v>
      </c>
      <c r="L4" s="89">
        <f ca="1">pajak[[#This Row],[Sub Total]]</f>
        <v>4048110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34089395.108108103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23030003</v>
      </c>
      <c r="E5" s="90">
        <f>IF(pajak[[#This Row],[//]]="","",INDEX(Table1[Tgl Invoice :],pajak[//]-offset))</f>
        <v>44988</v>
      </c>
      <c r="F5" t="str">
        <f>IF(pajak[[#This Row],[//]]="","",INDEX(Table1[Kode Sales :],pajak[//]-offset))</f>
        <v>G 1012</v>
      </c>
      <c r="G5" t="str">
        <f>IF(pajak[[#This Row],[//]]="","",INDEX(Table1[Toko],pajak[//]-offset))</f>
        <v>LILY JULIAWATI (REJO AGUNG) JOMBANG</v>
      </c>
      <c r="H5" s="89">
        <f ca="1">IF(pajak[[#This Row],[//]]="","",SUMIF(Table1[h_id],pajak[[#This Row],[//]],Table1[h_hargasebelumdiskon]))</f>
        <v>11664000</v>
      </c>
      <c r="I5" s="89">
        <f ca="1">IF(pajak[[#This Row],[//]]="","",SUMIF(Table1[h_id],pajak[[#This Row],[//]],Table1[h_diskon]))</f>
        <v>1458000</v>
      </c>
      <c r="J5" s="89">
        <f ca="1">IF(pajak[[#This Row],[//]]="","",SUMIF(Table1[h_id],pajak[[#This Row],[//]],Table1[h_hargasetelahdiskon]))</f>
        <v>10206000</v>
      </c>
      <c r="K5" s="89">
        <f ca="1">IF(pajak[//]="","",pajak[[#This Row],[Sub Total]]/1.11*11%)</f>
        <v>1011405.4054054053</v>
      </c>
      <c r="L5" s="89">
        <f ca="1">pajak[[#This Row],[Sub Total]]</f>
        <v>10206000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11</v>
      </c>
      <c r="C6">
        <f t="shared" si="0"/>
        <v>11</v>
      </c>
      <c r="D6" t="str">
        <f>IF(pajak[[#This Row],[//]]="","",INDEX(Table1[No. Invoice :],pajak[//]-offset))</f>
        <v>AM 23030004</v>
      </c>
      <c r="E6" s="90">
        <f>IF(pajak[[#This Row],[//]]="","",INDEX(Table1[Tgl Invoice :],pajak[//]-offset))</f>
        <v>44991</v>
      </c>
      <c r="F6" t="str">
        <f>IF(pajak[[#This Row],[//]]="","",INDEX(Table1[Kode Sales :],pajak[//]-offset))</f>
        <v>KO 1192</v>
      </c>
      <c r="G6" t="str">
        <f>IF(pajak[[#This Row],[//]]="","",INDEX(Table1[Toko],pajak[//]-offset))</f>
        <v>CV  WISUDA PURWOKERTO</v>
      </c>
      <c r="H6" s="89">
        <f ca="1">IF(pajak[[#This Row],[//]]="","",SUMIF(Table1[h_id],pajak[[#This Row],[//]],Table1[h_hargasebelumdiskon]))</f>
        <v>924600</v>
      </c>
      <c r="I6" s="89">
        <f ca="1">IF(pajak[[#This Row],[//]]="","",SUMIF(Table1[h_id],pajak[[#This Row],[//]],Table1[h_diskon]))</f>
        <v>92460</v>
      </c>
      <c r="J6" s="89">
        <f ca="1">IF(pajak[[#This Row],[//]]="","",SUMIF(Table1[h_id],pajak[[#This Row],[//]],Table1[h_hargasetelahdiskon]))</f>
        <v>832140</v>
      </c>
      <c r="K6" s="89">
        <f ca="1">IF(pajak[//]="","",pajak[[#This Row],[Sub Total]]/1.11*11%)</f>
        <v>82464.32432432432</v>
      </c>
      <c r="L6" s="89">
        <f ca="1">pajak[[#This Row],[Sub Total]]</f>
        <v>832140</v>
      </c>
      <c r="M6" s="86" t="str">
        <f>IF(pajak[[#This Row],[//]]="","",INDEX(Table1[pembuat nota :],pajak[//]-offset))</f>
        <v>NOVI / CONDRO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14</v>
      </c>
      <c r="C7">
        <f t="shared" si="0"/>
        <v>14</v>
      </c>
      <c r="D7" t="str">
        <f>IF(pajak[[#This Row],[//]]="","",INDEX(Table1[No. Invoice :],pajak[//]-offset))</f>
        <v>AM 23030005</v>
      </c>
      <c r="E7" s="90">
        <f>IF(pajak[[#This Row],[//]]="","",INDEX(Table1[Tgl Invoice :],pajak[//]-offset))</f>
        <v>44991</v>
      </c>
      <c r="F7" t="str">
        <f>IF(pajak[[#This Row],[//]]="","",INDEX(Table1[Kode Sales :],pajak[//]-offset))</f>
        <v>KO 2906</v>
      </c>
      <c r="G7" t="str">
        <f>IF(pajak[[#This Row],[//]]="","",INDEX(Table1[Toko],pajak[//]-offset))</f>
        <v>CV TRINITY CENTRAAL PURWOKERTO</v>
      </c>
      <c r="H7" s="89">
        <f ca="1">IF(pajak[[#This Row],[//]]="","",SUMIF(Table1[h_id],pajak[[#This Row],[//]],Table1[h_hargasebelumdiskon]))</f>
        <v>4968000</v>
      </c>
      <c r="I7" s="89">
        <f ca="1">IF(pajak[[#This Row],[//]]="","",SUMIF(Table1[h_id],pajak[[#This Row],[//]],Table1[h_diskon]))</f>
        <v>645840</v>
      </c>
      <c r="J7" s="89">
        <f ca="1">IF(pajak[[#This Row],[//]]="","",SUMIF(Table1[h_id],pajak[[#This Row],[//]],Table1[h_hargasetelahdiskon]))</f>
        <v>4322160</v>
      </c>
      <c r="K7" s="89">
        <f ca="1">IF(pajak[//]="","",pajak[[#This Row],[Sub Total]]/1.11*11%)</f>
        <v>428322.16216216213</v>
      </c>
      <c r="L7" s="89">
        <f ca="1">pajak[[#This Row],[Sub Total]]</f>
        <v>4322160</v>
      </c>
      <c r="M7" s="86" t="str">
        <f>IF(pajak[[#This Row],[//]]="","",INDEX(Table1[pembuat nota :],pajak[//]-offset))</f>
        <v>NOVI / CONDRO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17</v>
      </c>
      <c r="C8">
        <f t="shared" si="0"/>
        <v>17</v>
      </c>
      <c r="D8" t="str">
        <f>IF(pajak[[#This Row],[//]]="","",INDEX(Table1[No. Invoice :],pajak[//]-offset))</f>
        <v>AM 23030006</v>
      </c>
      <c r="E8" s="90">
        <f>IF(pajak[[#This Row],[//]]="","",INDEX(Table1[Tgl Invoice :],pajak[//]-offset))</f>
        <v>44991</v>
      </c>
      <c r="F8" t="str">
        <f>IF(pajak[[#This Row],[//]]="","",INDEX(Table1[Kode Sales :],pajak[//]-offset))</f>
        <v>KO 2907</v>
      </c>
      <c r="G8" t="str">
        <f>IF(pajak[[#This Row],[//]]="","",INDEX(Table1[Toko],pajak[//]-offset))</f>
        <v>CV PELITA JAYA (ANUGERAH SEJAHTERA) PURWOKERTO</v>
      </c>
      <c r="H8" s="89">
        <f ca="1">IF(pajak[[#This Row],[//]]="","",SUMIF(Table1[h_id],pajak[[#This Row],[//]],Table1[h_hargasebelumdiskon]))</f>
        <v>11707200</v>
      </c>
      <c r="I8" s="89">
        <f ca="1">IF(pajak[[#This Row],[//]]="","",SUMIF(Table1[h_id],pajak[[#This Row],[//]],Table1[h_diskon]))</f>
        <v>1580472</v>
      </c>
      <c r="J8" s="89">
        <f ca="1">IF(pajak[[#This Row],[//]]="","",SUMIF(Table1[h_id],pajak[[#This Row],[//]],Table1[h_hargasetelahdiskon]))</f>
        <v>10126728</v>
      </c>
      <c r="K8" s="89">
        <f ca="1">IF(pajak[//]="","",pajak[[#This Row],[Sub Total]]/1.11*11%)</f>
        <v>1003549.6216216217</v>
      </c>
      <c r="L8" s="89">
        <f ca="1">pajak[[#This Row],[Sub Total]]</f>
        <v>10126728</v>
      </c>
      <c r="M8" s="86" t="str">
        <f>IF(pajak[[#This Row],[//]]="","",INDEX(Table1[pembuat nota :],pajak[//]-offset))</f>
        <v>NOVI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20</v>
      </c>
      <c r="C9">
        <f t="shared" si="0"/>
        <v>20</v>
      </c>
      <c r="D9" t="str">
        <f>IF(pajak[[#This Row],[//]]="","",INDEX(Table1[No. Invoice :],pajak[//]-offset))</f>
        <v>AM 23030007</v>
      </c>
      <c r="E9" s="90">
        <f>IF(pajak[[#This Row],[//]]="","",INDEX(Table1[Tgl Invoice :],pajak[//]-offset))</f>
        <v>44992</v>
      </c>
      <c r="F9" t="str">
        <f>IF(pajak[[#This Row],[//]]="","",INDEX(Table1[Kode Sales :],pajak[//]-offset))</f>
        <v>KO 2909</v>
      </c>
      <c r="G9" t="str">
        <f>IF(pajak[[#This Row],[//]]="","",INDEX(Table1[Toko],pajak[//]-offset))</f>
        <v>HARNOYO (BENDAN) PEKALONGAN</v>
      </c>
      <c r="H9" s="89">
        <f ca="1">IF(pajak[[#This Row],[//]]="","",SUMIF(Table1[h_id],pajak[[#This Row],[//]],Table1[h_hargasebelumdiskon]))</f>
        <v>7950000</v>
      </c>
      <c r="I9" s="89">
        <f ca="1">IF(pajak[[#This Row],[//]]="","",SUMIF(Table1[h_id],pajak[[#This Row],[//]],Table1[h_diskon]))</f>
        <v>0</v>
      </c>
      <c r="J9" s="89">
        <f ca="1">IF(pajak[[#This Row],[//]]="","",SUMIF(Table1[h_id],pajak[[#This Row],[//]],Table1[h_hargasetelahdiskon]))</f>
        <v>7950000</v>
      </c>
      <c r="K9" s="89">
        <f ca="1">IF(pajak[//]="","",pajak[[#This Row],[Sub Total]]/1.11*11%)</f>
        <v>787837.83783783775</v>
      </c>
      <c r="L9" s="89">
        <f ca="1">pajak[[#This Row],[Sub Total]]</f>
        <v>7950000</v>
      </c>
      <c r="M9" s="86" t="str">
        <f>IF(pajak[[#This Row],[//]]="","",INDEX(Table1[pembuat nota :],pajak[//]-offset))</f>
        <v>NOVI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22</v>
      </c>
      <c r="C10">
        <f t="shared" si="0"/>
        <v>22</v>
      </c>
      <c r="D10" t="str">
        <f>IF(pajak[[#This Row],[//]]="","",INDEX(Table1[No. Invoice :],pajak[//]-offset))</f>
        <v>AM 23030008</v>
      </c>
      <c r="E10" s="90">
        <f>IF(pajak[[#This Row],[//]]="","",INDEX(Table1[Tgl Invoice :],pajak[//]-offset))</f>
        <v>44993</v>
      </c>
      <c r="F10" t="str">
        <f>IF(pajak[[#This Row],[//]]="","",INDEX(Table1[Kode Sales :],pajak[//]-offset))</f>
        <v>KO 1009</v>
      </c>
      <c r="G10" t="str">
        <f>IF(pajak[[#This Row],[//]]="","",INDEX(Table1[Toko],pajak[//]-offset))</f>
        <v>SOEYANTO LOPULUSI ( LANCAR ) MALANG</v>
      </c>
      <c r="H10" s="89">
        <f ca="1">IF(pajak[[#This Row],[//]]="","",SUMIF(Table1[h_id],pajak[[#This Row],[//]],Table1[h_hargasebelumdiskon]))</f>
        <v>3052800</v>
      </c>
      <c r="I10" s="89">
        <f ca="1">IF(pajak[[#This Row],[//]]="","",SUMIF(Table1[h_id],pajak[[#This Row],[//]],Table1[h_diskon]))</f>
        <v>381600</v>
      </c>
      <c r="J10" s="89">
        <f ca="1">IF(pajak[[#This Row],[//]]="","",SUMIF(Table1[h_id],pajak[[#This Row],[//]],Table1[h_hargasetelahdiskon]))</f>
        <v>2671200</v>
      </c>
      <c r="K10" s="89">
        <f ca="1">IF(pajak[//]="","",pajak[[#This Row],[Sub Total]]/1.11*11%)</f>
        <v>264713.51351351349</v>
      </c>
      <c r="L10" s="89">
        <f ca="1">pajak[[#This Row],[Sub Total]]</f>
        <v>2671200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24</v>
      </c>
      <c r="C11">
        <f t="shared" si="0"/>
        <v>24</v>
      </c>
      <c r="D11" t="str">
        <f>IF(pajak[[#This Row],[//]]="","",INDEX(Table1[No. Invoice :],pajak[//]-offset))</f>
        <v>AM 23030009</v>
      </c>
      <c r="E11" s="90">
        <f>IF(pajak[[#This Row],[//]]="","",INDEX(Table1[Tgl Invoice :],pajak[//]-offset))</f>
        <v>44994</v>
      </c>
      <c r="F11" t="str">
        <f>IF(pajak[[#This Row],[//]]="","",INDEX(Table1[Kode Sales :],pajak[//]-offset))</f>
        <v>KO 0734</v>
      </c>
      <c r="G11" t="str">
        <f>IF(pajak[[#This Row],[//]]="","",INDEX(Table1[Toko],pajak[//]-offset))</f>
        <v>SOEYANTO LOPULUSI ( LANCAR ) MALANG</v>
      </c>
      <c r="H11" s="89">
        <f ca="1">IF(pajak[[#This Row],[//]]="","",SUMIF(Table1[h_id],pajak[[#This Row],[//]],Table1[h_hargasebelumdiskon]))</f>
        <v>9714000</v>
      </c>
      <c r="I11" s="89">
        <f ca="1">IF(pajak[[#This Row],[//]]="","",SUMIF(Table1[h_id],pajak[[#This Row],[//]],Table1[h_diskon]))</f>
        <v>1214250</v>
      </c>
      <c r="J11" s="89">
        <f ca="1">IF(pajak[[#This Row],[//]]="","",SUMIF(Table1[h_id],pajak[[#This Row],[//]],Table1[h_hargasetelahdiskon]))</f>
        <v>8499750</v>
      </c>
      <c r="K11" s="89">
        <f ca="1">IF(pajak[//]="","",pajak[[#This Row],[Sub Total]]/1.11*11%)</f>
        <v>842317.56756756746</v>
      </c>
      <c r="L11" s="89">
        <f ca="1">pajak[[#This Row],[Sub Total]]</f>
        <v>8499750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27</v>
      </c>
      <c r="C12" s="86">
        <f t="shared" si="0"/>
        <v>27</v>
      </c>
      <c r="D12" s="86" t="str">
        <f>IF(pajak[[#This Row],[//]]="","",INDEX(Table1[No. Invoice :],pajak[//]-offset))</f>
        <v>AM 23030010</v>
      </c>
      <c r="E12" s="90">
        <f>IF(pajak[[#This Row],[//]]="","",INDEX(Table1[Tgl Invoice :],pajak[//]-offset))</f>
        <v>44995</v>
      </c>
      <c r="F12" s="86" t="str">
        <f>IF(pajak[[#This Row],[//]]="","",INDEX(Table1[Kode Sales :],pajak[//]-offset))</f>
        <v>KO 1224</v>
      </c>
      <c r="G12" s="86" t="str">
        <f>IF(pajak[[#This Row],[//]]="","",INDEX(Table1[Toko],pajak[//]-offset))</f>
        <v>CV TRINITY CENTRAAL PURWOKERTO</v>
      </c>
      <c r="H12" s="89">
        <f ca="1">IF(pajak[[#This Row],[//]]="","",SUMIF(Table1[h_id],pajak[[#This Row],[//]],Table1[h_hargasebelumdiskon]))</f>
        <v>1252800</v>
      </c>
      <c r="I12" s="89">
        <f ca="1">IF(pajak[[#This Row],[//]]="","",SUMIF(Table1[h_id],pajak[[#This Row],[//]],Table1[h_diskon]))</f>
        <v>162864</v>
      </c>
      <c r="J12" s="89">
        <f ca="1">IF(pajak[[#This Row],[//]]="","",SUMIF(Table1[h_id],pajak[[#This Row],[//]],Table1[h_hargasetelahdiskon]))</f>
        <v>1089936</v>
      </c>
      <c r="K12" s="89">
        <f ca="1">IF(pajak[//]="","",pajak[[#This Row],[Sub Total]]/1.11*11%)</f>
        <v>108011.67567567567</v>
      </c>
      <c r="L12" s="89">
        <f ca="1">pajak[[#This Row],[Sub Total]]</f>
        <v>1089936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29</v>
      </c>
      <c r="C13" s="86">
        <f t="shared" si="0"/>
        <v>29</v>
      </c>
      <c r="D13" s="86" t="str">
        <f>IF(pajak[[#This Row],[//]]="","",INDEX(Table1[No. Invoice :],pajak[//]-offset))</f>
        <v>AM 23030011</v>
      </c>
      <c r="E13" s="90">
        <f>IF(pajak[[#This Row],[//]]="","",INDEX(Table1[Tgl Invoice :],pajak[//]-offset))</f>
        <v>44996</v>
      </c>
      <c r="F13" s="86" t="str">
        <f>IF(pajak[[#This Row],[//]]="","",INDEX(Table1[Kode Sales :],pajak[//]-offset))</f>
        <v>G 2966</v>
      </c>
      <c r="G13" s="86" t="str">
        <f>IF(pajak[[#This Row],[//]]="","",INDEX(Table1[Toko],pajak[//]-offset))</f>
        <v>CV UTAMA PUTRA TULUNG AGUNG</v>
      </c>
      <c r="H13" s="89">
        <f ca="1">IF(pajak[[#This Row],[//]]="","",SUMIF(Table1[h_id],pajak[[#This Row],[//]],Table1[h_hargasebelumdiskon]))</f>
        <v>1365000</v>
      </c>
      <c r="I13" s="89">
        <f ca="1">IF(pajak[[#This Row],[//]]="","",SUMIF(Table1[h_id],pajak[[#This Row],[//]],Table1[h_diskon]))</f>
        <v>170625</v>
      </c>
      <c r="J13" s="89">
        <f ca="1">IF(pajak[[#This Row],[//]]="","",SUMIF(Table1[h_id],pajak[[#This Row],[//]],Table1[h_hargasetelahdiskon]))</f>
        <v>1194375</v>
      </c>
      <c r="K13" s="89">
        <f ca="1">IF(pajak[//]="","",pajak[[#This Row],[Sub Total]]/1.11*11%)</f>
        <v>118361.48648648646</v>
      </c>
      <c r="L13" s="89">
        <f ca="1">pajak[[#This Row],[Sub Total]]</f>
        <v>1194375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31</v>
      </c>
      <c r="C14" s="86">
        <f t="shared" si="0"/>
        <v>31</v>
      </c>
      <c r="D14" s="86" t="str">
        <f>IF(pajak[[#This Row],[//]]="","",INDEX(Table1[No. Invoice :],pajak[//]-offset))</f>
        <v>AM 23030012</v>
      </c>
      <c r="E14" s="90">
        <f>IF(pajak[[#This Row],[//]]="","",INDEX(Table1[Tgl Invoice :],pajak[//]-offset))</f>
        <v>44998</v>
      </c>
      <c r="F14" s="86" t="str">
        <f>IF(pajak[[#This Row],[//]]="","",INDEX(Table1[Kode Sales :],pajak[//]-offset))</f>
        <v>KO 2970</v>
      </c>
      <c r="G14" s="86" t="str">
        <f>IF(pajak[[#This Row],[//]]="","",INDEX(Table1[Toko],pajak[//]-offset))</f>
        <v>CV PELITA JAYA (ANUGERAH SEJAHTERA) PURWOKERTO</v>
      </c>
      <c r="H14" s="89">
        <f ca="1">IF(pajak[[#This Row],[//]]="","",SUMIF(Table1[h_id],pajak[[#This Row],[//]],Table1[h_hargasebelumdiskon]))</f>
        <v>6210000</v>
      </c>
      <c r="I14" s="89">
        <f ca="1">IF(pajak[[#This Row],[//]]="","",SUMIF(Table1[h_id],pajak[[#This Row],[//]],Table1[h_diskon]))</f>
        <v>838350</v>
      </c>
      <c r="J14" s="89">
        <f ca="1">IF(pajak[[#This Row],[//]]="","",SUMIF(Table1[h_id],pajak[[#This Row],[//]],Table1[h_hargasetelahdiskon]))</f>
        <v>5371650</v>
      </c>
      <c r="K14" s="89">
        <f ca="1">IF(pajak[//]="","",pajak[[#This Row],[Sub Total]]/1.11*11%)</f>
        <v>532325.67567567562</v>
      </c>
      <c r="L14" s="89">
        <f ca="1">pajak[[#This Row],[Sub Total]]</f>
        <v>5371650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34</v>
      </c>
      <c r="C15" s="86">
        <f t="shared" si="0"/>
        <v>34</v>
      </c>
      <c r="D15" s="86" t="str">
        <f>IF(pajak[[#This Row],[//]]="","",INDEX(Table1[No. Invoice :],pajak[//]-offset))</f>
        <v>AM 23030013</v>
      </c>
      <c r="E15" s="90">
        <f>IF(pajak[[#This Row],[//]]="","",INDEX(Table1[Tgl Invoice :],pajak[//]-offset))</f>
        <v>44998</v>
      </c>
      <c r="F15" s="86" t="str">
        <f>IF(pajak[[#This Row],[//]]="","",INDEX(Table1[Kode Sales :],pajak[//]-offset))</f>
        <v>KO 2977</v>
      </c>
      <c r="G15" s="86" t="str">
        <f>IF(pajak[[#This Row],[//]]="","",INDEX(Table1[Toko],pajak[//]-offset))</f>
        <v>CV TRINITY CENTRAAL PURWOKERTO</v>
      </c>
      <c r="H15" s="89">
        <f ca="1">IF(pajak[[#This Row],[//]]="","",SUMIF(Table1[h_id],pajak[[#This Row],[//]],Table1[h_hargasebelumdiskon]))</f>
        <v>1413600</v>
      </c>
      <c r="I15" s="89">
        <f ca="1">IF(pajak[[#This Row],[//]]="","",SUMIF(Table1[h_id],pajak[[#This Row],[//]],Table1[h_diskon]))</f>
        <v>183768</v>
      </c>
      <c r="J15" s="89">
        <f ca="1">IF(pajak[[#This Row],[//]]="","",SUMIF(Table1[h_id],pajak[[#This Row],[//]],Table1[h_hargasetelahdiskon]))</f>
        <v>1229832</v>
      </c>
      <c r="K15" s="89">
        <f ca="1">IF(pajak[//]="","",pajak[[#This Row],[Sub Total]]/1.11*11%)</f>
        <v>121875.24324324324</v>
      </c>
      <c r="L15" s="89">
        <f ca="1">pajak[[#This Row],[Sub Total]]</f>
        <v>1229832</v>
      </c>
      <c r="M15" s="86" t="str">
        <f>IF(pajak[[#This Row],[//]]="","",INDEX(Table1[pembuat nota :],pajak[//]-offset))</f>
        <v>NOVI / CONDRO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36</v>
      </c>
      <c r="C16" s="86">
        <f t="shared" si="0"/>
        <v>36</v>
      </c>
      <c r="D16" s="86" t="str">
        <f>IF(pajak[[#This Row],[//]]="","",INDEX(Table1[No. Invoice :],pajak[//]-offset))</f>
        <v>AM 23030014</v>
      </c>
      <c r="E16" s="90">
        <f>IF(pajak[[#This Row],[//]]="","",INDEX(Table1[Tgl Invoice :],pajak[//]-offset))</f>
        <v>44998</v>
      </c>
      <c r="F16" s="86" t="str">
        <f>IF(pajak[[#This Row],[//]]="","",INDEX(Table1[Kode Sales :],pajak[//]-offset))</f>
        <v>KO 2981</v>
      </c>
      <c r="G16" s="86" t="str">
        <f>IF(pajak[[#This Row],[//]]="","",INDEX(Table1[Toko],pajak[//]-offset))</f>
        <v>HARNOYO (BENDAN) PEKALONGAN</v>
      </c>
      <c r="H16" s="89">
        <f ca="1">IF(pajak[[#This Row],[//]]="","",SUMIF(Table1[h_id],pajak[[#This Row],[//]],Table1[h_hargasebelumdiskon]))</f>
        <v>1246000</v>
      </c>
      <c r="I16" s="89">
        <f ca="1">IF(pajak[[#This Row],[//]]="","",SUMIF(Table1[h_id],pajak[[#This Row],[//]],Table1[h_diskon]))</f>
        <v>174440.00000000003</v>
      </c>
      <c r="J16" s="89">
        <f ca="1">IF(pajak[[#This Row],[//]]="","",SUMIF(Table1[h_id],pajak[[#This Row],[//]],Table1[h_hargasetelahdiskon]))</f>
        <v>1071560</v>
      </c>
      <c r="K16" s="89">
        <f ca="1">IF(pajak[//]="","",pajak[[#This Row],[Sub Total]]/1.11*11%)</f>
        <v>106190.63063063062</v>
      </c>
      <c r="L16" s="89">
        <f ca="1">pajak[[#This Row],[Sub Total]]</f>
        <v>1071560</v>
      </c>
      <c r="M16" s="86" t="str">
        <f>IF(pajak[[#This Row],[//]]="","",INDEX(Table1[pembuat nota :],pajak[//]-offset))</f>
        <v>NOVI / CONDRO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39</v>
      </c>
      <c r="C17" s="86">
        <f t="shared" si="0"/>
        <v>39</v>
      </c>
      <c r="D17" s="86" t="str">
        <f>IF(pajak[[#This Row],[//]]="","",INDEX(Table1[No. Invoice :],pajak[//]-offset))</f>
        <v>AM 23030015</v>
      </c>
      <c r="E17" s="90">
        <f>IF(pajak[[#This Row],[//]]="","",INDEX(Table1[Tgl Invoice :],pajak[//]-offset))</f>
        <v>44999</v>
      </c>
      <c r="F17" s="86" t="str">
        <f>IF(pajak[[#This Row],[//]]="","",INDEX(Table1[Kode Sales :],pajak[//]-offset))</f>
        <v>KO 2985</v>
      </c>
      <c r="G17" s="86" t="str">
        <f>IF(pajak[[#This Row],[//]]="","",INDEX(Table1[Toko],pajak[//]-offset))</f>
        <v>CV PELITA JAYA (ANUGERAH SEJAHTERA) PURWOKERTO</v>
      </c>
      <c r="H17" s="89">
        <f ca="1">IF(pajak[[#This Row],[//]]="","",SUMIF(Table1[h_id],pajak[[#This Row],[//]],Table1[h_hargasebelumdiskon]))</f>
        <v>7516800</v>
      </c>
      <c r="I17" s="89">
        <f ca="1">IF(pajak[[#This Row],[//]]="","",SUMIF(Table1[h_id],pajak[[#This Row],[//]],Table1[h_diskon]))</f>
        <v>1014768.0000000001</v>
      </c>
      <c r="J17" s="89">
        <f ca="1">IF(pajak[[#This Row],[//]]="","",SUMIF(Table1[h_id],pajak[[#This Row],[//]],Table1[h_hargasetelahdiskon]))</f>
        <v>6502032</v>
      </c>
      <c r="K17" s="89">
        <f ca="1">IF(pajak[//]="","",pajak[[#This Row],[Sub Total]]/1.11*11%)</f>
        <v>644345.51351351349</v>
      </c>
      <c r="L17" s="89">
        <f ca="1">pajak[[#This Row],[Sub Total]]</f>
        <v>6502032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41</v>
      </c>
      <c r="C18" s="86">
        <f t="shared" si="0"/>
        <v>41</v>
      </c>
      <c r="D18" s="86" t="str">
        <f>IF(pajak[[#This Row],[//]]="","",INDEX(Table1[No. Invoice :],pajak[//]-offset))</f>
        <v>AM 23030016</v>
      </c>
      <c r="E18" s="90">
        <f>IF(pajak[[#This Row],[//]]="","",INDEX(Table1[Tgl Invoice :],pajak[//]-offset))</f>
        <v>45000</v>
      </c>
      <c r="F18" s="86" t="str">
        <f>IF(pajak[[#This Row],[//]]="","",INDEX(Table1[Kode Sales :],pajak[//]-offset))</f>
        <v>G 2989</v>
      </c>
      <c r="G18" s="86" t="str">
        <f>IF(pajak[[#This Row],[//]]="","",INDEX(Table1[Toko],pajak[//]-offset))</f>
        <v>LILY JULIAWATI (REJO AGUNG) JOMBANG</v>
      </c>
      <c r="H18" s="89">
        <f ca="1">IF(pajak[[#This Row],[//]]="","",SUMIF(Table1[h_id],pajak[[#This Row],[//]],Table1[h_hargasebelumdiskon]))</f>
        <v>11216000</v>
      </c>
      <c r="I18" s="89">
        <f ca="1">IF(pajak[[#This Row],[//]]="","",SUMIF(Table1[h_id],pajak[[#This Row],[//]],Table1[h_diskon]))</f>
        <v>0</v>
      </c>
      <c r="J18" s="89">
        <f ca="1">IF(pajak[[#This Row],[//]]="","",SUMIF(Table1[h_id],pajak[[#This Row],[//]],Table1[h_hargasetelahdiskon]))</f>
        <v>11216000</v>
      </c>
      <c r="K18" s="89">
        <f ca="1">IF(pajak[//]="","",pajak[[#This Row],[Sub Total]]/1.11*11%)</f>
        <v>1111495.4954954954</v>
      </c>
      <c r="L18" s="89">
        <f ca="1">pajak[[#This Row],[Sub Total]]</f>
        <v>11216000</v>
      </c>
      <c r="M18" s="86" t="str">
        <f>IF(pajak[[#This Row],[//]]="","",INDEX(Table1[pembuat nota :],pajak[//]-offset))</f>
        <v>NOVI 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44</v>
      </c>
      <c r="B19" s="299"/>
      <c r="C19" s="86">
        <f t="shared" si="0"/>
        <v>44</v>
      </c>
      <c r="D19" s="86" t="str">
        <f>IF(pajak[[#This Row],[//]]="","",INDEX(Table1[No. Invoice :],pajak[//]-offset))</f>
        <v>AM 23030017</v>
      </c>
      <c r="E19" s="90">
        <f>IF(pajak[[#This Row],[//]]="","",INDEX(Table1[Tgl Invoice :],pajak[//]-offset))</f>
        <v>45000</v>
      </c>
      <c r="F19" s="86" t="str">
        <f>IF(pajak[[#This Row],[//]]="","",INDEX(Table1[Kode Sales :],pajak[//]-offset))</f>
        <v>KO 0748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32089600</v>
      </c>
      <c r="I19" s="89">
        <f ca="1">IF(pajak[[#This Row],[//]]="","",SUMIF(Table1[h_id],pajak[[#This Row],[//]],Table1[h_diskon]))</f>
        <v>4011200</v>
      </c>
      <c r="J19" s="89">
        <f ca="1">IF(pajak[[#This Row],[//]]="","",SUMIF(Table1[h_id],pajak[[#This Row],[//]],Table1[h_hargasetelahdiskon]))</f>
        <v>28078400</v>
      </c>
      <c r="K19" s="89">
        <f ca="1">IF(pajak[//]="","",pajak[[#This Row],[Sub Total]]/1.11*11%)</f>
        <v>2782544.1441441439</v>
      </c>
      <c r="L19" s="89">
        <f ca="1">pajak[[#This Row],[Sub Total]]</f>
        <v>28078400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55</v>
      </c>
      <c r="C20" s="86">
        <f t="shared" si="0"/>
        <v>55</v>
      </c>
      <c r="D20" s="86" t="str">
        <f>IF(pajak[[#This Row],[//]]="","",INDEX(Table1[No. Invoice :],pajak[//]-offset))</f>
        <v>AM 23030018</v>
      </c>
      <c r="E20" s="90">
        <f>IF(pajak[[#This Row],[//]]="","",INDEX(Table1[Tgl Invoice :],pajak[//]-offset))</f>
        <v>45000</v>
      </c>
      <c r="F20" s="86" t="str">
        <f>IF(pajak[[#This Row],[//]]="","",INDEX(Table1[Kode Sales :],pajak[//]-offset))</f>
        <v>G 2991</v>
      </c>
      <c r="G20" s="86" t="str">
        <f>IF(pajak[[#This Row],[//]]="","",INDEX(Table1[Toko],pajak[//]-offset))</f>
        <v>LILY JULIAWATI (REJO AGUNG) JOMBANG</v>
      </c>
      <c r="H20" s="89">
        <f ca="1">IF(pajak[[#This Row],[//]]="","",SUMIF(Table1[h_id],pajak[[#This Row],[//]],Table1[h_hargasebelumdiskon]))</f>
        <v>9600000</v>
      </c>
      <c r="I20" s="89">
        <f ca="1">IF(pajak[[#This Row],[//]]="","",SUMIF(Table1[h_id],pajak[[#This Row],[//]],Table1[h_diskon]))</f>
        <v>1200000</v>
      </c>
      <c r="J20" s="89">
        <f ca="1">IF(pajak[[#This Row],[//]]="","",SUMIF(Table1[h_id],pajak[[#This Row],[//]],Table1[h_hargasetelahdiskon]))</f>
        <v>8400000</v>
      </c>
      <c r="K20" s="89">
        <f ca="1">IF(pajak[//]="","",pajak[[#This Row],[Sub Total]]/1.11*11%)</f>
        <v>832432.43243243243</v>
      </c>
      <c r="L20" s="89">
        <f ca="1">pajak[[#This Row],[Sub Total]]</f>
        <v>8400000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57</v>
      </c>
      <c r="C21" s="86">
        <f t="shared" si="0"/>
        <v>57</v>
      </c>
      <c r="D21" s="86" t="str">
        <f>IF(pajak[[#This Row],[//]]="","",INDEX(Table1[No. Invoice :],pajak[//]-offset))</f>
        <v>AM 23030019</v>
      </c>
      <c r="E21" s="90">
        <f>IF(pajak[[#This Row],[//]]="","",INDEX(Table1[Tgl Invoice :],pajak[//]-offset))</f>
        <v>45001</v>
      </c>
      <c r="F21" s="86" t="str">
        <f>IF(pajak[[#This Row],[//]]="","",INDEX(Table1[Kode Sales :],pajak[//]-offset))</f>
        <v>G 2998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6336000</v>
      </c>
      <c r="I21" s="89">
        <f ca="1">IF(pajak[[#This Row],[//]]="","",SUMIF(Table1[h_id],pajak[[#This Row],[//]],Table1[h_diskon]))</f>
        <v>0</v>
      </c>
      <c r="J21" s="89">
        <f ca="1">IF(pajak[[#This Row],[//]]="","",SUMIF(Table1[h_id],pajak[[#This Row],[//]],Table1[h_hargasetelahdiskon]))</f>
        <v>6336000</v>
      </c>
      <c r="K21" s="89">
        <f ca="1">IF(pajak[//]="","",pajak[[#This Row],[Sub Total]]/1.11*11%)</f>
        <v>627891.89189189184</v>
      </c>
      <c r="L21" s="89">
        <f ca="1">pajak[[#This Row],[Sub Total]]</f>
        <v>6336000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59</v>
      </c>
      <c r="C22" s="86">
        <f t="shared" si="0"/>
        <v>59</v>
      </c>
      <c r="D22" s="86" t="str">
        <f>IF(pajak[[#This Row],[//]]="","",INDEX(Table1[No. Invoice :],pajak[//]-offset))</f>
        <v>AM 23030020</v>
      </c>
      <c r="E22" s="90">
        <f>IF(pajak[[#This Row],[//]]="","",INDEX(Table1[Tgl Invoice :],pajak[//]-offset))</f>
        <v>45002</v>
      </c>
      <c r="F22" s="86" t="str">
        <f>IF(pajak[[#This Row],[//]]="","",INDEX(Table1[Kode Sales :],pajak[//]-offset))</f>
        <v>N 1302</v>
      </c>
      <c r="G22" s="86" t="str">
        <f>IF(pajak[[#This Row],[//]]="","",INDEX(Table1[Toko],pajak[//]-offset))</f>
        <v>RENI (JATI MULYO) KEBUMEN</v>
      </c>
      <c r="H22" s="89">
        <f ca="1">IF(pajak[[#This Row],[//]]="","",SUMIF(Table1[h_id],pajak[[#This Row],[//]],Table1[h_hargasebelumdiskon]))</f>
        <v>15552000</v>
      </c>
      <c r="I22" s="89">
        <f ca="1">IF(pajak[[#This Row],[//]]="","",SUMIF(Table1[h_id],pajak[[#This Row],[//]],Table1[h_diskon]))</f>
        <v>0</v>
      </c>
      <c r="J22" s="89">
        <f ca="1">IF(pajak[[#This Row],[//]]="","",SUMIF(Table1[h_id],pajak[[#This Row],[//]],Table1[h_hargasetelahdiskon]))</f>
        <v>15552000</v>
      </c>
      <c r="K22" s="89">
        <f ca="1">IF(pajak[//]="","",pajak[[#This Row],[Sub Total]]/1.11*11%)</f>
        <v>1541189.1891891891</v>
      </c>
      <c r="L22" s="89">
        <f ca="1">pajak[[#This Row],[Sub Total]]</f>
        <v>15552000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66</v>
      </c>
      <c r="C23" s="86">
        <f t="shared" si="0"/>
        <v>66</v>
      </c>
      <c r="D23" s="86" t="str">
        <f>IF(pajak[[#This Row],[//]]="","",INDEX(Table1[No. Invoice :],pajak[//]-offset))</f>
        <v>AM 23030021</v>
      </c>
      <c r="E23" s="90">
        <f>IF(pajak[[#This Row],[//]]="","",INDEX(Table1[Tgl Invoice :],pajak[//]-offset))</f>
        <v>45002</v>
      </c>
      <c r="F23" s="86" t="str">
        <f>IF(pajak[[#This Row],[//]]="","",INDEX(Table1[Kode Sales :],pajak[//]-offset))</f>
        <v>KO 1307</v>
      </c>
      <c r="G23" s="86" t="str">
        <f>IF(pajak[[#This Row],[//]]="","",INDEX(Table1[Toko],pajak[//]-offset))</f>
        <v>CV  WISUDA PURWOKERTO</v>
      </c>
      <c r="H23" s="89">
        <f ca="1">IF(pajak[[#This Row],[//]]="","",SUMIF(Table1[h_id],pajak[[#This Row],[//]],Table1[h_hargasebelumdiskon]))</f>
        <v>900000</v>
      </c>
      <c r="I23" s="89">
        <f ca="1">IF(pajak[[#This Row],[//]]="","",SUMIF(Table1[h_id],pajak[[#This Row],[//]],Table1[h_diskon]))</f>
        <v>90000</v>
      </c>
      <c r="J23" s="89">
        <f ca="1">IF(pajak[[#This Row],[//]]="","",SUMIF(Table1[h_id],pajak[[#This Row],[//]],Table1[h_hargasetelahdiskon]))</f>
        <v>810000</v>
      </c>
      <c r="K23" s="89">
        <f ca="1">IF(pajak[//]="","",pajak[[#This Row],[Sub Total]]/1.11*11%)</f>
        <v>80270.270270270266</v>
      </c>
      <c r="L23" s="89">
        <f ca="1">pajak[[#This Row],[Sub Total]]</f>
        <v>810000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68</v>
      </c>
      <c r="C24" s="86">
        <f t="shared" si="0"/>
        <v>68</v>
      </c>
      <c r="D24" s="86" t="str">
        <f>IF(pajak[[#This Row],[//]]="","",INDEX(Table1[No. Invoice :],pajak[//]-offset))</f>
        <v>AM 23030022</v>
      </c>
      <c r="E24" s="90">
        <f>IF(pajak[[#This Row],[//]]="","",INDEX(Table1[Tgl Invoice :],pajak[//]-offset))</f>
        <v>45002</v>
      </c>
      <c r="F24" s="86" t="str">
        <f>IF(pajak[[#This Row],[//]]="","",INDEX(Table1[Kode Sales :],pajak[//]-offset))</f>
        <v>KO 1232</v>
      </c>
      <c r="G24" s="86" t="str">
        <f>IF(pajak[[#This Row],[//]]="","",INDEX(Table1[Toko],pajak[//]-offset))</f>
        <v>CV DWI JAYA YOGYAKARTA</v>
      </c>
      <c r="H24" s="89">
        <f ca="1">IF(pajak[[#This Row],[//]]="","",SUMIF(Table1[h_id],pajak[[#This Row],[//]],Table1[h_hargasebelumdiskon]))</f>
        <v>1466000</v>
      </c>
      <c r="I24" s="89">
        <f ca="1">IF(pajak[[#This Row],[//]]="","",SUMIF(Table1[h_id],pajak[[#This Row],[//]],Table1[h_diskon]))</f>
        <v>146600</v>
      </c>
      <c r="J24" s="89">
        <f ca="1">IF(pajak[[#This Row],[//]]="","",SUMIF(Table1[h_id],pajak[[#This Row],[//]],Table1[h_hargasetelahdiskon]))</f>
        <v>1319400</v>
      </c>
      <c r="K24" s="89">
        <f ca="1">IF(pajak[//]="","",pajak[[#This Row],[Sub Total]]/1.11*11%)</f>
        <v>130751.35135135133</v>
      </c>
      <c r="L24" s="89">
        <f ca="1">pajak[[#This Row],[Sub Total]]</f>
        <v>1319400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74</v>
      </c>
      <c r="C25" s="86">
        <f t="shared" si="0"/>
        <v>74</v>
      </c>
      <c r="D25" s="86" t="str">
        <f>IF(pajak[[#This Row],[//]]="","",INDEX(Table1[No. Invoice :],pajak[//]-offset))</f>
        <v>AM 23030023</v>
      </c>
      <c r="E25" s="90">
        <f>IF(pajak[[#This Row],[//]]="","",INDEX(Table1[Tgl Invoice :],pajak[//]-offset))</f>
        <v>45003</v>
      </c>
      <c r="F25" s="86" t="str">
        <f>IF(pajak[[#This Row],[//]]="","",INDEX(Table1[Kode Sales :],pajak[//]-offset))</f>
        <v>KO 1318</v>
      </c>
      <c r="G25" s="86" t="str">
        <f>IF(pajak[[#This Row],[//]]="","",INDEX(Table1[Toko],pajak[//]-offset))</f>
        <v>SANTOSO BUDIONO (  ARMADA  ) PURWOKERTO</v>
      </c>
      <c r="H25" s="89">
        <f ca="1">IF(pajak[[#This Row],[//]]="","",SUMIF(Table1[h_id],pajak[[#This Row],[//]],Table1[h_hargasebelumdiskon]))</f>
        <v>3888000</v>
      </c>
      <c r="I25" s="89">
        <f ca="1">IF(pajak[[#This Row],[//]]="","",SUMIF(Table1[h_id],pajak[[#This Row],[//]],Table1[h_diskon]))</f>
        <v>505440</v>
      </c>
      <c r="J25" s="89">
        <f ca="1">IF(pajak[[#This Row],[//]]="","",SUMIF(Table1[h_id],pajak[[#This Row],[//]],Table1[h_hargasetelahdiskon]))</f>
        <v>3382560</v>
      </c>
      <c r="K25" s="89">
        <f ca="1">IF(pajak[//]="","",pajak[[#This Row],[Sub Total]]/1.11*11%)</f>
        <v>335208.64864864864</v>
      </c>
      <c r="L25" s="89">
        <f ca="1">pajak[[#This Row],[Sub Total]]</f>
        <v>3382560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76</v>
      </c>
      <c r="C26" s="86">
        <f t="shared" si="0"/>
        <v>76</v>
      </c>
      <c r="D26" s="86" t="str">
        <f>IF(pajak[[#This Row],[//]]="","",INDEX(Table1[No. Invoice :],pajak[//]-offset))</f>
        <v>AM 23030024</v>
      </c>
      <c r="E26" s="90">
        <f>IF(pajak[[#This Row],[//]]="","",INDEX(Table1[Tgl Invoice :],pajak[//]-offset))</f>
        <v>45005</v>
      </c>
      <c r="F26" s="86" t="str">
        <f>IF(pajak[[#This Row],[//]]="","",INDEX(Table1[Kode Sales :],pajak[//]-offset))</f>
        <v>KO 1324</v>
      </c>
      <c r="G26" s="86" t="str">
        <f>IF(pajak[[#This Row],[//]]="","",INDEX(Table1[Toko],pajak[//]-offset))</f>
        <v>CV PELITA JAYA (ANUGERAH SEJAHTERA) PURWOKERTO</v>
      </c>
      <c r="H26" s="89">
        <f ca="1">IF(pajak[[#This Row],[//]]="","",SUMIF(Table1[h_id],pajak[[#This Row],[//]],Table1[h_hargasebelumdiskon]))</f>
        <v>1440000</v>
      </c>
      <c r="I26" s="89">
        <f ca="1">IF(pajak[[#This Row],[//]]="","",SUMIF(Table1[h_id],pajak[[#This Row],[//]],Table1[h_diskon]))</f>
        <v>194400</v>
      </c>
      <c r="J26" s="89">
        <f ca="1">IF(pajak[[#This Row],[//]]="","",SUMIF(Table1[h_id],pajak[[#This Row],[//]],Table1[h_hargasetelahdiskon]))</f>
        <v>1245600</v>
      </c>
      <c r="K26" s="89">
        <f ca="1">IF(pajak[//]="","",pajak[[#This Row],[Sub Total]]/1.11*11%)</f>
        <v>123437.83783783784</v>
      </c>
      <c r="L26" s="89">
        <f ca="1">pajak[[#This Row],[Sub Total]]</f>
        <v>1245600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79</v>
      </c>
      <c r="C27" s="86">
        <f t="shared" si="0"/>
        <v>79</v>
      </c>
      <c r="D27" s="86" t="str">
        <f>IF(pajak[[#This Row],[//]]="","",INDEX(Table1[No. Invoice :],pajak[//]-offset))</f>
        <v>AM 23030025</v>
      </c>
      <c r="E27" s="90">
        <f>IF(pajak[[#This Row],[//]]="","",INDEX(Table1[Tgl Invoice :],pajak[//]-offset))</f>
        <v>45006</v>
      </c>
      <c r="F27" s="86" t="str">
        <f>IF(pajak[[#This Row],[//]]="","",INDEX(Table1[Kode Sales :],pajak[//]-offset))</f>
        <v>G 1330</v>
      </c>
      <c r="G27" s="86" t="str">
        <f>IF(pajak[[#This Row],[//]]="","",INDEX(Table1[Toko],pajak[//]-offset))</f>
        <v>LILY JULIAWATI (REJO AGUNG) JOMBANG</v>
      </c>
      <c r="H27" s="89">
        <f ca="1">IF(pajak[[#This Row],[//]]="","",SUMIF(Table1[h_id],pajak[[#This Row],[//]],Table1[h_hargasebelumdiskon]))</f>
        <v>3888000</v>
      </c>
      <c r="I27" s="89">
        <f ca="1">IF(pajak[[#This Row],[//]]="","",SUMIF(Table1[h_id],pajak[[#This Row],[//]],Table1[h_diskon]))</f>
        <v>486000</v>
      </c>
      <c r="J27" s="89">
        <f ca="1">IF(pajak[[#This Row],[//]]="","",SUMIF(Table1[h_id],pajak[[#This Row],[//]],Table1[h_hargasetelahdiskon]))</f>
        <v>3402000</v>
      </c>
      <c r="K27" s="89">
        <f ca="1">IF(pajak[//]="","",pajak[[#This Row],[Sub Total]]/1.11*11%)</f>
        <v>337135.13513513509</v>
      </c>
      <c r="L27" s="89">
        <f ca="1">pajak[[#This Row],[Sub Total]]</f>
        <v>3402000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81</v>
      </c>
      <c r="C28" s="86">
        <f t="shared" si="0"/>
        <v>81</v>
      </c>
      <c r="D28" s="86" t="str">
        <f>IF(pajak[[#This Row],[//]]="","",INDEX(Table1[No. Invoice :],pajak[//]-offset))</f>
        <v>AM 23030026</v>
      </c>
      <c r="E28" s="90">
        <f>IF(pajak[[#This Row],[//]]="","",INDEX(Table1[Tgl Invoice :],pajak[//]-offset))</f>
        <v>45008</v>
      </c>
      <c r="F28" s="86" t="str">
        <f>IF(pajak[[#This Row],[//]]="","",INDEX(Table1[Kode Sales :],pajak[//]-offset))</f>
        <v>KO 1332</v>
      </c>
      <c r="G28" s="86" t="str">
        <f>IF(pajak[[#This Row],[//]]="","",INDEX(Table1[Toko],pajak[//]-offset))</f>
        <v>CV GANESHA WONOSOBO</v>
      </c>
      <c r="H28" s="89">
        <f ca="1">IF(pajak[[#This Row],[//]]="","",SUMIF(Table1[h_id],pajak[[#This Row],[//]],Table1[h_hargasebelumdiskon]))</f>
        <v>1880000</v>
      </c>
      <c r="I28" s="89">
        <f ca="1">IF(pajak[[#This Row],[//]]="","",SUMIF(Table1[h_id],pajak[[#This Row],[//]],Table1[h_diskon]))</f>
        <v>132000</v>
      </c>
      <c r="J28" s="89">
        <f ca="1">IF(pajak[[#This Row],[//]]="","",SUMIF(Table1[h_id],pajak[[#This Row],[//]],Table1[h_hargasetelahdiskon]))</f>
        <v>1748000</v>
      </c>
      <c r="K28" s="89">
        <f ca="1">IF(pajak[//]="","",pajak[[#This Row],[Sub Total]]/1.11*11%)</f>
        <v>173225.22522522521</v>
      </c>
      <c r="L28" s="89">
        <f ca="1">pajak[[#This Row],[Sub Total]]</f>
        <v>1748000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87</v>
      </c>
      <c r="C29" s="86">
        <f t="shared" si="0"/>
        <v>87</v>
      </c>
      <c r="D29" s="86" t="str">
        <f>IF(pajak[[#This Row],[//]]="","",INDEX(Table1[No. Invoice :],pajak[//]-offset))</f>
        <v>AM 23030027</v>
      </c>
      <c r="E29" s="90">
        <f>IF(pajak[[#This Row],[//]]="","",INDEX(Table1[Tgl Invoice :],pajak[//]-offset))</f>
        <v>45008</v>
      </c>
      <c r="F29" s="86" t="str">
        <f>IF(pajak[[#This Row],[//]]="","",INDEX(Table1[Kode Sales :],pajak[//]-offset))</f>
        <v>G 1333</v>
      </c>
      <c r="G29" s="86" t="str">
        <f>IF(pajak[[#This Row],[//]]="","",INDEX(Table1[Toko],pajak[//]-offset))</f>
        <v>SINAR BHAKTI YOGYAKARTA</v>
      </c>
      <c r="H29" s="89">
        <f ca="1">IF(pajak[[#This Row],[//]]="","",SUMIF(Table1[h_id],pajak[[#This Row],[//]],Table1[h_hargasebelumdiskon]))</f>
        <v>432000</v>
      </c>
      <c r="I29" s="89">
        <f ca="1">IF(pajak[[#This Row],[//]]="","",SUMIF(Table1[h_id],pajak[[#This Row],[//]],Table1[h_diskon]))</f>
        <v>43200</v>
      </c>
      <c r="J29" s="89">
        <f ca="1">IF(pajak[[#This Row],[//]]="","",SUMIF(Table1[h_id],pajak[[#This Row],[//]],Table1[h_hargasetelahdiskon]))</f>
        <v>388800</v>
      </c>
      <c r="K29" s="89">
        <f ca="1">IF(pajak[//]="","",pajak[[#This Row],[Sub Total]]/1.11*11%)</f>
        <v>38529.729729729726</v>
      </c>
      <c r="L29" s="89">
        <f ca="1">pajak[[#This Row],[Sub Total]]</f>
        <v>388800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89</v>
      </c>
      <c r="C30" s="86">
        <f t="shared" si="0"/>
        <v>89</v>
      </c>
      <c r="D30" s="86" t="str">
        <f>IF(pajak[[#This Row],[//]]="","",INDEX(Table1[No. Invoice :],pajak[//]-offset))</f>
        <v>AM 23030028</v>
      </c>
      <c r="E30" s="90">
        <f>IF(pajak[[#This Row],[//]]="","",INDEX(Table1[Tgl Invoice :],pajak[//]-offset))</f>
        <v>45008</v>
      </c>
      <c r="F30" s="86" t="str">
        <f>IF(pajak[[#This Row],[//]]="","",INDEX(Table1[Kode Sales :],pajak[//]-offset))</f>
        <v>G 1338</v>
      </c>
      <c r="G30" s="86" t="str">
        <f>IF(pajak[[#This Row],[//]]="","",INDEX(Table1[Toko],pajak[//]-offset))</f>
        <v>LILY JULIAWATI (REJO AGUNG) JOMBANG</v>
      </c>
      <c r="H30" s="89">
        <f ca="1">IF(pajak[[#This Row],[//]]="","",SUMIF(Table1[h_id],pajak[[#This Row],[//]],Table1[h_hargasebelumdiskon]))</f>
        <v>73579400</v>
      </c>
      <c r="I30" s="89">
        <f ca="1">IF(pajak[[#This Row],[//]]="","",SUMIF(Table1[h_id],pajak[[#This Row],[//]],Table1[h_diskon]))</f>
        <v>9197425</v>
      </c>
      <c r="J30" s="89">
        <f ca="1">IF(pajak[[#This Row],[//]]="","",SUMIF(Table1[h_id],pajak[[#This Row],[//]],Table1[h_hargasetelahdiskon]))</f>
        <v>64381975</v>
      </c>
      <c r="K30" s="89">
        <f ca="1">IF(pajak[//]="","",pajak[[#This Row],[Sub Total]]/1.11*11%)</f>
        <v>6380195.7207207205</v>
      </c>
      <c r="L30" s="89">
        <f ca="1">pajak[[#This Row],[Sub Total]]</f>
        <v>64381975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100</v>
      </c>
      <c r="C31" s="86">
        <f t="shared" si="0"/>
        <v>100</v>
      </c>
      <c r="D31" s="86" t="str">
        <f>IF(pajak[[#This Row],[//]]="","",INDEX(Table1[No. Invoice :],pajak[//]-offset))</f>
        <v>AM 23030029</v>
      </c>
      <c r="E31" s="90">
        <f>IF(pajak[[#This Row],[//]]="","",INDEX(Table1[Tgl Invoice :],pajak[//]-offset))</f>
        <v>45009</v>
      </c>
      <c r="F31" s="86" t="str">
        <f>IF(pajak[[#This Row],[//]]="","",INDEX(Table1[Kode Sales :],pajak[//]-offset))</f>
        <v>KO 1339</v>
      </c>
      <c r="G31" s="86" t="str">
        <f>IF(pajak[[#This Row],[//]]="","",INDEX(Table1[Toko],pajak[//]-offset))</f>
        <v>CV DWI JAYA YOGYAKARTA</v>
      </c>
      <c r="H31" s="89">
        <f ca="1">IF(pajak[[#This Row],[//]]="","",SUMIF(Table1[h_id],pajak[[#This Row],[//]],Table1[h_hargasebelumdiskon]))</f>
        <v>2640000</v>
      </c>
      <c r="I31" s="89">
        <f ca="1">IF(pajak[[#This Row],[//]]="","",SUMIF(Table1[h_id],pajak[[#This Row],[//]],Table1[h_diskon]))</f>
        <v>264000</v>
      </c>
      <c r="J31" s="89">
        <f ca="1">IF(pajak[[#This Row],[//]]="","",SUMIF(Table1[h_id],pajak[[#This Row],[//]],Table1[h_hargasetelahdiskon]))</f>
        <v>2376000</v>
      </c>
      <c r="K31" s="89">
        <f ca="1">IF(pajak[//]="","",pajak[[#This Row],[Sub Total]]/1.11*11%)</f>
        <v>235459.45945945941</v>
      </c>
      <c r="L31" s="89">
        <f ca="1">pajak[[#This Row],[Sub Total]]</f>
        <v>2376000</v>
      </c>
      <c r="M31" s="86" t="str">
        <f>IF(pajak[[#This Row],[//]]="","",INDEX(Table1[pembuat nota :],pajak[//]-offset))</f>
        <v>NOVI / CONDRO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104</v>
      </c>
      <c r="C32" s="86">
        <f t="shared" si="0"/>
        <v>104</v>
      </c>
      <c r="D32" s="86" t="str">
        <f>IF(pajak[[#This Row],[//]]="","",INDEX(Table1[No. Invoice :],pajak[//]-offset))</f>
        <v>AM 23030030</v>
      </c>
      <c r="E32" s="90">
        <f>IF(pajak[[#This Row],[//]]="","",INDEX(Table1[Tgl Invoice :],pajak[//]-offset))</f>
        <v>45009</v>
      </c>
      <c r="F32" s="86" t="str">
        <f>IF(pajak[[#This Row],[//]]="","",INDEX(Table1[Kode Sales :],pajak[//]-offset))</f>
        <v>KO 1342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9820800</v>
      </c>
      <c r="I32" s="89">
        <f ca="1">IF(pajak[[#This Row],[//]]="","",SUMIF(Table1[h_id],pajak[[#This Row],[//]],Table1[h_diskon]))</f>
        <v>1325808</v>
      </c>
      <c r="J32" s="89">
        <f ca="1">IF(pajak[[#This Row],[//]]="","",SUMIF(Table1[h_id],pajak[[#This Row],[//]],Table1[h_hargasetelahdiskon]))</f>
        <v>8494992</v>
      </c>
      <c r="K32" s="89">
        <f ca="1">IF(pajak[//]="","",pajak[[#This Row],[Sub Total]]/1.11*11%)</f>
        <v>841846.05405405397</v>
      </c>
      <c r="L32" s="89">
        <f ca="1">pajak[[#This Row],[Sub Total]]</f>
        <v>8494992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107</v>
      </c>
      <c r="C33" s="86">
        <f t="shared" si="0"/>
        <v>107</v>
      </c>
      <c r="D33" s="86" t="str">
        <f>IF(pajak[[#This Row],[//]]="","",INDEX(Table1[No. Invoice :],pajak[//]-offset))</f>
        <v>AM 23030031</v>
      </c>
      <c r="E33" s="90">
        <f>IF(pajak[[#This Row],[//]]="","",INDEX(Table1[Tgl Invoice :],pajak[//]-offset))</f>
        <v>45009</v>
      </c>
      <c r="F33" s="86" t="str">
        <f>IF(pajak[[#This Row],[//]]="","",INDEX(Table1[Kode Sales :],pajak[//]-offset))</f>
        <v>KO 1345</v>
      </c>
      <c r="G33" s="86" t="str">
        <f>IF(pajak[[#This Row],[//]]="","",INDEX(Table1[Toko],pajak[//]-offset))</f>
        <v>HARNOYO (BENDAN) PEKALONGAN</v>
      </c>
      <c r="H33" s="89">
        <f ca="1">IF(pajak[[#This Row],[//]]="","",SUMIF(Table1[h_id],pajak[[#This Row],[//]],Table1[h_hargasebelumdiskon]))</f>
        <v>3866800</v>
      </c>
      <c r="I33" s="89">
        <f ca="1">IF(pajak[[#This Row],[//]]="","",SUMIF(Table1[h_id],pajak[[#This Row],[//]],Table1[h_diskon]))</f>
        <v>541352</v>
      </c>
      <c r="J33" s="89">
        <f ca="1">IF(pajak[[#This Row],[//]]="","",SUMIF(Table1[h_id],pajak[[#This Row],[//]],Table1[h_hargasetelahdiskon]))</f>
        <v>3325448</v>
      </c>
      <c r="K33" s="89">
        <f ca="1">IF(pajak[//]="","",pajak[[#This Row],[Sub Total]]/1.11*11%)</f>
        <v>329548.90090090089</v>
      </c>
      <c r="L33" s="89">
        <f ca="1">pajak[[#This Row],[Sub Total]]</f>
        <v>3325448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113</v>
      </c>
      <c r="C34" s="86">
        <f t="shared" si="0"/>
        <v>113</v>
      </c>
      <c r="D34" s="86" t="str">
        <f>IF(pajak[[#This Row],[//]]="","",INDEX(Table1[No. Invoice :],pajak[//]-offset))</f>
        <v>AM 23030032</v>
      </c>
      <c r="E34" s="90">
        <f>IF(pajak[[#This Row],[//]]="","",INDEX(Table1[Tgl Invoice :],pajak[//]-offset))</f>
        <v>45009</v>
      </c>
      <c r="F34" s="86" t="str">
        <f>IF(pajak[[#This Row],[//]]="","",INDEX(Table1[Kode Sales :],pajak[//]-offset))</f>
        <v>N 1346</v>
      </c>
      <c r="G34" s="86" t="str">
        <f>IF(pajak[[#This Row],[//]]="","",INDEX(Table1[Toko],pajak[//]-offset))</f>
        <v>CV TIARA SOLO</v>
      </c>
      <c r="H34" s="89">
        <f ca="1">IF(pajak[[#This Row],[//]]="","",SUMIF(Table1[h_id],pajak[[#This Row],[//]],Table1[h_hargasebelumdiskon]))</f>
        <v>8640000</v>
      </c>
      <c r="I34" s="89">
        <f ca="1">IF(pajak[[#This Row],[//]]="","",SUMIF(Table1[h_id],pajak[[#This Row],[//]],Table1[h_diskon]))</f>
        <v>0</v>
      </c>
      <c r="J34" s="89">
        <f ca="1">IF(pajak[[#This Row],[//]]="","",SUMIF(Table1[h_id],pajak[[#This Row],[//]],Table1[h_hargasetelahdiskon]))</f>
        <v>8640000</v>
      </c>
      <c r="K34" s="89">
        <f ca="1">IF(pajak[//]="","",pajak[[#This Row],[Sub Total]]/1.11*11%)</f>
        <v>856216.21621621621</v>
      </c>
      <c r="L34" s="89">
        <f ca="1">pajak[[#This Row],[Sub Total]]</f>
        <v>8640000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118</v>
      </c>
      <c r="C35" s="86">
        <f t="shared" ref="C35:C55" si="1">IF(ROW()-2&lt;=jNota,A35,"")</f>
        <v>118</v>
      </c>
      <c r="D35" s="86" t="str">
        <f>IF(pajak[[#This Row],[//]]="","",INDEX(Table1[No. Invoice :],pajak[//]-offset))</f>
        <v>AM 23030033</v>
      </c>
      <c r="E35" s="90">
        <f>IF(pajak[[#This Row],[//]]="","",INDEX(Table1[Tgl Invoice :],pajak[//]-offset))</f>
        <v>45009</v>
      </c>
      <c r="F35" s="86" t="str">
        <f>IF(pajak[[#This Row],[//]]="","",INDEX(Table1[Kode Sales :],pajak[//]-offset))</f>
        <v>KO 1243</v>
      </c>
      <c r="G35" s="86" t="str">
        <f>IF(pajak[[#This Row],[//]]="","",INDEX(Table1[Toko],pajak[//]-offset))</f>
        <v>CV SINAR CAHAYA NIRMALA BREBES</v>
      </c>
      <c r="H35" s="89">
        <f ca="1">IF(pajak[[#This Row],[//]]="","",SUMIF(Table1[h_id],pajak[[#This Row],[//]],Table1[h_hargasebelumdiskon]))</f>
        <v>1648900</v>
      </c>
      <c r="I35" s="89">
        <f ca="1">IF(pajak[[#This Row],[//]]="","",SUMIF(Table1[h_id],pajak[[#This Row],[//]],Table1[h_diskon]))</f>
        <v>136590</v>
      </c>
      <c r="J35" s="89">
        <f ca="1">IF(pajak[[#This Row],[//]]="","",SUMIF(Table1[h_id],pajak[[#This Row],[//]],Table1[h_hargasetelahdiskon]))</f>
        <v>1512310</v>
      </c>
      <c r="K35" s="89">
        <f ca="1">IF(pajak[//]="","",pajak[[#This Row],[Sub Total]]/1.11*11%)</f>
        <v>149868.55855855855</v>
      </c>
      <c r="L35" s="89">
        <f ca="1">pajak[[#This Row],[Sub Total]]</f>
        <v>1512310</v>
      </c>
      <c r="M35" s="86" t="str">
        <f>IF(pajak[[#This Row],[//]]="","",INDEX(Table1[pembuat nota :],pajak[//]-offset))</f>
        <v>RISMA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>
        <v>132</v>
      </c>
      <c r="C36" s="86">
        <f t="shared" si="1"/>
        <v>132</v>
      </c>
      <c r="D36" s="86" t="str">
        <f>IF(pajak[[#This Row],[//]]="","",INDEX(Table1[No. Invoice :],pajak[//]-offset))</f>
        <v>AM 23030034</v>
      </c>
      <c r="E36" s="90">
        <f>IF(pajak[[#This Row],[//]]="","",INDEX(Table1[Tgl Invoice :],pajak[//]-offset))</f>
        <v>45014</v>
      </c>
      <c r="F36" s="86" t="str">
        <f>IF(pajak[[#This Row],[//]]="","",INDEX(Table1[Kode Sales :],pajak[//]-offset))</f>
        <v>KO 1364</v>
      </c>
      <c r="G36" s="86" t="str">
        <f>IF(pajak[[#This Row],[//]]="","",INDEX(Table1[Toko],pajak[//]-offset))</f>
        <v>CV PELITA JAYA (ANUGERAH SEJAHTERA) PURWOKERTO</v>
      </c>
      <c r="H36" s="89">
        <f ca="1">IF(pajak[[#This Row],[//]]="","",SUMIF(Table1[h_id],pajak[[#This Row],[//]],Table1[h_hargasebelumdiskon]))</f>
        <v>4579200</v>
      </c>
      <c r="I36" s="89">
        <f ca="1">IF(pajak[[#This Row],[//]]="","",SUMIF(Table1[h_id],pajak[[#This Row],[//]],Table1[h_diskon]))</f>
        <v>618192</v>
      </c>
      <c r="J36" s="89">
        <f ca="1">IF(pajak[[#This Row],[//]]="","",SUMIF(Table1[h_id],pajak[[#This Row],[//]],Table1[h_hargasetelahdiskon]))</f>
        <v>3961008</v>
      </c>
      <c r="K36" s="89">
        <f ca="1">IF(pajak[//]="","",pajak[[#This Row],[Sub Total]]/1.11*11%)</f>
        <v>392532.32432432426</v>
      </c>
      <c r="L36" s="89">
        <f ca="1">pajak[[#This Row],[Sub Total]]</f>
        <v>3961008</v>
      </c>
      <c r="M36" s="86" t="str">
        <f>IF(pajak[[#This Row],[//]]="","",INDEX(Table1[pembuat nota :],pajak[//]-offset))</f>
        <v>NOVI / CONDRO</v>
      </c>
      <c r="N36" s="86" t="str">
        <f>IF(pajak[[#This Row],[//]]="","",IF(INDEX(Table1[edited :],pajak[//]-offset)="","",INDEX(Table1[edited :],pajak[//]-offset)))</f>
        <v/>
      </c>
      <c r="P36" s="86">
        <f>IF(pajak[[#This Row],[Kode Sales :]]="","",MATCH(pajak[[#This Row],[Kode Sales :]],[2]Invoice!$D:$D,0))</f>
        <v>3768</v>
      </c>
      <c r="Q36" s="194">
        <f>IF((INDEX([2]Invoice!$D:$D,Table4[[#This Row],[cek_ppn]]-4)&amp;" "&amp;INDEX([2]Invoice!$E:$E,Table4[[#This Row],[cek_ppn]]-4))=pajak[[#This Row],[No. Invoice :]],1)</f>
        <v>1</v>
      </c>
      <c r="R36" s="194">
        <f>IF((INDEX([2]Invoice!$D:$D,Table4[[#This Row],[cek_ppn]]-2))=pajak[[#This Row],[Tgl Invoice :]],1)</f>
        <v>1</v>
      </c>
      <c r="S36" s="194">
        <f>IF((INDEX([2]Invoice!$D:$D,Table4[[#This Row],[cek_ppn]]))=pajak[[#This Row],[Kode Sales :]],1)</f>
        <v>1</v>
      </c>
      <c r="T36" s="194">
        <f ca="1">IF((INDEX([2]Invoice!$K:$K,Table4[[#This Row],[cek_ppn]]+28))=pajak[[#This Row],[Total Invoice]],1)</f>
        <v>1</v>
      </c>
      <c r="U36" s="194">
        <f>IF((INDEX([2]Invoice!$J:$J,Table4[[#This Row],[cek_ppn]]+30))=pajak[[#This Row],[pembuat nota]],1)</f>
        <v>1</v>
      </c>
    </row>
    <row r="37" spans="1:21" x14ac:dyDescent="0.25">
      <c r="A37" s="88">
        <v>134</v>
      </c>
      <c r="C37" s="86">
        <f t="shared" si="1"/>
        <v>134</v>
      </c>
      <c r="D37" s="86" t="str">
        <f>IF(pajak[[#This Row],[//]]="","",INDEX(Table1[No. Invoice :],pajak[//]-offset))</f>
        <v>AM 23030035</v>
      </c>
      <c r="E37" s="90">
        <f>IF(pajak[[#This Row],[//]]="","",INDEX(Table1[Tgl Invoice :],pajak[//]-offset))</f>
        <v>45015</v>
      </c>
      <c r="F37" s="86" t="str">
        <f>IF(pajak[[#This Row],[//]]="","",INDEX(Table1[Kode Sales :],pajak[//]-offset))</f>
        <v>KO 1371</v>
      </c>
      <c r="G37" s="86" t="str">
        <f>IF(pajak[[#This Row],[//]]="","",INDEX(Table1[Toko],pajak[//]-offset))</f>
        <v>SANTOSO BUDIONO (  ARMADA  ) PURWOKERTO</v>
      </c>
      <c r="H37" s="89">
        <f ca="1">IF(pajak[[#This Row],[//]]="","",SUMIF(Table1[h_id],pajak[[#This Row],[//]],Table1[h_hargasebelumdiskon]))</f>
        <v>5616000</v>
      </c>
      <c r="I37" s="89">
        <f ca="1">IF(pajak[[#This Row],[//]]="","",SUMIF(Table1[h_id],pajak[[#This Row],[//]],Table1[h_diskon]))</f>
        <v>758160</v>
      </c>
      <c r="J37" s="89">
        <f ca="1">IF(pajak[[#This Row],[//]]="","",SUMIF(Table1[h_id],pajak[[#This Row],[//]],Table1[h_hargasetelahdiskon]))</f>
        <v>4857840</v>
      </c>
      <c r="K37" s="89">
        <f ca="1">IF(pajak[//]="","",pajak[[#This Row],[Sub Total]]/1.11*11%)</f>
        <v>481407.56756756752</v>
      </c>
      <c r="L37" s="89">
        <f ca="1">pajak[[#This Row],[Sub Total]]</f>
        <v>4857840</v>
      </c>
      <c r="M37" s="86" t="str">
        <f>IF(pajak[[#This Row],[//]]="","",INDEX(Table1[pembuat nota :],pajak[//]-offset))</f>
        <v>NOVI / CONDRO</v>
      </c>
      <c r="N37" s="86" t="str">
        <f>IF(pajak[[#This Row],[//]]="","",IF(INDEX(Table1[edited :],pajak[//]-offset)="","",INDEX(Table1[edited :],pajak[//]-offset)))</f>
        <v/>
      </c>
      <c r="P37" s="86">
        <f>IF(pajak[[#This Row],[Kode Sales :]]="","",MATCH(pajak[[#This Row],[Kode Sales :]],[2]Invoice!$D:$D,0))</f>
        <v>3882</v>
      </c>
      <c r="Q37" s="194">
        <f>IF((INDEX([2]Invoice!$D:$D,Table4[[#This Row],[cek_ppn]]-4)&amp;" "&amp;INDEX([2]Invoice!$E:$E,Table4[[#This Row],[cek_ppn]]-4))=pajak[[#This Row],[No. Invoice :]],1)</f>
        <v>1</v>
      </c>
      <c r="R37" s="194">
        <f>IF((INDEX([2]Invoice!$D:$D,Table4[[#This Row],[cek_ppn]]-2))=pajak[[#This Row],[Tgl Invoice :]],1)</f>
        <v>1</v>
      </c>
      <c r="S37" s="194">
        <f>IF((INDEX([2]Invoice!$D:$D,Table4[[#This Row],[cek_ppn]]))=pajak[[#This Row],[Kode Sales :]],1)</f>
        <v>1</v>
      </c>
      <c r="T37" s="194">
        <f ca="1">IF((INDEX([2]Invoice!$K:$K,Table4[[#This Row],[cek_ppn]]+28))=pajak[[#This Row],[Total Invoice]],1)</f>
        <v>1</v>
      </c>
      <c r="U37" s="194">
        <f>IF((INDEX([2]Invoice!$J:$J,Table4[[#This Row],[cek_ppn]]+30))=pajak[[#This Row],[pembuat nota]],1)</f>
        <v>1</v>
      </c>
    </row>
    <row r="38" spans="1:21" x14ac:dyDescent="0.25">
      <c r="A38" s="88">
        <v>136</v>
      </c>
      <c r="C38" s="86">
        <f t="shared" si="1"/>
        <v>136</v>
      </c>
      <c r="D38" s="86" t="str">
        <f>IF(pajak[[#This Row],[//]]="","",INDEX(Table1[No. Invoice :],pajak[//]-offset))</f>
        <v>AM 23030036</v>
      </c>
      <c r="E38" s="90">
        <f>IF(pajak[[#This Row],[//]]="","",INDEX(Table1[Tgl Invoice :],pajak[//]-offset))</f>
        <v>45015</v>
      </c>
      <c r="F38" s="86" t="str">
        <f>IF(pajak[[#This Row],[//]]="","",INDEX(Table1[Kode Sales :],pajak[//]-offset))</f>
        <v>KO 1370</v>
      </c>
      <c r="G38" s="86" t="str">
        <f>IF(pajak[[#This Row],[//]]="","",INDEX(Table1[Toko],pajak[//]-offset))</f>
        <v>CV PELITA JAYA (ANUGERAH SEJAHTERA) PURWOKERTO</v>
      </c>
      <c r="H38" s="89">
        <f ca="1">IF(pajak[[#This Row],[//]]="","",SUMIF(Table1[h_id],pajak[[#This Row],[//]],Table1[h_hargasebelumdiskon]))</f>
        <v>40747200</v>
      </c>
      <c r="I38" s="89">
        <f ca="1">IF(pajak[[#This Row],[//]]="","",SUMIF(Table1[h_id],pajak[[#This Row],[//]],Table1[h_diskon]))</f>
        <v>5500872</v>
      </c>
      <c r="J38" s="89">
        <f ca="1">IF(pajak[[#This Row],[//]]="","",SUMIF(Table1[h_id],pajak[[#This Row],[//]],Table1[h_hargasetelahdiskon]))</f>
        <v>35246328</v>
      </c>
      <c r="K38" s="89">
        <f ca="1">IF(pajak[//]="","",pajak[[#This Row],[Sub Total]]/1.11*11%)</f>
        <v>3492879.351351351</v>
      </c>
      <c r="L38" s="89">
        <f ca="1">pajak[[#This Row],[Sub Total]]</f>
        <v>35246328</v>
      </c>
      <c r="M38" s="86" t="str">
        <f>IF(pajak[[#This Row],[//]]="","",INDEX(Table1[pembuat nota :],pajak[//]-offset))</f>
        <v>NOVI / CONDRO</v>
      </c>
      <c r="N38" s="86" t="str">
        <f>IF(pajak[[#This Row],[//]]="","",IF(INDEX(Table1[edited :],pajak[//]-offset)="","",INDEX(Table1[edited :],pajak[//]-offset)))</f>
        <v/>
      </c>
      <c r="P38" s="86">
        <f>IF(pajak[[#This Row],[Kode Sales :]]="","",MATCH(pajak[[#This Row],[Kode Sales :]],[2]Invoice!$D:$D,0))</f>
        <v>3996</v>
      </c>
      <c r="Q38" s="194">
        <f>IF((INDEX([2]Invoice!$D:$D,Table4[[#This Row],[cek_ppn]]-4)&amp;" "&amp;INDEX([2]Invoice!$E:$E,Table4[[#This Row],[cek_ppn]]-4))=pajak[[#This Row],[No. Invoice :]],1)</f>
        <v>1</v>
      </c>
      <c r="R38" s="194">
        <f>IF((INDEX([2]Invoice!$D:$D,Table4[[#This Row],[cek_ppn]]-2))=pajak[[#This Row],[Tgl Invoice :]],1)</f>
        <v>1</v>
      </c>
      <c r="S38" s="194">
        <f>IF((INDEX([2]Invoice!$D:$D,Table4[[#This Row],[cek_ppn]]))=pajak[[#This Row],[Kode Sales :]],1)</f>
        <v>1</v>
      </c>
      <c r="T38" s="194">
        <f ca="1">IF((INDEX([2]Invoice!$K:$K,Table4[[#This Row],[cek_ppn]]+28))=pajak[[#This Row],[Total Invoice]],1)</f>
        <v>1</v>
      </c>
      <c r="U38" s="194">
        <f>IF((INDEX([2]Invoice!$J:$J,Table4[[#This Row],[cek_ppn]]+30))=pajak[[#This Row],[pembuat nota]],1)</f>
        <v>1</v>
      </c>
    </row>
    <row r="39" spans="1:21" x14ac:dyDescent="0.25">
      <c r="A39" s="88">
        <v>142</v>
      </c>
      <c r="C39" s="86">
        <f t="shared" si="1"/>
        <v>142</v>
      </c>
      <c r="D39" s="86" t="str">
        <f>IF(pajak[[#This Row],[//]]="","",INDEX(Table1[No. Invoice :],pajak[//]-offset))</f>
        <v>AM 23030037</v>
      </c>
      <c r="E39" s="90">
        <f>IF(pajak[[#This Row],[//]]="","",INDEX(Table1[Tgl Invoice :],pajak[//]-offset))</f>
        <v>45015</v>
      </c>
      <c r="F39" s="86" t="str">
        <f>IF(pajak[[#This Row],[//]]="","",INDEX(Table1[Kode Sales :],pajak[//]-offset))</f>
        <v>KO 1249</v>
      </c>
      <c r="G39" s="86" t="str">
        <f>IF(pajak[[#This Row],[//]]="","",INDEX(Table1[Toko],pajak[//]-offset))</f>
        <v>CV  WISUDA PURWOKERTO</v>
      </c>
      <c r="H39" s="89">
        <f ca="1">IF(pajak[[#This Row],[//]]="","",SUMIF(Table1[h_id],pajak[[#This Row],[//]],Table1[h_hargasebelumdiskon]))</f>
        <v>2283000</v>
      </c>
      <c r="I39" s="89">
        <f ca="1">IF(pajak[[#This Row],[//]]="","",SUMIF(Table1[h_id],pajak[[#This Row],[//]],Table1[h_diskon]))</f>
        <v>144300</v>
      </c>
      <c r="J39" s="89">
        <f ca="1">IF(pajak[[#This Row],[//]]="","",SUMIF(Table1[h_id],pajak[[#This Row],[//]],Table1[h_hargasetelahdiskon]))</f>
        <v>2138700</v>
      </c>
      <c r="K39" s="89">
        <f ca="1">IF(pajak[//]="","",pajak[[#This Row],[Sub Total]]/1.11*11%)</f>
        <v>211943.24324324323</v>
      </c>
      <c r="L39" s="89">
        <f ca="1">pajak[[#This Row],[Sub Total]]</f>
        <v>2138700</v>
      </c>
      <c r="M39" s="86" t="str">
        <f>IF(pajak[[#This Row],[//]]="","",INDEX(Table1[pembuat nota :],pajak[//]-offset))</f>
        <v>NOVI / CONDRO</v>
      </c>
      <c r="N39" s="86" t="str">
        <f>IF(pajak[[#This Row],[//]]="","",IF(INDEX(Table1[edited :],pajak[//]-offset)="","",INDEX(Table1[edited :],pajak[//]-offset)))</f>
        <v/>
      </c>
      <c r="P39" s="86">
        <f>IF(pajak[[#This Row],[Kode Sales :]]="","",MATCH(pajak[[#This Row],[Kode Sales :]],[2]Invoice!$D:$D,0))</f>
        <v>4110</v>
      </c>
      <c r="Q39" s="194">
        <f>IF((INDEX([2]Invoice!$D:$D,Table4[[#This Row],[cek_ppn]]-4)&amp;" "&amp;INDEX([2]Invoice!$E:$E,Table4[[#This Row],[cek_ppn]]-4))=pajak[[#This Row],[No. Invoice :]],1)</f>
        <v>1</v>
      </c>
      <c r="R39" s="194">
        <f>IF((INDEX([2]Invoice!$D:$D,Table4[[#This Row],[cek_ppn]]-2))=pajak[[#This Row],[Tgl Invoice :]],1)</f>
        <v>1</v>
      </c>
      <c r="S39" s="194">
        <f>IF((INDEX([2]Invoice!$D:$D,Table4[[#This Row],[cek_ppn]]))=pajak[[#This Row],[Kode Sales :]],1)</f>
        <v>1</v>
      </c>
      <c r="T39" s="194">
        <f ca="1">IF((INDEX([2]Invoice!$K:$K,Table4[[#This Row],[cek_ppn]]+28))=pajak[[#This Row],[Total Invoice]],1)</f>
        <v>1</v>
      </c>
      <c r="U39" s="194">
        <f>IF((INDEX([2]Invoice!$J:$J,Table4[[#This Row],[cek_ppn]]+30))=pajak[[#This Row],[pembuat nota]],1)</f>
        <v>1</v>
      </c>
    </row>
    <row r="40" spans="1:21" x14ac:dyDescent="0.25">
      <c r="A40" s="88">
        <v>147</v>
      </c>
      <c r="C40" s="86">
        <f t="shared" si="1"/>
        <v>147</v>
      </c>
      <c r="D40" s="86" t="str">
        <f>IF(pajak[[#This Row],[//]]="","",INDEX(Table1[No. Invoice :],pajak[//]-offset))</f>
        <v>AM 23030038</v>
      </c>
      <c r="E40" s="90">
        <f>IF(pajak[[#This Row],[//]]="","",INDEX(Table1[Tgl Invoice :],pajak[//]-offset))</f>
        <v>45015</v>
      </c>
      <c r="F40" s="86" t="str">
        <f>IF(pajak[[#This Row],[//]]="","",INDEX(Table1[Kode Sales :],pajak[//]-offset))</f>
        <v>KO 1376</v>
      </c>
      <c r="G40" s="86" t="str">
        <f>IF(pajak[[#This Row],[//]]="","",INDEX(Table1[Toko],pajak[//]-offset))</f>
        <v>CV PELITA JAYA (ANUGERAH SEJAHTERA) PURWOKERTO</v>
      </c>
      <c r="H40" s="89">
        <f ca="1">IF(pajak[[#This Row],[//]]="","",SUMIF(Table1[h_id],pajak[[#This Row],[//]],Table1[h_hargasebelumdiskon]))</f>
        <v>11664000</v>
      </c>
      <c r="I40" s="89">
        <f ca="1">IF(pajak[[#This Row],[//]]="","",SUMIF(Table1[h_id],pajak[[#This Row],[//]],Table1[h_diskon]))</f>
        <v>1574640</v>
      </c>
      <c r="J40" s="89">
        <f ca="1">IF(pajak[[#This Row],[//]]="","",SUMIF(Table1[h_id],pajak[[#This Row],[//]],Table1[h_hargasetelahdiskon]))</f>
        <v>10089360</v>
      </c>
      <c r="K40" s="89">
        <f ca="1">IF(pajak[//]="","",pajak[[#This Row],[Sub Total]]/1.11*11%)</f>
        <v>999846.48648648639</v>
      </c>
      <c r="L40" s="89">
        <f ca="1">pajak[[#This Row],[Sub Total]]</f>
        <v>10089360</v>
      </c>
      <c r="M40" s="86" t="str">
        <f>IF(pajak[[#This Row],[//]]="","",INDEX(Table1[pembuat nota :],pajak[//]-offset))</f>
        <v>NOVI / CONDRO</v>
      </c>
      <c r="N40" s="86" t="str">
        <f>IF(pajak[[#This Row],[//]]="","",IF(INDEX(Table1[edited :],pajak[//]-offset)="","",INDEX(Table1[edited :],pajak[//]-offset)))</f>
        <v/>
      </c>
      <c r="P40" s="86">
        <f>IF(pajak[[#This Row],[Kode Sales :]]="","",MATCH(pajak[[#This Row],[Kode Sales :]],[2]Invoice!$D:$D,0))</f>
        <v>4224</v>
      </c>
      <c r="Q40" s="194">
        <f>IF((INDEX([2]Invoice!$D:$D,Table4[[#This Row],[cek_ppn]]-4)&amp;" "&amp;INDEX([2]Invoice!$E:$E,Table4[[#This Row],[cek_ppn]]-4))=pajak[[#This Row],[No. Invoice :]],1)</f>
        <v>1</v>
      </c>
      <c r="R40" s="194">
        <f>IF((INDEX([2]Invoice!$D:$D,Table4[[#This Row],[cek_ppn]]-2))=pajak[[#This Row],[Tgl Invoice :]],1)</f>
        <v>1</v>
      </c>
      <c r="S40" s="194">
        <f>IF((INDEX([2]Invoice!$D:$D,Table4[[#This Row],[cek_ppn]]))=pajak[[#This Row],[Kode Sales :]],1)</f>
        <v>1</v>
      </c>
      <c r="T40" s="194">
        <f ca="1">IF((INDEX([2]Invoice!$K:$K,Table4[[#This Row],[cek_ppn]]+28))=pajak[[#This Row],[Total Invoice]],1)</f>
        <v>1</v>
      </c>
      <c r="U40" s="194">
        <f>IF((INDEX([2]Invoice!$J:$J,Table4[[#This Row],[cek_ppn]]+30))=pajak[[#This Row],[pembuat nota]],1)</f>
        <v>1</v>
      </c>
    </row>
    <row r="41" spans="1:21" x14ac:dyDescent="0.25">
      <c r="A41" s="88">
        <v>149</v>
      </c>
      <c r="C41" s="86">
        <f t="shared" si="1"/>
        <v>149</v>
      </c>
      <c r="D41" s="86" t="str">
        <f>IF(pajak[[#This Row],[//]]="","",INDEX(Table1[No. Invoice :],pajak[//]-offset))</f>
        <v>AM 23030039</v>
      </c>
      <c r="E41" s="90">
        <f>IF(pajak[[#This Row],[//]]="","",INDEX(Table1[Tgl Invoice :],pajak[//]-offset))</f>
        <v>45015</v>
      </c>
      <c r="F41" s="86" t="str">
        <f>IF(pajak[[#This Row],[//]]="","",INDEX(Table1[Kode Sales :],pajak[//]-offset))</f>
        <v>KO 1250</v>
      </c>
      <c r="G41" s="86" t="str">
        <f>IF(pajak[[#This Row],[//]]="","",INDEX(Table1[Toko],pajak[//]-offset))</f>
        <v>CV TRINITY CENTRAAL PURWOKERTO</v>
      </c>
      <c r="H41" s="89">
        <f ca="1">IF(pajak[[#This Row],[//]]="","",SUMIF(Table1[h_id],pajak[[#This Row],[//]],Table1[h_hargasebelumdiskon]))</f>
        <v>597600</v>
      </c>
      <c r="I41" s="89">
        <f ca="1">IF(pajak[[#This Row],[//]]="","",SUMIF(Table1[h_id],pajak[[#This Row],[//]],Table1[h_diskon]))</f>
        <v>77688</v>
      </c>
      <c r="J41" s="89">
        <f ca="1">IF(pajak[[#This Row],[//]]="","",SUMIF(Table1[h_id],pajak[[#This Row],[//]],Table1[h_hargasetelahdiskon]))</f>
        <v>519912</v>
      </c>
      <c r="K41" s="89">
        <f ca="1">IF(pajak[//]="","",pajak[[#This Row],[Sub Total]]/1.11*11%)</f>
        <v>51522.810810810806</v>
      </c>
      <c r="L41" s="89">
        <f ca="1">pajak[[#This Row],[Sub Total]]</f>
        <v>519912</v>
      </c>
      <c r="M41" s="86" t="str">
        <f>IF(pajak[[#This Row],[//]]="","",INDEX(Table1[pembuat nota :],pajak[//]-offset))</f>
        <v>NOVI / CONDRO</v>
      </c>
      <c r="N41" s="86" t="str">
        <f>IF(pajak[[#This Row],[//]]="","",IF(INDEX(Table1[edited :],pajak[//]-offset)="","",INDEX(Table1[edited :],pajak[//]-offset)))</f>
        <v/>
      </c>
      <c r="P41" s="86">
        <f>IF(pajak[[#This Row],[Kode Sales :]]="","",MATCH(pajak[[#This Row],[Kode Sales :]],[2]Invoice!$D:$D,0))</f>
        <v>4338</v>
      </c>
      <c r="Q41" s="194">
        <f>IF((INDEX([2]Invoice!$D:$D,Table4[[#This Row],[cek_ppn]]-4)&amp;" "&amp;INDEX([2]Invoice!$E:$E,Table4[[#This Row],[cek_ppn]]-4))=pajak[[#This Row],[No. Invoice :]],1)</f>
        <v>1</v>
      </c>
      <c r="R41" s="194">
        <f>IF((INDEX([2]Invoice!$D:$D,Table4[[#This Row],[cek_ppn]]-2))=pajak[[#This Row],[Tgl Invoice :]],1)</f>
        <v>1</v>
      </c>
      <c r="S41" s="194">
        <f>IF((INDEX([2]Invoice!$D:$D,Table4[[#This Row],[cek_ppn]]))=pajak[[#This Row],[Kode Sales :]],1)</f>
        <v>1</v>
      </c>
      <c r="T41" s="194">
        <f ca="1">IF((INDEX([2]Invoice!$K:$K,Table4[[#This Row],[cek_ppn]]+28))=pajak[[#This Row],[Total Invoice]],1)</f>
        <v>1</v>
      </c>
      <c r="U41" s="194">
        <f>IF((INDEX([2]Invoice!$J:$J,Table4[[#This Row],[cek_ppn]]+30))=pajak[[#This Row],[pembuat nota]],1)</f>
        <v>1</v>
      </c>
    </row>
    <row r="42" spans="1:21" x14ac:dyDescent="0.25">
      <c r="A42" s="88">
        <v>151</v>
      </c>
      <c r="C42" s="86">
        <f t="shared" si="1"/>
        <v>151</v>
      </c>
      <c r="D42" s="86" t="str">
        <f>IF(pajak[[#This Row],[//]]="","",INDEX(Table1[No. Invoice :],pajak[//]-offset))</f>
        <v>AM 23030040</v>
      </c>
      <c r="E42" s="90">
        <f>IF(pajak[[#This Row],[//]]="","",INDEX(Table1[Tgl Invoice :],pajak[//]-offset))</f>
        <v>45016</v>
      </c>
      <c r="F42" s="86" t="str">
        <f>IF(pajak[[#This Row],[//]]="","",INDEX(Table1[Kode Sales :],pajak[//]-offset))</f>
        <v>G 2916</v>
      </c>
      <c r="G42" s="86" t="str">
        <f>IF(pajak[[#This Row],[//]]="","",INDEX(Table1[Toko],pajak[//]-offset))</f>
        <v>LILY JULIAWATI (REJO AGUNG) JOMBANG</v>
      </c>
      <c r="H42" s="89">
        <f ca="1">IF(pajak[[#This Row],[//]]="","",SUMIF(Table1[h_id],pajak[[#This Row],[//]],Table1[h_hargasebelumdiskon]))</f>
        <v>24660000</v>
      </c>
      <c r="I42" s="89">
        <f ca="1">IF(pajak[[#This Row],[//]]="","",SUMIF(Table1[h_id],pajak[[#This Row],[//]],Table1[h_diskon]))</f>
        <v>4161375</v>
      </c>
      <c r="J42" s="89">
        <f ca="1">IF(pajak[[#This Row],[//]]="","",SUMIF(Table1[h_id],pajak[[#This Row],[//]],Table1[h_hargasetelahdiskon]))</f>
        <v>20498625</v>
      </c>
      <c r="K42" s="89">
        <f ca="1">IF(pajak[//]="","",pajak[[#This Row],[Sub Total]]/1.11*11%)</f>
        <v>2031395.2702702701</v>
      </c>
      <c r="L42" s="89">
        <f ca="1">pajak[[#This Row],[Sub Total]]</f>
        <v>20498625</v>
      </c>
      <c r="M42" s="86" t="str">
        <f>IF(pajak[[#This Row],[//]]="","",INDEX(Table1[pembuat nota :],pajak[//]-offset))</f>
        <v>NOVI / CONDRO</v>
      </c>
      <c r="N42" s="86" t="str">
        <f>IF(pajak[[#This Row],[//]]="","",IF(INDEX(Table1[edited :],pajak[//]-offset)="","",INDEX(Table1[edited :],pajak[//]-offset)))</f>
        <v/>
      </c>
      <c r="P42" s="86">
        <f>IF(pajak[[#This Row],[Kode Sales :]]="","",MATCH(pajak[[#This Row],[Kode Sales :]],[2]Invoice!$D:$D,0))</f>
        <v>4452</v>
      </c>
      <c r="Q42" s="194">
        <f>IF((INDEX([2]Invoice!$D:$D,Table4[[#This Row],[cek_ppn]]-4)&amp;" "&amp;INDEX([2]Invoice!$E:$E,Table4[[#This Row],[cek_ppn]]-4))=pajak[[#This Row],[No. Invoice :]],1)</f>
        <v>1</v>
      </c>
      <c r="R42" s="194">
        <f>IF((INDEX([2]Invoice!$D:$D,Table4[[#This Row],[cek_ppn]]-2))=pajak[[#This Row],[Tgl Invoice :]],1)</f>
        <v>1</v>
      </c>
      <c r="S42" s="194">
        <f>IF((INDEX([2]Invoice!$D:$D,Table4[[#This Row],[cek_ppn]]))=pajak[[#This Row],[Kode Sales :]],1)</f>
        <v>1</v>
      </c>
      <c r="T42" s="194">
        <f ca="1">IF((INDEX([2]Invoice!$K:$K,Table4[[#This Row],[cek_ppn]]+28))=pajak[[#This Row],[Total Invoice]],1)</f>
        <v>1</v>
      </c>
      <c r="U42" s="194">
        <f>IF((INDEX([2]Invoice!$J:$J,Table4[[#This Row],[cek_ppn]]+30))=pajak[[#This Row],[pembuat nota]],1)</f>
        <v>1</v>
      </c>
    </row>
    <row r="43" spans="1:21" x14ac:dyDescent="0.25">
      <c r="A43" s="88">
        <v>156</v>
      </c>
      <c r="C43" s="86">
        <f t="shared" si="1"/>
        <v>156</v>
      </c>
      <c r="D43" s="86" t="str">
        <f>IF(pajak[[#This Row],[//]]="","",INDEX(Table1[No. Invoice :],pajak[//]-offset))</f>
        <v>AM 23030041</v>
      </c>
      <c r="E43" s="90">
        <f>IF(pajak[[#This Row],[//]]="","",INDEX(Table1[Tgl Invoice :],pajak[//]-offset))</f>
        <v>45016</v>
      </c>
      <c r="F43" s="86" t="str">
        <f>IF(pajak[[#This Row],[//]]="","",INDEX(Table1[Kode Sales :],pajak[//]-offset))</f>
        <v>KO 2917</v>
      </c>
      <c r="G43" s="86" t="str">
        <f>IF(pajak[[#This Row],[//]]="","",INDEX(Table1[Toko],pajak[//]-offset))</f>
        <v>HARNOYO (BENDAN) PEKALONGAN</v>
      </c>
      <c r="H43" s="89">
        <f ca="1">IF(pajak[[#This Row],[//]]="","",SUMIF(Table1[h_id],pajak[[#This Row],[//]],Table1[h_hargasebelumdiskon]))</f>
        <v>1380000</v>
      </c>
      <c r="I43" s="89">
        <f ca="1">IF(pajak[[#This Row],[//]]="","",SUMIF(Table1[h_id],pajak[[#This Row],[//]],Table1[h_diskon]))</f>
        <v>193200.00000000003</v>
      </c>
      <c r="J43" s="89">
        <f ca="1">IF(pajak[[#This Row],[//]]="","",SUMIF(Table1[h_id],pajak[[#This Row],[//]],Table1[h_hargasetelahdiskon]))</f>
        <v>1186800</v>
      </c>
      <c r="K43" s="89">
        <f ca="1">IF(pajak[//]="","",pajak[[#This Row],[Sub Total]]/1.11*11%)</f>
        <v>117610.8108108108</v>
      </c>
      <c r="L43" s="89">
        <f ca="1">pajak[[#This Row],[Sub Total]]</f>
        <v>1186800</v>
      </c>
      <c r="M43" s="86" t="str">
        <f>IF(pajak[[#This Row],[//]]="","",INDEX(Table1[pembuat nota :],pajak[//]-offset))</f>
        <v>NOVI / CONDRO</v>
      </c>
      <c r="N43" s="86" t="str">
        <f>IF(pajak[[#This Row],[//]]="","",IF(INDEX(Table1[edited :],pajak[//]-offset)="","",INDEX(Table1[edited :],pajak[//]-offset)))</f>
        <v/>
      </c>
      <c r="P43" s="86">
        <f>IF(pajak[[#This Row],[Kode Sales :]]="","",MATCH(pajak[[#This Row],[Kode Sales :]],[2]Invoice!$D:$D,0))</f>
        <v>4566</v>
      </c>
      <c r="Q43" s="194">
        <f>IF((INDEX([2]Invoice!$D:$D,Table4[[#This Row],[cek_ppn]]-4)&amp;" "&amp;INDEX([2]Invoice!$E:$E,Table4[[#This Row],[cek_ppn]]-4))=pajak[[#This Row],[No. Invoice :]],1)</f>
        <v>1</v>
      </c>
      <c r="R43" s="194">
        <f>IF((INDEX([2]Invoice!$D:$D,Table4[[#This Row],[cek_ppn]]-2))=pajak[[#This Row],[Tgl Invoice :]],1)</f>
        <v>1</v>
      </c>
      <c r="S43" s="194">
        <f>IF((INDEX([2]Invoice!$D:$D,Table4[[#This Row],[cek_ppn]]))=pajak[[#This Row],[Kode Sales :]],1)</f>
        <v>1</v>
      </c>
      <c r="T43" s="194">
        <f ca="1">IF((INDEX([2]Invoice!$K:$K,Table4[[#This Row],[cek_ppn]]+28))=pajak[[#This Row],[Total Invoice]],1)</f>
        <v>1</v>
      </c>
      <c r="U43" s="194">
        <f>IF((INDEX([2]Invoice!$J:$J,Table4[[#This Row],[cek_ppn]]+30))=pajak[[#This Row],[pembuat nota]],1)</f>
        <v>1</v>
      </c>
    </row>
    <row r="44" spans="1:21" x14ac:dyDescent="0.25">
      <c r="A44" s="88">
        <v>158</v>
      </c>
      <c r="C44" s="86">
        <f t="shared" si="1"/>
        <v>158</v>
      </c>
      <c r="D44" s="86" t="str">
        <f>IF(pajak[[#This Row],[//]]="","",INDEX(Table1[No. Invoice :],pajak[//]-offset))</f>
        <v>AM 23030042</v>
      </c>
      <c r="E44" s="90">
        <f>IF(pajak[[#This Row],[//]]="","",INDEX(Table1[Tgl Invoice :],pajak[//]-offset))</f>
        <v>45016</v>
      </c>
      <c r="F44" s="86" t="str">
        <f>IF(pajak[[#This Row],[//]]="","",INDEX(Table1[Kode Sales :],pajak[//]-offset))</f>
        <v>KO 1380</v>
      </c>
      <c r="G44" s="86" t="str">
        <f>IF(pajak[[#This Row],[//]]="","",INDEX(Table1[Toko],pajak[//]-offset))</f>
        <v>CV PELITA JAYA (ANUGERAH SEJAHTERA) PURWOKERTO</v>
      </c>
      <c r="H44" s="89">
        <f ca="1">IF(pajak[[#This Row],[//]]="","",SUMIF(Table1[h_id],pajak[[#This Row],[//]],Table1[h_hargasebelumdiskon]))</f>
        <v>8390400</v>
      </c>
      <c r="I44" s="89">
        <f ca="1">IF(pajak[[#This Row],[//]]="","",SUMIF(Table1[h_id],pajak[[#This Row],[//]],Table1[h_diskon]))</f>
        <v>1038624</v>
      </c>
      <c r="J44" s="89">
        <f ca="1">IF(pajak[[#This Row],[//]]="","",SUMIF(Table1[h_id],pajak[[#This Row],[//]],Table1[h_hargasetelahdiskon]))</f>
        <v>7351776</v>
      </c>
      <c r="K44" s="89">
        <f ca="1">IF(pajak[//]="","",pajak[[#This Row],[Sub Total]]/1.11*11%)</f>
        <v>728554.37837837834</v>
      </c>
      <c r="L44" s="89">
        <f ca="1">pajak[[#This Row],[Sub Total]]</f>
        <v>7351776</v>
      </c>
      <c r="M44" s="86" t="str">
        <f>IF(pajak[[#This Row],[//]]="","",INDEX(Table1[pembuat nota :],pajak[//]-offset))</f>
        <v>NOVI / CONDRO</v>
      </c>
      <c r="N44" s="86" t="str">
        <f>IF(pajak[[#This Row],[//]]="","",IF(INDEX(Table1[edited :],pajak[//]-offset)="","",INDEX(Table1[edited :],pajak[//]-offset)))</f>
        <v/>
      </c>
      <c r="P44" s="86">
        <f>IF(pajak[[#This Row],[Kode Sales :]]="","",MATCH(pajak[[#This Row],[Kode Sales :]],[2]Invoice!$D:$D,0))</f>
        <v>4680</v>
      </c>
      <c r="Q44" s="194">
        <f>IF((INDEX([2]Invoice!$D:$D,Table4[[#This Row],[cek_ppn]]-4)&amp;" "&amp;INDEX([2]Invoice!$E:$E,Table4[[#This Row],[cek_ppn]]-4))=pajak[[#This Row],[No. Invoice :]],1)</f>
        <v>1</v>
      </c>
      <c r="R44" s="194">
        <f>IF((INDEX([2]Invoice!$D:$D,Table4[[#This Row],[cek_ppn]]-2))=pajak[[#This Row],[Tgl Invoice :]],1)</f>
        <v>1</v>
      </c>
      <c r="S44" s="194">
        <f>IF((INDEX([2]Invoice!$D:$D,Table4[[#This Row],[cek_ppn]]))=pajak[[#This Row],[Kode Sales :]],1)</f>
        <v>1</v>
      </c>
      <c r="T44" s="194">
        <f ca="1">IF((INDEX([2]Invoice!$K:$K,Table4[[#This Row],[cek_ppn]]+28))=pajak[[#This Row],[Total Invoice]],1)</f>
        <v>1</v>
      </c>
      <c r="U44" s="194">
        <f>IF((INDEX([2]Invoice!$J:$J,Table4[[#This Row],[cek_ppn]]+30))=pajak[[#This Row],[pembuat nota]],1)</f>
        <v>1</v>
      </c>
    </row>
    <row r="45" spans="1:21" x14ac:dyDescent="0.25">
      <c r="A45" s="88">
        <v>161</v>
      </c>
      <c r="C45" s="86">
        <f t="shared" si="1"/>
        <v>161</v>
      </c>
      <c r="D45" s="86" t="str">
        <f>IF(pajak[[#This Row],[//]]="","",INDEX(Table1[No. Invoice :],pajak[//]-offset))</f>
        <v>AM 23030043</v>
      </c>
      <c r="E45" s="90">
        <f>IF(pajak[[#This Row],[//]]="","",INDEX(Table1[Tgl Invoice :],pajak[//]-offset))</f>
        <v>45016</v>
      </c>
      <c r="F45" s="86" t="str">
        <f>IF(pajak[[#This Row],[//]]="","",INDEX(Table1[Kode Sales :],pajak[//]-offset))</f>
        <v>KO 1388</v>
      </c>
      <c r="G45" s="86" t="str">
        <f>IF(pajak[[#This Row],[//]]="","",INDEX(Table1[Toko],pajak[//]-offset))</f>
        <v>CV PELITA JAYA (ANUGERAH SEJAHTERA) PURWOKERTO</v>
      </c>
      <c r="H45" s="89">
        <f ca="1">IF(pajak[[#This Row],[//]]="","",SUMIF(Table1[h_id],pajak[[#This Row],[//]],Table1[h_hargasebelumdiskon]))</f>
        <v>6012000</v>
      </c>
      <c r="I45" s="89">
        <f ca="1">IF(pajak[[#This Row],[//]]="","",SUMIF(Table1[h_id],pajak[[#This Row],[//]],Table1[h_diskon]))</f>
        <v>811620</v>
      </c>
      <c r="J45" s="89">
        <f ca="1">IF(pajak[[#This Row],[//]]="","",SUMIF(Table1[h_id],pajak[[#This Row],[//]],Table1[h_hargasetelahdiskon]))</f>
        <v>5200380</v>
      </c>
      <c r="K45" s="89">
        <f ca="1">IF(pajak[//]="","",pajak[[#This Row],[Sub Total]]/1.11*11%)</f>
        <v>515352.97297297296</v>
      </c>
      <c r="L45" s="89">
        <f ca="1">pajak[[#This Row],[Sub Total]]</f>
        <v>5200380</v>
      </c>
      <c r="M45" s="86" t="str">
        <f>IF(pajak[[#This Row],[//]]="","",INDEX(Table1[pembuat nota :],pajak[//]-offset))</f>
        <v>NOVI / CONDRO</v>
      </c>
      <c r="N45" s="86" t="str">
        <f>IF(pajak[[#This Row],[//]]="","",IF(INDEX(Table1[edited :],pajak[//]-offset)="","",INDEX(Table1[edited :],pajak[//]-offset)))</f>
        <v/>
      </c>
      <c r="P45" s="86">
        <f>IF(pajak[[#This Row],[Kode Sales :]]="","",MATCH(pajak[[#This Row],[Kode Sales :]],[2]Invoice!$D:$D,0))</f>
        <v>4794</v>
      </c>
      <c r="Q45" s="194">
        <f>IF((INDEX([2]Invoice!$D:$D,Table4[[#This Row],[cek_ppn]]-4)&amp;" "&amp;INDEX([2]Invoice!$E:$E,Table4[[#This Row],[cek_ppn]]-4))=pajak[[#This Row],[No. Invoice :]],1)</f>
        <v>1</v>
      </c>
      <c r="R45" s="194">
        <f>IF((INDEX([2]Invoice!$D:$D,Table4[[#This Row],[cek_ppn]]-2))=pajak[[#This Row],[Tgl Invoice :]],1)</f>
        <v>1</v>
      </c>
      <c r="S45" s="194">
        <f>IF((INDEX([2]Invoice!$D:$D,Table4[[#This Row],[cek_ppn]]))=pajak[[#This Row],[Kode Sales :]],1)</f>
        <v>1</v>
      </c>
      <c r="T45" s="194">
        <f ca="1">IF((INDEX([2]Invoice!$K:$K,Table4[[#This Row],[cek_ppn]]+28))=pajak[[#This Row],[Total Invoice]],1)</f>
        <v>1</v>
      </c>
      <c r="U45" s="194">
        <f>IF((INDEX([2]Invoice!$J:$J,Table4[[#This Row],[cek_ppn]]+30))=pajak[[#This Row],[pembuat nota]],1)</f>
        <v>1</v>
      </c>
    </row>
    <row r="46" spans="1:21" x14ac:dyDescent="0.25">
      <c r="A46" s="88">
        <v>164</v>
      </c>
      <c r="C46" s="86">
        <f t="shared" si="1"/>
        <v>164</v>
      </c>
      <c r="D46" s="86" t="str">
        <f>IF(pajak[[#This Row],[//]]="","",INDEX(Table1[No. Invoice :],pajak[//]-offset))</f>
        <v>AM 23030044</v>
      </c>
      <c r="E46" s="90">
        <f>IF(pajak[[#This Row],[//]]="","",INDEX(Table1[Tgl Invoice :],pajak[//]-offset))</f>
        <v>45016</v>
      </c>
      <c r="F46" s="86" t="str">
        <f>IF(pajak[[#This Row],[//]]="","",INDEX(Table1[Kode Sales :],pajak[//]-offset))</f>
        <v>KO 1019</v>
      </c>
      <c r="G46" s="86" t="str">
        <f>IF(pajak[[#This Row],[//]]="","",INDEX(Table1[Toko],pajak[//]-offset))</f>
        <v>SOEYANTO LOPULUSI ( LANCAR ) MALANG</v>
      </c>
      <c r="H46" s="89">
        <f ca="1">IF(pajak[[#This Row],[//]]="","",SUMIF(Table1[h_id],pajak[[#This Row],[//]],Table1[h_hargasebelumdiskon]))</f>
        <v>10483200</v>
      </c>
      <c r="I46" s="89">
        <f ca="1">IF(pajak[[#This Row],[//]]="","",SUMIF(Table1[h_id],pajak[[#This Row],[//]],Table1[h_diskon]))</f>
        <v>1310400</v>
      </c>
      <c r="J46" s="89">
        <f ca="1">IF(pajak[[#This Row],[//]]="","",SUMIF(Table1[h_id],pajak[[#This Row],[//]],Table1[h_hargasetelahdiskon]))</f>
        <v>9172800</v>
      </c>
      <c r="K46" s="89">
        <f ca="1">IF(pajak[//]="","",pajak[[#This Row],[Sub Total]]/1.11*11%)</f>
        <v>909016.21621621621</v>
      </c>
      <c r="L46" s="89">
        <f ca="1">pajak[[#This Row],[Sub Total]]</f>
        <v>9172800</v>
      </c>
      <c r="M46" s="86" t="str">
        <f>IF(pajak[[#This Row],[//]]="","",INDEX(Table1[pembuat nota :],pajak[//]-offset))</f>
        <v>NOVI / CONDRO</v>
      </c>
      <c r="N46" s="86" t="str">
        <f>IF(pajak[[#This Row],[//]]="","",IF(INDEX(Table1[edited :],pajak[//]-offset)="","",INDEX(Table1[edited :],pajak[//]-offset)))</f>
        <v/>
      </c>
      <c r="P46" s="86">
        <f>IF(pajak[[#This Row],[Kode Sales :]]="","",MATCH(pajak[[#This Row],[Kode Sales :]],[2]Invoice!$D:$D,0))</f>
        <v>4908</v>
      </c>
      <c r="Q46" s="194">
        <f>IF((INDEX([2]Invoice!$D:$D,Table4[[#This Row],[cek_ppn]]-4)&amp;" "&amp;INDEX([2]Invoice!$E:$E,Table4[[#This Row],[cek_ppn]]-4))=pajak[[#This Row],[No. Invoice :]],1)</f>
        <v>1</v>
      </c>
      <c r="R46" s="194">
        <f>IF((INDEX([2]Invoice!$D:$D,Table4[[#This Row],[cek_ppn]]-2))=pajak[[#This Row],[Tgl Invoice :]],1)</f>
        <v>1</v>
      </c>
      <c r="S46" s="194">
        <f>IF((INDEX([2]Invoice!$D:$D,Table4[[#This Row],[cek_ppn]]))=pajak[[#This Row],[Kode Sales :]],1)</f>
        <v>1</v>
      </c>
      <c r="T46" s="194">
        <f ca="1">IF((INDEX([2]Invoice!$K:$K,Table4[[#This Row],[cek_ppn]]+28))=pajak[[#This Row],[Total Invoice]],1)</f>
        <v>1</v>
      </c>
      <c r="U46" s="194">
        <f>IF((INDEX([2]Invoice!$J:$J,Table4[[#This Row],[cek_ppn]]+30))=pajak[[#This Row],[pembuat nota]],1)</f>
        <v>1</v>
      </c>
    </row>
    <row r="47" spans="1:21" x14ac:dyDescent="0.25">
      <c r="A47" s="88"/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1:21" x14ac:dyDescent="0.25">
      <c r="A48" s="88" t="s">
        <v>55</v>
      </c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388233900</v>
      </c>
      <c r="I56" s="89">
        <f ca="1">SUBTOTAL(109,pajak[Diskon])</f>
        <v>44240913</v>
      </c>
      <c r="J56" s="89">
        <f ca="1">SUBTOTAL(109,pajak[Sub Total])</f>
        <v>343992987</v>
      </c>
      <c r="K56" s="89">
        <f ca="1">SUBTOTAL(109,pajak[PPN 11%])</f>
        <v>34089395.108108111</v>
      </c>
      <c r="L56" s="89">
        <f ca="1">SUBTOTAL(109,pajak[Total Invoice])</f>
        <v>343992987</v>
      </c>
      <c r="M56"/>
      <c r="N56"/>
    </row>
  </sheetData>
  <conditionalFormatting sqref="F57:F1048576 F1:F55">
    <cfRule type="duplicateValues" dxfId="42" priority="9"/>
  </conditionalFormatting>
  <conditionalFormatting sqref="Q1:U1048576">
    <cfRule type="containsText" dxfId="41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164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LANCAR</v>
      </c>
      <c r="F1" t="s">
        <v>46</v>
      </c>
      <c r="G1">
        <f ca="1">INDEX(Table1[h_jumlahbarang],newestIdRow-offset)</f>
        <v>4</v>
      </c>
      <c r="I1" s="351" t="s">
        <v>77</v>
      </c>
      <c r="J1" s="351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411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23030044</v>
      </c>
      <c r="G3" s="11" t="s">
        <v>16</v>
      </c>
      <c r="H3" s="358" t="str">
        <f>INDEX(Table2[b],MATCH(kToko,Table2[a],0))</f>
        <v>SOEYANTO LOPULUSI</v>
      </c>
      <c r="I3" s="358"/>
      <c r="J3" s="358"/>
      <c r="K3" s="359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9" t="s">
        <v>18</v>
      </c>
      <c r="G4" s="17"/>
      <c r="H4" s="360"/>
      <c r="I4" s="360"/>
      <c r="J4" s="360"/>
      <c r="K4" s="361"/>
      <c r="L4" s="12"/>
    </row>
    <row r="5" spans="1:12" s="10" customFormat="1" ht="16.5" customHeight="1" x14ac:dyDescent="0.3">
      <c r="A5" s="7"/>
      <c r="B5" s="1" t="s">
        <v>2</v>
      </c>
      <c r="C5" s="8"/>
      <c r="D5" s="330">
        <f>INDEX(Table1[Tgl Invoice :],newestIdRow-offset)</f>
        <v>45016</v>
      </c>
      <c r="E5" s="331"/>
      <c r="F5" s="329"/>
      <c r="G5" s="18"/>
      <c r="H5" s="332" t="str">
        <f>IF(INDEX(Table2[c],MATCH(kToko,Table2[a],0))="","",INDEX(Table2[c],MATCH(kToko,Table2[a],0)))</f>
        <v>( LANCAR )</v>
      </c>
      <c r="I5" s="332"/>
      <c r="J5" s="332"/>
      <c r="K5" s="333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9"/>
      <c r="G6" s="18"/>
      <c r="H6" s="334" t="str">
        <f>INDEX(Table2[d],MATCH(kToko,Table2[a],0))</f>
        <v>MALANG</v>
      </c>
      <c r="I6" s="334"/>
      <c r="J6" s="334"/>
      <c r="K6" s="335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1019</v>
      </c>
      <c r="E7" s="9"/>
      <c r="F7" s="21"/>
      <c r="G7" s="22"/>
      <c r="H7" s="336"/>
      <c r="I7" s="336"/>
      <c r="J7" s="336"/>
      <c r="K7" s="337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72</v>
      </c>
      <c r="C11" s="46" t="str">
        <f ca="1">IF(A11&gt;jumlahBarang,"",INDEX(Table1[Unit],newestIdRow-offset+A11-1))</f>
        <v>LSN</v>
      </c>
      <c r="D11" s="47">
        <f ca="1">IF(A11&gt;jumlahBarang,"",IF(INDEX(Table1[C],newestIdRow-offset+A11-1)="","",INDEX(Table1[C],newestIdRow-offset+A11-1)))</f>
        <v>2</v>
      </c>
      <c r="E11" s="48" t="str">
        <f ca="1">IF(A11&gt;jumlahBarang,"",INDEX(Table1[Item Description],newestIdRow-offset+A11-1))</f>
        <v>CORRECTION TAPE KENKO CT-919 (12M x 5MM)</v>
      </c>
      <c r="F11" s="49"/>
      <c r="G11" s="50"/>
      <c r="H11" s="51">
        <f ca="1">IF(A11&gt;jumlahBarang,"",INDEX(Table1[Unit Price],newestIdRow-offset+A11-1))</f>
        <v>55800</v>
      </c>
      <c r="I11" s="52">
        <f ca="1">IF(A11&gt;jumlahBarang,"",IF(INDEX(Table1[Disc 1],newestIdRow-offset+A11-1)="","",INDEX(Table1[Disc 1],newestIdRow-offset+A11-1)))</f>
        <v>0.125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3515400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24</v>
      </c>
      <c r="C12" s="46" t="str">
        <f ca="1">IF(A12&gt;jumlahBarang,"",INDEX(Table1[Unit],newestIdRow-offset+A12-1))</f>
        <v>LSN</v>
      </c>
      <c r="D12" s="47">
        <f ca="1">IF(A12&gt;jumlahBarang,"",IF(INDEX(Table1[C],newestIdRow-offset+A12-1)="","",INDEX(Table1[C],newestIdRow-offset+A12-1)))</f>
        <v>1</v>
      </c>
      <c r="E12" s="48" t="str">
        <f ca="1">IF(A12&gt;jumlahBarang,"",INDEX(Table1[Item Description],newestIdRow-offset+A12-1))</f>
        <v>JANGKA (MATH SET) JOYKO MS-75</v>
      </c>
      <c r="F12" s="49"/>
      <c r="G12" s="50"/>
      <c r="H12" s="51">
        <f ca="1">IF(A12&gt;jumlahBarang,"",INDEX(Table1[Unit Price],newestIdRow-offset+A12-1))</f>
        <v>90600</v>
      </c>
      <c r="I12" s="52">
        <f ca="1">IF(A12&gt;jumlahBarang,"",IF(INDEX(Table1[Disc 1],newestIdRow-offset+A12-1)="","",INDEX(Table1[Disc 1],newestIdRow-offset+A12-1)))</f>
        <v>0.125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1902600</v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24</v>
      </c>
      <c r="C13" s="46" t="str">
        <f ca="1">IF(A13&gt;jumlahBarang,"",INDEX(Table1[Unit],newestIdRow-offset+A13-1))</f>
        <v>LSN</v>
      </c>
      <c r="D13" s="47">
        <f ca="1">IF(A13&gt;jumlahBarang,"",IF(INDEX(Table1[C],newestIdRow-offset+A13-1)="","",INDEX(Table1[C],newestIdRow-offset+A13-1)))</f>
        <v>1</v>
      </c>
      <c r="E13" s="48" t="str">
        <f ca="1">IF(A13&gt;jumlahBarang,"",INDEX(Table1[Item Description],newestIdRow-offset+A13-1))</f>
        <v>JANGKA (MATH SET) JOYKO MS-25</v>
      </c>
      <c r="F13" s="49"/>
      <c r="G13" s="50"/>
      <c r="H13" s="51">
        <f ca="1">IF(A13&gt;jumlahBarang,"",INDEX(Table1[Unit Price],newestIdRow-offset+A13-1))</f>
        <v>89400</v>
      </c>
      <c r="I13" s="52">
        <f ca="1">IF(A13&gt;jumlahBarang,"",IF(INDEX(Table1[Disc 1],newestIdRow-offset+A13-1)="","",INDEX(Table1[Disc 1],newestIdRow-offset+A13-1)))</f>
        <v>0.125</v>
      </c>
      <c r="J13" s="52" t="str">
        <f ca="1">IF(A13&gt;jumlahBarang,"",IF(INDEX(Table1[Disc 2],newestIdRow-offset+A13-1)="","",INDEX(Table1[Disc 2],newestIdRow-offset+A13-1)))</f>
        <v/>
      </c>
      <c r="K13" s="53">
        <f ca="1">IF(A13&gt;jumlahBarang,"",INDEX(Table1[Amount],newestIdRow-offset+A13-1))</f>
        <v>1877400</v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24</v>
      </c>
      <c r="C14" s="46" t="str">
        <f ca="1">IF(A14&gt;jumlahBarang,"",INDEX(Table1[Unit],newestIdRow-offset+A14-1))</f>
        <v>LSN</v>
      </c>
      <c r="D14" s="47">
        <f ca="1">IF(A14&gt;jumlahBarang,"",IF(INDEX(Table1[C],newestIdRow-offset+A14-1)="","",INDEX(Table1[C],newestIdRow-offset+A14-1)))</f>
        <v>1</v>
      </c>
      <c r="E14" s="48" t="str">
        <f ca="1">IF(A14&gt;jumlahBarang,"",INDEX(Table1[Item Description],newestIdRow-offset+A14-1))</f>
        <v>JANGKA (MATH SET) JOYKO MS-55</v>
      </c>
      <c r="F14" s="49"/>
      <c r="G14" s="50"/>
      <c r="H14" s="51">
        <f ca="1">IF(A14&gt;jumlahBarang,"",INDEX(Table1[Unit Price],newestIdRow-offset+A14-1))</f>
        <v>89400</v>
      </c>
      <c r="I14" s="52">
        <f ca="1">IF(A14&gt;jumlahBarang,"",IF(INDEX(Table1[Disc 1],newestIdRow-offset+A14-1)="","",INDEX(Table1[Disc 1],newestIdRow-offset+A14-1)))</f>
        <v>0.125</v>
      </c>
      <c r="J14" s="52" t="str">
        <f ca="1">IF(A14&gt;jumlahBarang,"",IF(INDEX(Table1[Disc 2],newestIdRow-offset+A14-1)="","",INDEX(Table1[Disc 2],newestIdRow-offset+A14-1)))</f>
        <v/>
      </c>
      <c r="K14" s="53">
        <f ca="1">IF(A14&gt;jumlahBarang,"",INDEX(Table1[Amount],newestIdRow-offset+A14-1))</f>
        <v>1877400</v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57"/>
      <c r="K28" s="357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54">
        <f ca="1">INDEX(pajak[Sub Total],MATCH(newestIdRow,pajak[//],0))</f>
        <v>9172800</v>
      </c>
      <c r="K29" s="355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56"/>
      <c r="K30" s="356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57"/>
      <c r="K32" s="357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54">
        <f ca="1">INDEX(pajak[PPN 11%],MATCH(newestIdRow,pajak[//],0))</f>
        <v>909016.21621621621</v>
      </c>
      <c r="K33" s="355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57"/>
      <c r="K34" s="357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9172800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2" t="str">
        <f>INDEX(pajak[pembuat nota],MATCH(newestIdRow,pajak[//],0))</f>
        <v>NOVI / CONDRO</v>
      </c>
      <c r="K37" s="353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2" t="str">
        <f>INDEX(pajak[edited],MATCH(newestIdRow,pajak[//],0))</f>
        <v/>
      </c>
      <c r="K38" s="353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23030044</v>
      </c>
      <c r="F41" s="210"/>
      <c r="G41" s="211" t="s">
        <v>16</v>
      </c>
      <c r="H41" s="338" t="str">
        <f>H3</f>
        <v>SOEYANTO LOPULUSI</v>
      </c>
      <c r="I41" s="338"/>
      <c r="J41" s="338"/>
      <c r="K41" s="339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2" t="s">
        <v>18</v>
      </c>
      <c r="G42" s="217"/>
      <c r="H42" s="340"/>
      <c r="I42" s="340"/>
      <c r="J42" s="340"/>
      <c r="K42" s="341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3">
        <f>D5</f>
        <v>45016</v>
      </c>
      <c r="E43" s="344"/>
      <c r="F43" s="342"/>
      <c r="G43" s="218"/>
      <c r="H43" s="345" t="str">
        <f>H5</f>
        <v>( LANCAR )</v>
      </c>
      <c r="I43" s="345"/>
      <c r="J43" s="345"/>
      <c r="K43" s="346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2"/>
      <c r="G44" s="218"/>
      <c r="H44" s="347" t="str">
        <f>H6</f>
        <v>MALANG</v>
      </c>
      <c r="I44" s="347"/>
      <c r="J44" s="347"/>
      <c r="K44" s="348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1019</v>
      </c>
      <c r="E45" s="209"/>
      <c r="F45" s="222"/>
      <c r="G45" s="223"/>
      <c r="H45" s="349"/>
      <c r="I45" s="349"/>
      <c r="J45" s="349"/>
      <c r="K45" s="350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72</v>
      </c>
      <c r="C49" s="249" t="str">
        <f t="shared" ca="1" si="0"/>
        <v>LSN</v>
      </c>
      <c r="D49" s="250">
        <f t="shared" ca="1" si="0"/>
        <v>2</v>
      </c>
      <c r="E49" s="251" t="str">
        <f t="shared" ca="1" si="0"/>
        <v>CORRECTION TAPE KENKO CT-919 (12M x 5MM)</v>
      </c>
      <c r="F49" s="252"/>
      <c r="G49" s="253"/>
      <c r="H49" s="254">
        <f t="shared" ref="H49:K64" ca="1" si="1">H11</f>
        <v>55800</v>
      </c>
      <c r="I49" s="255">
        <f t="shared" ca="1" si="1"/>
        <v>0.125</v>
      </c>
      <c r="J49" s="255" t="str">
        <f t="shared" ca="1" si="1"/>
        <v/>
      </c>
      <c r="K49" s="256">
        <f t="shared" ca="1" si="1"/>
        <v>3515400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24</v>
      </c>
      <c r="C50" s="249" t="str">
        <f t="shared" ca="1" si="0"/>
        <v>LSN</v>
      </c>
      <c r="D50" s="250">
        <f t="shared" ca="1" si="0"/>
        <v>1</v>
      </c>
      <c r="E50" s="251" t="str">
        <f t="shared" ca="1" si="0"/>
        <v>JANGKA (MATH SET) JOYKO MS-75</v>
      </c>
      <c r="F50" s="252"/>
      <c r="G50" s="253"/>
      <c r="H50" s="254">
        <f t="shared" ca="1" si="1"/>
        <v>90600</v>
      </c>
      <c r="I50" s="255">
        <f t="shared" ca="1" si="1"/>
        <v>0.125</v>
      </c>
      <c r="J50" s="255" t="str">
        <f t="shared" ca="1" si="1"/>
        <v/>
      </c>
      <c r="K50" s="256">
        <f t="shared" ca="1" si="1"/>
        <v>1902600</v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24</v>
      </c>
      <c r="C51" s="249" t="str">
        <f t="shared" ca="1" si="0"/>
        <v>LSN</v>
      </c>
      <c r="D51" s="250">
        <f t="shared" ca="1" si="0"/>
        <v>1</v>
      </c>
      <c r="E51" s="251" t="str">
        <f t="shared" ca="1" si="0"/>
        <v>JANGKA (MATH SET) JOYKO MS-25</v>
      </c>
      <c r="F51" s="252"/>
      <c r="G51" s="253"/>
      <c r="H51" s="254">
        <f t="shared" ca="1" si="1"/>
        <v>89400</v>
      </c>
      <c r="I51" s="255">
        <f t="shared" ca="1" si="1"/>
        <v>0.125</v>
      </c>
      <c r="J51" s="255" t="str">
        <f t="shared" ca="1" si="1"/>
        <v/>
      </c>
      <c r="K51" s="256">
        <f t="shared" ca="1" si="1"/>
        <v>1877400</v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24</v>
      </c>
      <c r="C52" s="249" t="str">
        <f t="shared" ca="1" si="0"/>
        <v>LSN</v>
      </c>
      <c r="D52" s="250">
        <f t="shared" ca="1" si="0"/>
        <v>1</v>
      </c>
      <c r="E52" s="251" t="str">
        <f t="shared" ca="1" si="0"/>
        <v>JANGKA (MATH SET) JOYKO MS-55</v>
      </c>
      <c r="F52" s="252"/>
      <c r="G52" s="253"/>
      <c r="H52" s="254">
        <f t="shared" ca="1" si="1"/>
        <v>89400</v>
      </c>
      <c r="I52" s="255">
        <f t="shared" ca="1" si="1"/>
        <v>0.125</v>
      </c>
      <c r="J52" s="255" t="str">
        <f t="shared" ca="1" si="1"/>
        <v/>
      </c>
      <c r="K52" s="256">
        <f t="shared" ca="1" si="1"/>
        <v>1877400</v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18"/>
      <c r="K66" s="318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6">
        <f ca="1">J29</f>
        <v>9172800</v>
      </c>
      <c r="K67" s="327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8"/>
      <c r="K68" s="328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18"/>
      <c r="K70" s="318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6">
        <f ca="1">J33</f>
        <v>909016.21621621621</v>
      </c>
      <c r="K71" s="327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18"/>
      <c r="K72" s="318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9172800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19" t="str">
        <f>J37</f>
        <v>NOVI / CONDRO</v>
      </c>
      <c r="K75" s="320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19">
        <v>0</v>
      </c>
      <c r="K76" s="320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23030044</v>
      </c>
      <c r="F79" s="110"/>
      <c r="G79" s="111" t="s">
        <v>16</v>
      </c>
      <c r="H79" s="321" t="str">
        <f>H41</f>
        <v>SOEYANTO LOPULUSI</v>
      </c>
      <c r="I79" s="321"/>
      <c r="J79" s="321"/>
      <c r="K79" s="322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25" t="s">
        <v>18</v>
      </c>
      <c r="G80" s="117"/>
      <c r="H80" s="323"/>
      <c r="I80" s="323"/>
      <c r="J80" s="323"/>
      <c r="K80" s="324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10">
        <f>D43</f>
        <v>45016</v>
      </c>
      <c r="E81" s="311"/>
      <c r="F81" s="325"/>
      <c r="G81" s="118"/>
      <c r="H81" s="312" t="str">
        <f>H43</f>
        <v>( LANCAR )</v>
      </c>
      <c r="I81" s="312"/>
      <c r="J81" s="312"/>
      <c r="K81" s="313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25"/>
      <c r="G82" s="118"/>
      <c r="H82" s="314" t="str">
        <f>H44</f>
        <v>MALANG</v>
      </c>
      <c r="I82" s="314"/>
      <c r="J82" s="314"/>
      <c r="K82" s="315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1019</v>
      </c>
      <c r="E83" s="109"/>
      <c r="F83" s="122"/>
      <c r="G83" s="123"/>
      <c r="H83" s="316"/>
      <c r="I83" s="316"/>
      <c r="J83" s="316"/>
      <c r="K83" s="317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72</v>
      </c>
      <c r="C87" s="149" t="str">
        <f t="shared" ca="1" si="2"/>
        <v>LSN</v>
      </c>
      <c r="D87" s="150">
        <f t="shared" ca="1" si="2"/>
        <v>2</v>
      </c>
      <c r="E87" s="151" t="str">
        <f t="shared" ca="1" si="2"/>
        <v>CORRECTION TAPE KENKO CT-919 (12M x 5MM)</v>
      </c>
      <c r="F87" s="152"/>
      <c r="G87" s="153"/>
      <c r="H87" s="154">
        <f t="shared" ref="H87:K102" ca="1" si="3">H49</f>
        <v>55800</v>
      </c>
      <c r="I87" s="155">
        <f t="shared" ca="1" si="3"/>
        <v>0.125</v>
      </c>
      <c r="J87" s="155" t="str">
        <f t="shared" ca="1" si="3"/>
        <v/>
      </c>
      <c r="K87" s="156">
        <f t="shared" ca="1" si="3"/>
        <v>3515400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24</v>
      </c>
      <c r="C88" s="149" t="str">
        <f t="shared" ca="1" si="2"/>
        <v>LSN</v>
      </c>
      <c r="D88" s="150">
        <f t="shared" ca="1" si="2"/>
        <v>1</v>
      </c>
      <c r="E88" s="151" t="str">
        <f t="shared" ca="1" si="2"/>
        <v>JANGKA (MATH SET) JOYKO MS-75</v>
      </c>
      <c r="F88" s="152"/>
      <c r="G88" s="153"/>
      <c r="H88" s="154">
        <f t="shared" ca="1" si="3"/>
        <v>90600</v>
      </c>
      <c r="I88" s="155">
        <f t="shared" ca="1" si="3"/>
        <v>0.125</v>
      </c>
      <c r="J88" s="155" t="str">
        <f t="shared" ca="1" si="3"/>
        <v/>
      </c>
      <c r="K88" s="156">
        <f t="shared" ca="1" si="3"/>
        <v>1902600</v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24</v>
      </c>
      <c r="C89" s="149" t="str">
        <f t="shared" ca="1" si="2"/>
        <v>LSN</v>
      </c>
      <c r="D89" s="150">
        <f t="shared" ca="1" si="2"/>
        <v>1</v>
      </c>
      <c r="E89" s="151" t="str">
        <f t="shared" ca="1" si="2"/>
        <v>JANGKA (MATH SET) JOYKO MS-25</v>
      </c>
      <c r="F89" s="152"/>
      <c r="G89" s="153"/>
      <c r="H89" s="154">
        <f t="shared" ca="1" si="3"/>
        <v>89400</v>
      </c>
      <c r="I89" s="155">
        <f t="shared" ca="1" si="3"/>
        <v>0.125</v>
      </c>
      <c r="J89" s="155" t="str">
        <f t="shared" ca="1" si="3"/>
        <v/>
      </c>
      <c r="K89" s="156">
        <f t="shared" ca="1" si="3"/>
        <v>1877400</v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24</v>
      </c>
      <c r="C90" s="149" t="str">
        <f t="shared" ca="1" si="2"/>
        <v>LSN</v>
      </c>
      <c r="D90" s="150">
        <f t="shared" ca="1" si="2"/>
        <v>1</v>
      </c>
      <c r="E90" s="151" t="str">
        <f t="shared" ca="1" si="2"/>
        <v>JANGKA (MATH SET) JOYKO MS-55</v>
      </c>
      <c r="F90" s="152"/>
      <c r="G90" s="153"/>
      <c r="H90" s="154">
        <f t="shared" ca="1" si="3"/>
        <v>89400</v>
      </c>
      <c r="I90" s="155">
        <f t="shared" ca="1" si="3"/>
        <v>0.125</v>
      </c>
      <c r="J90" s="155" t="str">
        <f t="shared" ca="1" si="3"/>
        <v/>
      </c>
      <c r="K90" s="156">
        <f t="shared" ca="1" si="3"/>
        <v>1877400</v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07"/>
      <c r="K104" s="307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08">
        <f ca="1">J67</f>
        <v>9172800</v>
      </c>
      <c r="K105" s="309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06"/>
      <c r="K106" s="306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07"/>
      <c r="K108" s="307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08">
        <f ca="1">J71</f>
        <v>909016.21621621621</v>
      </c>
      <c r="K109" s="309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07"/>
      <c r="K110" s="307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9172800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04" t="str">
        <f>J75</f>
        <v>NOVI / CONDRO</v>
      </c>
      <c r="K113" s="305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04">
        <v>0</v>
      </c>
      <c r="K114" s="305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topLeftCell="A91" workbookViewId="0">
      <selection activeCell="A96" sqref="A96"/>
    </sheetView>
  </sheetViews>
  <sheetFormatPr defaultRowHeight="15" x14ac:dyDescent="0.25"/>
  <cols>
    <col min="1" max="1" width="66.5703125" customWidth="1"/>
    <col min="2" max="2" width="9" customWidth="1"/>
    <col min="3" max="4" width="5.5703125" customWidth="1"/>
    <col min="5" max="5" width="57.5703125" bestFit="1" customWidth="1"/>
    <col min="6" max="6" width="4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426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306</v>
      </c>
      <c r="B3" s="88"/>
      <c r="C3" s="193">
        <f>MATCH(A3,Table1[H_A1],0)</f>
        <v>85</v>
      </c>
      <c r="D3" s="193">
        <f>MATCH(Table5[[#This Row],[NAMA]],[1]!db[NB PAJAK],0)</f>
        <v>1295</v>
      </c>
      <c r="E3" t="str">
        <f>INDEX(Table1[Item Description],Table5[[#This Row],[//NOTA]])</f>
        <v>BALLPEN KENKO NK-7 / 7B HITAM</v>
      </c>
      <c r="F3">
        <f>SUMIF(Table1[H_A1],Sheet5!A3,Table1[Qty])</f>
        <v>36</v>
      </c>
      <c r="G3" t="str">
        <f>INDEX(Table1[Unit],Table5[[#This Row],[//NOTA]])</f>
        <v>LSN</v>
      </c>
      <c r="H3" s="195">
        <f>SUMIF(Table1[H_A1],Sheet5!A3,Table1[C])</f>
        <v>0</v>
      </c>
      <c r="I3" s="195">
        <f>INDEX(Table1[Unit Price],Table5[[#This Row],[//NOTA]])</f>
        <v>12000</v>
      </c>
      <c r="J3" s="86">
        <f>IF(Table5[[#This Row],[a2]]="","",Table5[[#This Row],[QTY]]*12)</f>
        <v>432</v>
      </c>
      <c r="K3" s="86" t="str">
        <f>IF(Table5[[#This Row],[UNIT]]="grs","LSN",IF(Table5[[#This Row],[UNIT]]="LSN","PCS",""))</f>
        <v>PCS</v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446</v>
      </c>
      <c r="B4" s="88"/>
      <c r="C4" s="194">
        <f>MATCH(A4,Table1[H_A1],0)</f>
        <v>157</v>
      </c>
      <c r="D4" s="194" t="e">
        <f>MATCH(Table5[[#This Row],[NAMA]],[1]!db[NB PAJAK],0)</f>
        <v>#N/A</v>
      </c>
      <c r="E4" t="str">
        <f>INDEX(Table1[Item Description],Table5[[#This Row],[//NOTA]])</f>
        <v>BENSIA SF-9939 A ISI 32 PC (LOVE DADU)</v>
      </c>
      <c r="F4">
        <f>SUMIF(Table1[H_A1],Sheet5!A4,Table1[Qty])</f>
        <v>48</v>
      </c>
      <c r="G4" t="str">
        <f>INDEX(Table1[Unit],Table5[[#This Row],[//NOTA]])</f>
        <v>BOX</v>
      </c>
      <c r="H4" s="195">
        <f>SUMIF(Table1[H_A1],Sheet5!A4,Table1[C])</f>
        <v>1</v>
      </c>
      <c r="I4" s="195">
        <f>INDEX(Table1[Unit Price],Table5[[#This Row],[//NOTA]])</f>
        <v>56000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143</v>
      </c>
      <c r="B5" s="88"/>
      <c r="C5" s="194">
        <f>MATCH(A5,Table1[H_A1],0)</f>
        <v>9</v>
      </c>
      <c r="D5" s="194">
        <f>MATCH(Table5[[#This Row],[NAMA]],[1]!db[NB PAJAK],0)</f>
        <v>210</v>
      </c>
      <c r="E5" t="str">
        <f>INDEX(Table1[Item Description],Table5[[#This Row],[//NOTA]])</f>
        <v>BINDER CLIP JOYKO 105</v>
      </c>
      <c r="F5">
        <f>SUMIF(Table1[H_A1],Sheet5!A5,Table1[Qty])</f>
        <v>20</v>
      </c>
      <c r="G5" t="str">
        <f>INDEX(Table1[Unit],Table5[[#This Row],[//NOTA]])</f>
        <v>GRS</v>
      </c>
      <c r="H5" s="195">
        <f>SUMIF(Table1[H_A1],Sheet5!A5,Table1[C])</f>
        <v>0</v>
      </c>
      <c r="I5" s="195">
        <f>INDEX(Table1[Unit Price],Table5[[#This Row],[//NOTA]])</f>
        <v>27600</v>
      </c>
      <c r="J5" s="86">
        <f>IF(Table5[[#This Row],[a2]]="","",Table5[[#This Row],[QTY]]*12)</f>
        <v>240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2880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181</v>
      </c>
      <c r="B6" s="88"/>
      <c r="C6" s="194">
        <f>MATCH(A6,Table1[H_A1],0)</f>
        <v>4</v>
      </c>
      <c r="D6" s="194">
        <f>MATCH(Table5[[#This Row],[NAMA]],[1]!db[NB PAJAK],0)</f>
        <v>219</v>
      </c>
      <c r="E6" t="str">
        <f>INDEX(Table1[Item Description],Table5[[#This Row],[//NOTA]])</f>
        <v>BINDER CLIP JOYKO 260</v>
      </c>
      <c r="F6">
        <f>SUMIF(Table1[H_A1],Sheet5!A6,Table1[Qty])</f>
        <v>5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177000</v>
      </c>
      <c r="J6" s="86">
        <f>IF(Table5[[#This Row],[a2]]="","",Table5[[#This Row],[QTY]]*12)</f>
        <v>60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720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395</v>
      </c>
      <c r="B7" s="88"/>
      <c r="C7" s="194">
        <f>MATCH(A7,Table1[H_A1],0)</f>
        <v>126</v>
      </c>
      <c r="D7" s="194">
        <f>MATCH(Table5[[#This Row],[NAMA]],[1]!db[NB PAJAK],0)</f>
        <v>1109</v>
      </c>
      <c r="E7" t="str">
        <f>INDEX(Table1[Item Description],Table5[[#This Row],[//NOTA]])</f>
        <v>BINDER CLIP KENKO NO. 105</v>
      </c>
      <c r="F7">
        <f>SUMIF(Table1[H_A1],Sheet5!A7,Table1[Qty])</f>
        <v>1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28800</v>
      </c>
      <c r="J7" s="86">
        <f>IF(Table5[[#This Row],[a2]]="","",Table5[[#This Row],[QTY]]*12)</f>
        <v>12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144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396</v>
      </c>
      <c r="B8" s="88"/>
      <c r="C8" s="194">
        <f>MATCH(A8,Table1[H_A1],0)</f>
        <v>127</v>
      </c>
      <c r="D8" s="194">
        <f>MATCH(Table5[[#This Row],[NAMA]],[1]!db[NB PAJAK],0)</f>
        <v>1111</v>
      </c>
      <c r="E8" t="str">
        <f>INDEX(Table1[Item Description],Table5[[#This Row],[//NOTA]])</f>
        <v>BINDER CLIP KENKO NO. 111</v>
      </c>
      <c r="F8">
        <f>SUMIF(Table1[H_A1],Sheet5!A8,Table1[Qty])</f>
        <v>1</v>
      </c>
      <c r="G8" t="str">
        <f>INDEX(Table1[Unit],Table5[[#This Row],[//NOTA]])</f>
        <v>GRS</v>
      </c>
      <c r="H8" s="195">
        <f>SUMIF(Table1[H_A1],Sheet5!A8,Table1[C])</f>
        <v>0</v>
      </c>
      <c r="I8" s="195">
        <f>INDEX(Table1[Unit Price],Table5[[#This Row],[//NOTA]])</f>
        <v>49200</v>
      </c>
      <c r="J8" s="86">
        <f>IF(Table5[[#This Row],[a2]]="","",Table5[[#This Row],[QTY]]*12)</f>
        <v>12</v>
      </c>
      <c r="K8" s="86" t="str">
        <f>IF(Table5[[#This Row],[UNIT]]="grs","LSN",IF(Table5[[#This Row],[UNIT]]="LSN","PCS",""))</f>
        <v>LSN</v>
      </c>
      <c r="L8" s="86">
        <f>IF(Table5[[#This Row],[a2]]="LSN",Table5[[#This Row],[a1]]*12,"")</f>
        <v>144</v>
      </c>
      <c r="M8" s="86" t="str">
        <f>IF(Table5[[#This Row],[b1]]="","","PCS")</f>
        <v>PCS</v>
      </c>
      <c r="N8" s="86"/>
      <c r="O8" s="86"/>
    </row>
    <row r="9" spans="1:15" x14ac:dyDescent="0.25">
      <c r="A9" s="88" t="s">
        <v>440</v>
      </c>
      <c r="B9" s="88"/>
      <c r="C9" s="194">
        <f>MATCH(A9,Table1[H_A1],0)</f>
        <v>154</v>
      </c>
      <c r="D9" s="194">
        <f>MATCH(Table5[[#This Row],[NAMA]],[1]!db[NB PAJAK],0)</f>
        <v>1112</v>
      </c>
      <c r="E9" t="str">
        <f>INDEX(Table1[Item Description],Table5[[#This Row],[//NOTA]])</f>
        <v>BINDER CLIP KENKO NO. 155</v>
      </c>
      <c r="F9">
        <f>SUMIF(Table1[H_A1],Sheet5!A9,Table1[Qty])</f>
        <v>20</v>
      </c>
      <c r="G9" t="str">
        <f>INDEX(Table1[Unit],Table5[[#This Row],[//NOTA]])</f>
        <v>GRS</v>
      </c>
      <c r="H9" s="195">
        <f>SUMIF(Table1[H_A1],Sheet5!A9,Table1[C])</f>
        <v>1</v>
      </c>
      <c r="I9" s="195">
        <f>INDEX(Table1[Unit Price],Table5[[#This Row],[//NOTA]])</f>
        <v>69000</v>
      </c>
      <c r="J9" s="86">
        <f>IF(Table5[[#This Row],[a2]]="","",Table5[[#This Row],[QTY]]*12)</f>
        <v>240</v>
      </c>
      <c r="K9" s="86" t="str">
        <f>IF(Table5[[#This Row],[UNIT]]="grs","LSN",IF(Table5[[#This Row],[UNIT]]="LSN","PCS",""))</f>
        <v>LSN</v>
      </c>
      <c r="L9" s="86">
        <f>IF(Table5[[#This Row],[a2]]="LSN",Table5[[#This Row],[a1]]*12,"")</f>
        <v>2880</v>
      </c>
      <c r="M9" s="86" t="str">
        <f>IF(Table5[[#This Row],[b1]]="","","PCS")</f>
        <v>PCS</v>
      </c>
      <c r="N9" s="86"/>
      <c r="O9" s="86"/>
    </row>
    <row r="10" spans="1:15" x14ac:dyDescent="0.25">
      <c r="A10" s="88" t="s">
        <v>298</v>
      </c>
      <c r="B10" s="88"/>
      <c r="C10" s="194">
        <f>MATCH(A10,Table1[H_A1],0)</f>
        <v>80</v>
      </c>
      <c r="D10" s="194">
        <f>MATCH(Table5[[#This Row],[NAMA]],[1]!db[NB PAJAK],0)</f>
        <v>1113</v>
      </c>
      <c r="E10" t="str">
        <f>INDEX(Table1[Item Description],Table5[[#This Row],[//NOTA]])</f>
        <v>BINDER CLIP KENKO NO. 200</v>
      </c>
      <c r="F10">
        <f>SUMIF(Table1[H_A1],Sheet5!A10,Table1[Qty])</f>
        <v>12</v>
      </c>
      <c r="G10" t="str">
        <f>INDEX(Table1[Unit],Table5[[#This Row],[//NOTA]])</f>
        <v>GRS</v>
      </c>
      <c r="H10" s="195">
        <f>SUMIF(Table1[H_A1],Sheet5!A10,Table1[C])</f>
        <v>1</v>
      </c>
      <c r="I10" s="195">
        <f>INDEX(Table1[Unit Price],Table5[[#This Row],[//NOTA]])</f>
        <v>120000</v>
      </c>
      <c r="J10" s="86">
        <f>IF(Table5[[#This Row],[a2]]="","",Table5[[#This Row],[QTY]]*12)</f>
        <v>144</v>
      </c>
      <c r="K10" s="86" t="str">
        <f>IF(Table5[[#This Row],[UNIT]]="grs","LSN",IF(Table5[[#This Row],[UNIT]]="LSN","PCS",""))</f>
        <v>LSN</v>
      </c>
      <c r="L10" s="86">
        <f>IF(Table5[[#This Row],[a2]]="LSN",Table5[[#This Row],[a1]]*12,"")</f>
        <v>1728</v>
      </c>
      <c r="M10" s="86" t="str">
        <f>IF(Table5[[#This Row],[b1]]="","","PCS")</f>
        <v>PCS</v>
      </c>
      <c r="N10" s="86"/>
      <c r="O10" s="86"/>
    </row>
    <row r="11" spans="1:15" x14ac:dyDescent="0.25">
      <c r="A11" s="88" t="s">
        <v>270</v>
      </c>
      <c r="B11" s="88"/>
      <c r="C11" s="194">
        <f>MATCH(A11,Table1[H_A1],0)</f>
        <v>64</v>
      </c>
      <c r="D11" s="194">
        <f>MATCH(Table5[[#This Row],[NAMA]],[1]!db[NB PAJAK],0)</f>
        <v>1114</v>
      </c>
      <c r="E11" t="str">
        <f>INDEX(Table1[Item Description],Table5[[#This Row],[//NOTA]])</f>
        <v>BINDER CLIP KENKO NO. 260</v>
      </c>
      <c r="F11">
        <f>SUMIF(Table1[H_A1],Sheet5!A11,Table1[Qty])</f>
        <v>10</v>
      </c>
      <c r="G11" t="str">
        <f>INDEX(Table1[Unit],Table5[[#This Row],[//NOTA]])</f>
        <v>GRS</v>
      </c>
      <c r="H11" s="195">
        <f>SUMIF(Table1[H_A1],Sheet5!A11,Table1[C])</f>
        <v>2</v>
      </c>
      <c r="I11" s="195">
        <f>INDEX(Table1[Unit Price],Table5[[#This Row],[//NOTA]])</f>
        <v>180000</v>
      </c>
      <c r="J11" s="86">
        <f>IF(Table5[[#This Row],[a2]]="","",Table5[[#This Row],[QTY]]*12)</f>
        <v>120</v>
      </c>
      <c r="K11" s="86" t="str">
        <f>IF(Table5[[#This Row],[UNIT]]="grs","LSN",IF(Table5[[#This Row],[UNIT]]="LSN","PCS",""))</f>
        <v>LSN</v>
      </c>
      <c r="L11" s="86">
        <f>IF(Table5[[#This Row],[a2]]="LSN",Table5[[#This Row],[a1]]*12,"")</f>
        <v>1440</v>
      </c>
      <c r="M11" s="86" t="str">
        <f>IF(Table5[[#This Row],[b1]]="","","PCS")</f>
        <v>PCS</v>
      </c>
      <c r="N11" s="86"/>
      <c r="O11" s="86"/>
    </row>
    <row r="12" spans="1:15" x14ac:dyDescent="0.25">
      <c r="A12" s="88" t="s">
        <v>299</v>
      </c>
      <c r="B12" s="88"/>
      <c r="C12" s="194">
        <f>MATCH(A12,Table1[H_A1],0)</f>
        <v>81</v>
      </c>
      <c r="D12" s="194">
        <f>MATCH(Table5[[#This Row],[NAMA]],[1]!db[NB PAJAK],0)</f>
        <v>1114</v>
      </c>
      <c r="E12" t="str">
        <f>INDEX(Table1[Item Description],Table5[[#This Row],[//NOTA]])</f>
        <v>BINDER CLIP KENKO NO. 260</v>
      </c>
      <c r="F12">
        <f>SUMIF(Table1[H_A1],Sheet5!A12,Table1[Qty])</f>
        <v>18</v>
      </c>
      <c r="G12" t="str">
        <f>INDEX(Table1[Unit],Table5[[#This Row],[//NOTA]])</f>
        <v>LSN</v>
      </c>
      <c r="H12" s="195">
        <f>SUMIF(Table1[H_A1],Sheet5!A12,Table1[C])</f>
        <v>0</v>
      </c>
      <c r="I12" s="195">
        <f>INDEX(Table1[Unit Price],Table5[[#This Row],[//NOTA]])</f>
        <v>15000</v>
      </c>
      <c r="J12" s="86">
        <f>IF(Table5[[#This Row],[a2]]="","",Table5[[#This Row],[QTY]]*12)</f>
        <v>216</v>
      </c>
      <c r="K12" s="86" t="str">
        <f>IF(Table5[[#This Row],[UNIT]]="grs","LSN",IF(Table5[[#This Row],[UNIT]]="LSN","PCS",""))</f>
        <v>PCS</v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324</v>
      </c>
      <c r="B13" s="88"/>
      <c r="C13" s="194">
        <f>MATCH(A13,Table1[H_A1],0)</f>
        <v>92</v>
      </c>
      <c r="D13" s="194" t="e">
        <f>MATCH(Table5[[#This Row],[NAMA]],[1]!db[NB PAJAK],0)</f>
        <v>#N/A</v>
      </c>
      <c r="E13" t="str">
        <f>INDEX(Table1[Item Description],Table5[[#This Row],[//NOTA]])</f>
        <v>BINDER NOTE JOYKO A5 (CAMPUS/CLASSIC)</v>
      </c>
      <c r="F13">
        <f>SUMIF(Table1[H_A1],Sheet5!A13,Table1[Qty])</f>
        <v>360</v>
      </c>
      <c r="G13" t="str">
        <f>INDEX(Table1[Unit],Table5[[#This Row],[//NOTA]])</f>
        <v>PCS</v>
      </c>
      <c r="H13" s="195">
        <f>SUMIF(Table1[H_A1],Sheet5!A13,Table1[C])</f>
        <v>5</v>
      </c>
      <c r="I13" s="195">
        <f>INDEX(Table1[Unit Price],Table5[[#This Row],[//NOTA]])</f>
        <v>15800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397</v>
      </c>
      <c r="B14" s="88"/>
      <c r="C14" s="194">
        <f>MATCH(A14,Table1[H_A1],0)</f>
        <v>121</v>
      </c>
      <c r="D14" s="194">
        <f>MATCH(Table5[[#This Row],[NAMA]],[1]!db[NB PAJAK],0)</f>
        <v>276</v>
      </c>
      <c r="E14" t="str">
        <f>INDEX(Table1[Item Description],Table5[[#This Row],[//NOTA]])</f>
        <v>BUKU KAS KWARTO</v>
      </c>
      <c r="F14">
        <f>SUMIF(Table1[H_A1],Sheet5!A14,Table1[Qty])</f>
        <v>10</v>
      </c>
      <c r="G14" t="str">
        <f>INDEX(Table1[Unit],Table5[[#This Row],[//NOTA]])</f>
        <v>PCS</v>
      </c>
      <c r="H14" s="195">
        <f>SUMIF(Table1[H_A1],Sheet5!A14,Table1[C])</f>
        <v>0</v>
      </c>
      <c r="I14" s="195">
        <f>INDEX(Table1[Unit Price],Table5[[#This Row],[//NOTA]])</f>
        <v>9500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434</v>
      </c>
      <c r="B15" s="88"/>
      <c r="C15" s="194">
        <f>MATCH(A15,Table1[H_A1],0)</f>
        <v>149</v>
      </c>
      <c r="D15" s="194">
        <f>MATCH(Table5[[#This Row],[NAMA]],[1]!db[NB PAJAK],0)</f>
        <v>418</v>
      </c>
      <c r="E15" t="str">
        <f>INDEX(Table1[Item Description],Table5[[#This Row],[//NOTA]])</f>
        <v>CALCULATOR JOYKO CC-15A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47000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435</v>
      </c>
      <c r="B16" s="88"/>
      <c r="C16" s="194">
        <f>MATCH(A16,Table1[H_A1],0)</f>
        <v>151</v>
      </c>
      <c r="D16" s="194">
        <f>MATCH(Table5[[#This Row],[NAMA]],[1]!db[NB PAJAK],0)</f>
        <v>437</v>
      </c>
      <c r="E16" t="str">
        <f>INDEX(Table1[Item Description],Table5[[#This Row],[//NOTA]])</f>
        <v>CALCULATOR JOYKO CC-47CO WARNA</v>
      </c>
      <c r="F16">
        <f>SUMIF(Table1[H_A1],Sheet5!A16,Table1[Qty])</f>
        <v>120</v>
      </c>
      <c r="G16" t="str">
        <f>INDEX(Table1[Unit],Table5[[#This Row],[//NOTA]])</f>
        <v>PCS</v>
      </c>
      <c r="H16" s="195">
        <f>SUMIF(Table1[H_A1],Sheet5!A16,Table1[C])</f>
        <v>1</v>
      </c>
      <c r="I16" s="195">
        <f>INDEX(Table1[Unit Price],Table5[[#This Row],[//NOTA]])</f>
        <v>32500</v>
      </c>
      <c r="J16" s="86" t="str">
        <f>IF(Table5[[#This Row],[a2]]="","",Table5[[#This Row],[QTY]]*12)</f>
        <v/>
      </c>
      <c r="K16" s="86" t="str">
        <f>IF(Table5[[#This Row],[UNIT]]="grs","LSN",IF(Table5[[#This Row],[UNIT]]="LSN","PCS",""))</f>
        <v/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325</v>
      </c>
      <c r="B17" s="88"/>
      <c r="C17" s="194">
        <f>MATCH(A17,Table1[H_A1],0)</f>
        <v>95</v>
      </c>
      <c r="D17" s="194">
        <f>MATCH(Table5[[#This Row],[NAMA]],[1]!db[NB PAJAK],0)</f>
        <v>451</v>
      </c>
      <c r="E17" t="str">
        <f>INDEX(Table1[Item Description],Table5[[#This Row],[//NOTA]])</f>
        <v>CALCULATOR JOYKO CC-8A</v>
      </c>
      <c r="F17">
        <f>SUMIF(Table1[H_A1],Sheet5!A17,Table1[Qty])</f>
        <v>120</v>
      </c>
      <c r="G17" t="str">
        <f>INDEX(Table1[Unit],Table5[[#This Row],[//NOTA]])</f>
        <v>PCS</v>
      </c>
      <c r="H17" s="195">
        <f>SUMIF(Table1[H_A1],Sheet5!A17,Table1[C])</f>
        <v>1</v>
      </c>
      <c r="I17" s="195">
        <f>INDEX(Table1[Unit Price],Table5[[#This Row],[//NOTA]])</f>
        <v>47000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436</v>
      </c>
      <c r="B18" s="88"/>
      <c r="C18" s="194">
        <f>MATCH(A18,Table1[H_A1],0)</f>
        <v>150</v>
      </c>
      <c r="D18" s="194">
        <f>MATCH(Table5[[#This Row],[NAMA]],[1]!db[NB PAJAK],0)</f>
        <v>2291</v>
      </c>
      <c r="E18" t="str">
        <f>INDEX(Table1[Item Description],Table5[[#This Row],[//NOTA]])</f>
        <v>CALCULATOR JOYKO CC-8CO WARNA</v>
      </c>
      <c r="F18">
        <f>SUMIF(Table1[H_A1],Sheet5!A18,Table1[Qty])</f>
        <v>120</v>
      </c>
      <c r="G18" t="str">
        <f>INDEX(Table1[Unit],Table5[[#This Row],[//NOTA]])</f>
        <v>PCS</v>
      </c>
      <c r="H18" s="195">
        <f>SUMIF(Table1[H_A1],Sheet5!A18,Table1[C])</f>
        <v>1</v>
      </c>
      <c r="I18" s="195">
        <f>INDEX(Table1[Unit Price],Table5[[#This Row],[//NOTA]])</f>
        <v>46000</v>
      </c>
      <c r="J18" s="86" t="str">
        <f>IF(Table5[[#This Row],[a2]]="","",Table5[[#This Row],[QTY]]*12)</f>
        <v/>
      </c>
      <c r="K18" s="86" t="str">
        <f>IF(Table5[[#This Row],[UNIT]]="grs","LSN",IF(Table5[[#This Row],[UNIT]]="LSN","PCS",""))</f>
        <v/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244</v>
      </c>
      <c r="B19" s="88"/>
      <c r="C19" s="194">
        <f>MATCH(A19,Table1[H_A1],0)</f>
        <v>53</v>
      </c>
      <c r="D19" s="194">
        <f>MATCH(Table5[[#This Row],[NAMA]],[1]!db[NB PAJAK],0)</f>
        <v>454</v>
      </c>
      <c r="E19" t="str">
        <f>INDEX(Table1[Item Description],Table5[[#This Row],[//NOTA]])</f>
        <v>CALCULATOR JOYKO DTC-1313CH</v>
      </c>
      <c r="F19">
        <f>SUMIF(Table1[H_A1],Sheet5!A19,Table1[Qty])</f>
        <v>480</v>
      </c>
      <c r="G19" t="str">
        <f>INDEX(Table1[Unit],Table5[[#This Row],[//NOTA]])</f>
        <v>PCS</v>
      </c>
      <c r="H19" s="195">
        <f>SUMIF(Table1[H_A1],Sheet5!A19,Table1[C])</f>
        <v>4</v>
      </c>
      <c r="I19" s="195">
        <f>INDEX(Table1[Unit Price],Table5[[#This Row],[//NOTA]])</f>
        <v>40000</v>
      </c>
      <c r="J19" s="86" t="str">
        <f>IF(Table5[[#This Row],[a2]]="","",Table5[[#This Row],[QTY]]*12)</f>
        <v/>
      </c>
      <c r="K19" s="86" t="str">
        <f>IF(Table5[[#This Row],[UNIT]]="grs","LSN",IF(Table5[[#This Row],[UNIT]]="LSN","PCS",""))</f>
        <v/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231</v>
      </c>
      <c r="B20" s="88"/>
      <c r="C20" s="194">
        <f>MATCH(A20,Table1[H_A1],0)</f>
        <v>45</v>
      </c>
      <c r="D20" s="194">
        <f>MATCH(Table5[[#This Row],[NAMA]],[1]!db[NB PAJAK],0)</f>
        <v>402</v>
      </c>
      <c r="E20" t="str">
        <f>INDEX(Table1[Item Description],Table5[[#This Row],[//NOTA]])</f>
        <v>CLIP BULLDOG JOYKO 6-145</v>
      </c>
      <c r="F20">
        <f>SUMIF(Table1[H_A1],Sheet5!A20,Table1[Qty])</f>
        <v>20</v>
      </c>
      <c r="G20" t="str">
        <f>INDEX(Table1[Unit],Table5[[#This Row],[//NOTA]])</f>
        <v>LSN</v>
      </c>
      <c r="H20" s="195">
        <f>SUMIF(Table1[H_A1],Sheet5!A20,Table1[C])</f>
        <v>1</v>
      </c>
      <c r="I20" s="195">
        <f>INDEX(Table1[Unit Price],Table5[[#This Row],[//NOTA]])</f>
        <v>108900</v>
      </c>
      <c r="J20" s="86">
        <f>IF(Table5[[#This Row],[a2]]="","",Table5[[#This Row],[QTY]]*12)</f>
        <v>240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281</v>
      </c>
      <c r="B21" s="88"/>
      <c r="C21" s="194">
        <f>MATCH(A21,Table1[H_A1],0)</f>
        <v>68</v>
      </c>
      <c r="D21" s="194">
        <f>MATCH(Table5[[#This Row],[NAMA]],[1]!db[NB PAJAK],0)</f>
        <v>1164</v>
      </c>
      <c r="E21" t="str">
        <f>INDEX(Table1[Item Description],Table5[[#This Row],[//NOTA]])</f>
        <v>CORRECTION FLUID KENKO KE-01</v>
      </c>
      <c r="F21">
        <f>SUMIF(Table1[H_A1],Sheet5!A21,Table1[Qty])</f>
        <v>164</v>
      </c>
      <c r="G21" t="str">
        <f>INDEX(Table1[Unit],Table5[[#This Row],[//NOTA]])</f>
        <v>LSN</v>
      </c>
      <c r="H21" s="195">
        <f>SUMIF(Table1[H_A1],Sheet5!A21,Table1[C])</f>
        <v>2</v>
      </c>
      <c r="I21" s="195">
        <f>INDEX(Table1[Unit Price],Table5[[#This Row],[//NOTA]])</f>
        <v>54300</v>
      </c>
      <c r="J21" s="86">
        <f>IF(Table5[[#This Row],[a2]]="","",Table5[[#This Row],[QTY]]*12)</f>
        <v>1968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174</v>
      </c>
      <c r="B22" s="88"/>
      <c r="C22" s="194">
        <f>MATCH(A22,Table1[H_A1],0)</f>
        <v>22</v>
      </c>
      <c r="D22" s="194">
        <f>MATCH(Table5[[#This Row],[NAMA]],[1]!db[NB PAJAK],0)</f>
        <v>551</v>
      </c>
      <c r="E22" t="str">
        <f>INDEX(Table1[Item Description],Table5[[#This Row],[//NOTA]])</f>
        <v>CORRECTION TAPE JOYKO CT-533</v>
      </c>
      <c r="F22">
        <f>SUMIF(Table1[H_A1],Sheet5!A22,Table1[Qty])</f>
        <v>80</v>
      </c>
      <c r="G22" t="str">
        <f>INDEX(Table1[Unit],Table5[[#This Row],[//NOTA]])</f>
        <v>LSN</v>
      </c>
      <c r="H22" s="195">
        <f>SUMIF(Table1[H_A1],Sheet5!A22,Table1[C])</f>
        <v>2</v>
      </c>
      <c r="I22" s="195">
        <f>INDEX(Table1[Unit Price],Table5[[#This Row],[//NOTA]])</f>
        <v>102000</v>
      </c>
      <c r="J22" s="86">
        <f>IF(Table5[[#This Row],[a2]]="","",Table5[[#This Row],[QTY]]*12)</f>
        <v>960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468</v>
      </c>
      <c r="B23" s="88"/>
      <c r="C23" s="194">
        <f>MATCH(A23,Table1[H_A1],0)</f>
        <v>162</v>
      </c>
      <c r="D23" s="194">
        <f>MATCH(Table5[[#This Row],[NAMA]],[1]!db[NB PAJAK],0)</f>
        <v>1194</v>
      </c>
      <c r="E23" t="str">
        <f>INDEX(Table1[Item Description],Table5[[#This Row],[//NOTA]])</f>
        <v>CORRECTION TAPE KENKO CT-919 (12M x 5MM)</v>
      </c>
      <c r="F23">
        <f>SUMIF(Table1[H_A1],Sheet5!A23,Table1[Qty])</f>
        <v>72</v>
      </c>
      <c r="G23" t="str">
        <f>INDEX(Table1[Unit],Table5[[#This Row],[//NOTA]])</f>
        <v>LSN</v>
      </c>
      <c r="H23" s="195">
        <f>SUMIF(Table1[H_A1],Sheet5!A23,Table1[C])</f>
        <v>2</v>
      </c>
      <c r="I23" s="195">
        <f>INDEX(Table1[Unit Price],Table5[[#This Row],[//NOTA]])</f>
        <v>55800</v>
      </c>
      <c r="J23" s="86">
        <f>IF(Table5[[#This Row],[a2]]="","",Table5[[#This Row],[QTY]]*12)</f>
        <v>864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197</v>
      </c>
      <c r="B24" s="88"/>
      <c r="C24" s="194">
        <f>MATCH(A24,Table1[H_A1],0)</f>
        <v>32</v>
      </c>
      <c r="D24" s="194">
        <f>MATCH(Table5[[#This Row],[NAMA]],[1]!db[NB PAJAK],0)</f>
        <v>1655</v>
      </c>
      <c r="E24" t="str">
        <f>INDEX(Table1[Item Description],Table5[[#This Row],[//NOTA]])</f>
        <v>CRAYON / OIL PASTEL JOYKO OP-48S PP CASE SEA WORLD</v>
      </c>
      <c r="F24">
        <f>SUMIF(Table1[H_A1],Sheet5!A24,Table1[Qty])</f>
        <v>24</v>
      </c>
      <c r="G24" t="str">
        <f>INDEX(Table1[Unit],Table5[[#This Row],[//NOTA]])</f>
        <v>PCS</v>
      </c>
      <c r="H24" s="195">
        <f>SUMIF(Table1[H_A1],Sheet5!A24,Table1[C])</f>
        <v>1</v>
      </c>
      <c r="I24" s="195">
        <f>INDEX(Table1[Unit Price],Table5[[#This Row],[//NOTA]])</f>
        <v>58900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134</v>
      </c>
      <c r="B25" s="88"/>
      <c r="C25" s="194">
        <f>MATCH(A25,Table1[H_A1],0)</f>
        <v>3</v>
      </c>
      <c r="D25" s="194">
        <f>MATCH(Table5[[#This Row],[NAMA]],[1]!db[NB PAJAK],0)</f>
        <v>1657</v>
      </c>
      <c r="E25" t="str">
        <f>INDEX(Table1[Item Description],Table5[[#This Row],[//NOTA]])</f>
        <v>CRAYON / OIL PASTEL JOYKO OP-72S PP CASE SEA WORLD</v>
      </c>
      <c r="F25">
        <f>SUMIF(Table1[H_A1],Sheet5!A25,Table1[Qty])</f>
        <v>24</v>
      </c>
      <c r="G25" t="str">
        <f>INDEX(Table1[Unit],Table5[[#This Row],[//NOTA]])</f>
        <v>PCS</v>
      </c>
      <c r="H25" s="195">
        <f>SUMIF(Table1[H_A1],Sheet5!A25,Table1[C])</f>
        <v>1</v>
      </c>
      <c r="I25" s="195">
        <f>INDEX(Table1[Unit Price],Table5[[#This Row],[//NOTA]])</f>
        <v>96000</v>
      </c>
      <c r="J25" s="86" t="str">
        <f>IF(Table5[[#This Row],[a2]]="","",Table5[[#This Row],[QTY]]*12)</f>
        <v/>
      </c>
      <c r="K25" s="86" t="str">
        <f>IF(Table5[[#This Row],[UNIT]]="grs","LSN",IF(Table5[[#This Row],[UNIT]]="LSN","PCS",""))</f>
        <v/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300</v>
      </c>
      <c r="B26" s="88"/>
      <c r="C26" s="194">
        <f>MATCH(A26,Table1[H_A1],0)</f>
        <v>79</v>
      </c>
      <c r="D26" s="194">
        <f>MATCH(Table5[[#This Row],[NAMA]],[1]!db[NB PAJAK],0)</f>
        <v>599</v>
      </c>
      <c r="E26" t="str">
        <f>INDEX(Table1[Item Description],Table5[[#This Row],[//NOTA]])</f>
        <v>CUTTER 18 MM JOYKO L-500 + ISI (BESAR)</v>
      </c>
      <c r="F26">
        <f>SUMIF(Table1[H_A1],Sheet5!A26,Table1[Qty])</f>
        <v>5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162000</v>
      </c>
      <c r="J26" s="86">
        <f>IF(Table5[[#This Row],[a2]]="","",Table5[[#This Row],[QTY]]*12)</f>
        <v>60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455</v>
      </c>
      <c r="B27" s="88"/>
      <c r="C27" s="194">
        <f>MATCH(A27,Table1[H_A1],0)</f>
        <v>160</v>
      </c>
      <c r="D27" s="194">
        <f>MATCH(Table5[[#This Row],[NAMA]],[1]!db[NB PAJAK],0)</f>
        <v>1200</v>
      </c>
      <c r="E27" t="str">
        <f>INDEX(Table1[Item Description],Table5[[#This Row],[//NOTA]])</f>
        <v>CUTTER 18 MM KENKO L-500 (BESAR)</v>
      </c>
      <c r="F27">
        <f>SUMIF(Table1[H_A1],Sheet5!A27,Table1[Qty])</f>
        <v>20</v>
      </c>
      <c r="G27" t="str">
        <f>INDEX(Table1[Unit],Table5[[#This Row],[//NOTA]])</f>
        <v>LSN</v>
      </c>
      <c r="H27" s="195">
        <f>SUMIF(Table1[H_A1],Sheet5!A27,Table1[C])</f>
        <v>1</v>
      </c>
      <c r="I27" s="195">
        <f>INDEX(Table1[Unit Price],Table5[[#This Row],[//NOTA]])</f>
        <v>147600</v>
      </c>
      <c r="J27" s="86">
        <f>IF(Table5[[#This Row],[a2]]="","",Table5[[#This Row],[QTY]]*12)</f>
        <v>240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398</v>
      </c>
      <c r="B28" s="88"/>
      <c r="C28" s="194">
        <f>MATCH(A28,Table1[H_A1],0)</f>
        <v>116</v>
      </c>
      <c r="D28" s="194">
        <f>MATCH(Table5[[#This Row],[NAMA]],[1]!db[NB PAJAK],0)</f>
        <v>775</v>
      </c>
      <c r="E28" t="str">
        <f>INDEX(Table1[Item Description],Table5[[#This Row],[//NOTA]])</f>
        <v>GEL PEN JOYKO GP-266 ITECH 2 HITAM</v>
      </c>
      <c r="F28">
        <f>SUMIF(Table1[H_A1],Sheet5!A28,Table1[Qty])</f>
        <v>3</v>
      </c>
      <c r="G28" t="str">
        <f>INDEX(Table1[Unit],Table5[[#This Row],[//NOTA]])</f>
        <v>LSN</v>
      </c>
      <c r="H28" s="195">
        <f>SUMIF(Table1[H_A1],Sheet5!A28,Table1[C])</f>
        <v>0</v>
      </c>
      <c r="I28" s="195">
        <f>INDEX(Table1[Unit Price],Table5[[#This Row],[//NOTA]])</f>
        <v>27600</v>
      </c>
      <c r="J28" s="86">
        <f>IF(Table5[[#This Row],[a2]]="","",Table5[[#This Row],[QTY]]*12)</f>
        <v>36</v>
      </c>
      <c r="K28" s="86" t="str">
        <f>IF(Table5[[#This Row],[UNIT]]="grs","LSN",IF(Table5[[#This Row],[UNIT]]="LSN","PCS",""))</f>
        <v>PCS</v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182</v>
      </c>
      <c r="B29" s="88"/>
      <c r="C29" s="194">
        <f>MATCH(A29,Table1[H_A1],0)</f>
        <v>25</v>
      </c>
      <c r="D29" s="194">
        <f>MATCH(Table5[[#This Row],[NAMA]],[1]!db[NB PAJAK],0)</f>
        <v>2287</v>
      </c>
      <c r="E29" t="str">
        <f>INDEX(Table1[Item Description],Table5[[#This Row],[//NOTA]])</f>
        <v>GEL PEN KENKO EASY GEL</v>
      </c>
      <c r="F29">
        <f>SUMIF(Table1[H_A1],Sheet5!A29,Table1[Qty])</f>
        <v>336</v>
      </c>
      <c r="G29" t="str">
        <f>INDEX(Table1[Unit],Table5[[#This Row],[//NOTA]])</f>
        <v>LSN</v>
      </c>
      <c r="H29" s="195">
        <f>SUMIF(Table1[H_A1],Sheet5!A29,Table1[C])</f>
        <v>2</v>
      </c>
      <c r="I29" s="195">
        <f>INDEX(Table1[Unit Price],Table5[[#This Row],[//NOTA]])</f>
        <v>26100</v>
      </c>
      <c r="J29" s="86">
        <f>IF(Table5[[#This Row],[a2]]="","",Table5[[#This Row],[QTY]]*12)</f>
        <v>4032</v>
      </c>
      <c r="K29" s="86" t="str">
        <f>IF(Table5[[#This Row],[UNIT]]="grs","LSN",IF(Table5[[#This Row],[UNIT]]="LSN","PCS",""))</f>
        <v>PCS</v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186</v>
      </c>
      <c r="B30" s="88"/>
      <c r="C30" s="194">
        <f>MATCH(A30,Table1[H_A1],0)</f>
        <v>27</v>
      </c>
      <c r="D30" s="194">
        <f>MATCH(Table5[[#This Row],[NAMA]],[1]!db[NB PAJAK],0)</f>
        <v>1227</v>
      </c>
      <c r="E30" t="str">
        <f>INDEX(Table1[Item Description],Table5[[#This Row],[//NOTA]])</f>
        <v>GEL PEN KENKO HI-TECH-H 0.28 MM FUN COLOR BIRU</v>
      </c>
      <c r="F30">
        <f>SUMIF(Table1[H_A1],Sheet5!A30,Table1[Qty])</f>
        <v>35</v>
      </c>
      <c r="G30" t="str">
        <f>INDEX(Table1[Unit],Table5[[#This Row],[//NOTA]])</f>
        <v>LSN</v>
      </c>
      <c r="H30" s="195">
        <f>SUMIF(Table1[H_A1],Sheet5!A30,Table1[C])</f>
        <v>0</v>
      </c>
      <c r="I30" s="195">
        <f>INDEX(Table1[Unit Price],Table5[[#This Row],[//NOTA]])</f>
        <v>39000</v>
      </c>
      <c r="J30" s="86">
        <f>IF(Table5[[#This Row],[a2]]="","",Table5[[#This Row],[QTY]]*12)</f>
        <v>420</v>
      </c>
      <c r="K30" s="86" t="str">
        <f>IF(Table5[[#This Row],[UNIT]]="grs","LSN",IF(Table5[[#This Row],[UNIT]]="LSN","PCS",""))</f>
        <v>PCS</v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282</v>
      </c>
      <c r="B31" s="88"/>
      <c r="C31" s="194">
        <f>MATCH(A31,Table1[H_A1],0)</f>
        <v>67</v>
      </c>
      <c r="D31" s="194">
        <f>MATCH(Table5[[#This Row],[NAMA]],[1]!db[NB PAJAK],0)</f>
        <v>1218</v>
      </c>
      <c r="E31" t="str">
        <f>INDEX(Table1[Item Description],Table5[[#This Row],[//NOTA]])</f>
        <v>GEL PEN KENKO HI-TECH-H 0.28 MM HITAM</v>
      </c>
      <c r="F31">
        <f>SUMIF(Table1[H_A1],Sheet5!A31,Table1[Qty])</f>
        <v>876</v>
      </c>
      <c r="G31" t="str">
        <f>INDEX(Table1[Unit],Table5[[#This Row],[//NOTA]])</f>
        <v>LSN</v>
      </c>
      <c r="H31" s="195">
        <f>SUMIF(Table1[H_A1],Sheet5!A31,Table1[C])</f>
        <v>6</v>
      </c>
      <c r="I31" s="195">
        <f>INDEX(Table1[Unit Price],Table5[[#This Row],[//NOTA]])</f>
        <v>39000</v>
      </c>
      <c r="J31" s="86">
        <f>IF(Table5[[#This Row],[a2]]="","",Table5[[#This Row],[QTY]]*12)</f>
        <v>10512</v>
      </c>
      <c r="K31" s="86" t="str">
        <f>IF(Table5[[#This Row],[UNIT]]="grs","LSN",IF(Table5[[#This Row],[UNIT]]="LSN","PCS",""))</f>
        <v>PCS</v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447</v>
      </c>
      <c r="B32" s="88"/>
      <c r="C32" s="194">
        <f>MATCH(A32,Table1[H_A1],0)</f>
        <v>156</v>
      </c>
      <c r="D32" s="194">
        <f>MATCH(Table5[[#This Row],[NAMA]],[1]!db[NB PAJAK],0)</f>
        <v>1230</v>
      </c>
      <c r="E32" t="str">
        <f>INDEX(Table1[Item Description],Table5[[#This Row],[//NOTA]])</f>
        <v>GEL PEN KENKO K-1 HITAM</v>
      </c>
      <c r="F32">
        <f>SUMIF(Table1[H_A1],Sheet5!A32,Table1[Qty])</f>
        <v>144</v>
      </c>
      <c r="G32" t="str">
        <f>INDEX(Table1[Unit],Table5[[#This Row],[//NOTA]])</f>
        <v>LSN</v>
      </c>
      <c r="H32" s="195">
        <f>SUMIF(Table1[H_A1],Sheet5!A32,Table1[C])</f>
        <v>1</v>
      </c>
      <c r="I32" s="195">
        <f>INDEX(Table1[Unit Price],Table5[[#This Row],[//NOTA]])</f>
        <v>39600</v>
      </c>
      <c r="J32" s="86">
        <f>IF(Table5[[#This Row],[a2]]="","",Table5[[#This Row],[QTY]]*12)</f>
        <v>1728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156</v>
      </c>
      <c r="B33" s="88"/>
      <c r="C33" s="194">
        <f>MATCH(A33,Table1[H_A1],0)</f>
        <v>16</v>
      </c>
      <c r="D33" s="194">
        <f>MATCH(Table5[[#This Row],[NAMA]],[1]!db[NB PAJAK],0)</f>
        <v>1238</v>
      </c>
      <c r="E33" t="str">
        <f>INDEX(Table1[Item Description],Table5[[#This Row],[//NOTA]])</f>
        <v>GEL PEN KENKO KE-303 T-GEL TRIANGULAR HITAM</v>
      </c>
      <c r="F33">
        <f>SUMIF(Table1[H_A1],Sheet5!A33,Table1[Qty])</f>
        <v>432</v>
      </c>
      <c r="G33" t="str">
        <f>INDEX(Table1[Unit],Table5[[#This Row],[//NOTA]])</f>
        <v>LSN</v>
      </c>
      <c r="H33" s="195">
        <f>SUMIF(Table1[H_A1],Sheet5!A33,Table1[C])</f>
        <v>3</v>
      </c>
      <c r="I33" s="195">
        <f>INDEX(Table1[Unit Price],Table5[[#This Row],[//NOTA]])</f>
        <v>21600</v>
      </c>
      <c r="J33" s="86">
        <f>IF(Table5[[#This Row],[a2]]="","",Table5[[#This Row],[QTY]]*12)</f>
        <v>5184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210</v>
      </c>
      <c r="B34" s="88"/>
      <c r="C34" s="194">
        <f>MATCH(A34,Table1[H_A1],0)</f>
        <v>39</v>
      </c>
      <c r="D34" s="194" t="e">
        <f>MATCH(Table5[[#This Row],[NAMA]],[1]!db[NB PAJAK],0)</f>
        <v>#N/A</v>
      </c>
      <c r="E34" t="str">
        <f>INDEX(Table1[Item Description],Table5[[#This Row],[//NOTA]])</f>
        <v>GEL PEN TIZO 1.0 MM TG-340 HITAM</v>
      </c>
      <c r="F34">
        <f>SUMIF(Table1[H_A1],Sheet5!A34,Table1[Qty])</f>
        <v>288</v>
      </c>
      <c r="G34" t="str">
        <f>INDEX(Table1[Unit],Table5[[#This Row],[//NOTA]])</f>
        <v>LSN</v>
      </c>
      <c r="H34" s="195">
        <f>SUMIF(Table1[H_A1],Sheet5!A34,Table1[C])</f>
        <v>3</v>
      </c>
      <c r="I34" s="195">
        <f>INDEX(Table1[Unit Price],Table5[[#This Row],[//NOTA]])</f>
        <v>33000</v>
      </c>
      <c r="J34" s="86">
        <f>IF(Table5[[#This Row],[a2]]="","",Table5[[#This Row],[QTY]]*12)</f>
        <v>3456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301</v>
      </c>
      <c r="B35" s="88"/>
      <c r="C35" s="194">
        <f>MATCH(A35,Table1[H_A1],0)</f>
        <v>82</v>
      </c>
      <c r="D35" s="194" t="e">
        <f>MATCH(Table5[[#This Row],[NAMA]],[1]!db[NB PAJAK],0)</f>
        <v>#N/A</v>
      </c>
      <c r="E35" t="str">
        <f>INDEX(Table1[Item Description],Table5[[#This Row],[//NOTA]])</f>
        <v>GEL PEN TIZO 1.0 MM TG-340 HITAM</v>
      </c>
      <c r="F35">
        <f>SUMIF(Table1[H_A1],Sheet5!A35,Table1[Qty])</f>
        <v>20</v>
      </c>
      <c r="G35" t="str">
        <f>INDEX(Table1[Unit],Table5[[#This Row],[//NOTA]])</f>
        <v>LSN</v>
      </c>
      <c r="H35" s="195">
        <f>SUMIF(Table1[H_A1],Sheet5!A35,Table1[C])</f>
        <v>0</v>
      </c>
      <c r="I35" s="195">
        <f>INDEX(Table1[Unit Price],Table5[[#This Row],[//NOTA]])</f>
        <v>35000</v>
      </c>
      <c r="J35" s="86">
        <f>IF(Table5[[#This Row],[a2]]="","",Table5[[#This Row],[QTY]]*12)</f>
        <v>240</v>
      </c>
      <c r="K35" s="86" t="str">
        <f>IF(Table5[[#This Row],[UNIT]]="grs","LSN",IF(Table5[[#This Row],[UNIT]]="LSN","PCS",""))</f>
        <v>PCS</v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249</v>
      </c>
      <c r="B36" s="88"/>
      <c r="C36" s="194">
        <f>MATCH(A36,Table1[H_A1],0)</f>
        <v>55</v>
      </c>
      <c r="D36" s="194">
        <f>MATCH(Table5[[#This Row],[NAMA]],[1]!db[NB PAJAK],0)</f>
        <v>753</v>
      </c>
      <c r="E36" t="str">
        <f>INDEX(Table1[Item Description],Table5[[#This Row],[//NOTA]])</f>
        <v>GEL PEN TIZO 1.0 MM TG-340BI BIRU</v>
      </c>
      <c r="F36">
        <f>SUMIF(Table1[H_A1],Sheet5!A36,Table1[Qty])</f>
        <v>192</v>
      </c>
      <c r="G36" t="str">
        <f>INDEX(Table1[Unit],Table5[[#This Row],[//NOTA]])</f>
        <v>LSN</v>
      </c>
      <c r="H36" s="195">
        <f>SUMIF(Table1[H_A1],Sheet5!A36,Table1[C])</f>
        <v>2</v>
      </c>
      <c r="I36" s="195">
        <f>INDEX(Table1[Unit Price],Table5[[#This Row],[//NOTA]])</f>
        <v>33000</v>
      </c>
      <c r="J36" s="86">
        <f>IF(Table5[[#This Row],[a2]]="","",Table5[[#This Row],[QTY]]*12)</f>
        <v>2304</v>
      </c>
      <c r="K36" s="86" t="str">
        <f>IF(Table5[[#This Row],[UNIT]]="grs","LSN",IF(Table5[[#This Row],[UNIT]]="LSN","PCS",""))</f>
        <v>PCS</v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302</v>
      </c>
      <c r="B37" s="88"/>
      <c r="C37" s="194">
        <f>MATCH(A37,Table1[H_A1],0)</f>
        <v>83</v>
      </c>
      <c r="D37" s="194">
        <f>MATCH(Table5[[#This Row],[NAMA]],[1]!db[NB PAJAK],0)</f>
        <v>753</v>
      </c>
      <c r="E37" t="str">
        <f>INDEX(Table1[Item Description],Table5[[#This Row],[//NOTA]])</f>
        <v>GEL PEN TIZO 1.0 MM TG-340BI BIRU</v>
      </c>
      <c r="F37">
        <f>SUMIF(Table1[H_A1],Sheet5!A37,Table1[Qty])</f>
        <v>20</v>
      </c>
      <c r="G37" t="str">
        <f>INDEX(Table1[Unit],Table5[[#This Row],[//NOTA]])</f>
        <v>LSN</v>
      </c>
      <c r="H37" s="195">
        <f>SUMIF(Table1[H_A1],Sheet5!A37,Table1[C])</f>
        <v>0</v>
      </c>
      <c r="I37" s="195">
        <f>INDEX(Table1[Unit Price],Table5[[#This Row],[//NOTA]])</f>
        <v>35000</v>
      </c>
      <c r="J37" s="86">
        <f>IF(Table5[[#This Row],[a2]]="","",Table5[[#This Row],[QTY]]*12)</f>
        <v>240</v>
      </c>
      <c r="K37" s="86" t="str">
        <f>IF(Table5[[#This Row],[UNIT]]="grs","LSN",IF(Table5[[#This Row],[UNIT]]="LSN","PCS",""))</f>
        <v>PCS</v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260</v>
      </c>
      <c r="B38" s="88"/>
      <c r="C38" s="194">
        <f>MATCH(A38,Table1[H_A1],0)</f>
        <v>60</v>
      </c>
      <c r="D38" s="194" t="e">
        <f>MATCH(Table5[[#This Row],[NAMA]],[1]!db[NB PAJAK],0)</f>
        <v>#N/A</v>
      </c>
      <c r="E38" t="str">
        <f>INDEX(Table1[Item Description],Table5[[#This Row],[//NOTA]])</f>
        <v>GEL PEN TIZO TG30801-E FANCY</v>
      </c>
      <c r="F38">
        <f>SUMIF(Table1[H_A1],Sheet5!A38,Table1[Qty])</f>
        <v>144</v>
      </c>
      <c r="G38" t="str">
        <f>INDEX(Table1[Unit],Table5[[#This Row],[//NOTA]])</f>
        <v>LSN</v>
      </c>
      <c r="H38" s="195">
        <f>SUMIF(Table1[H_A1],Sheet5!A38,Table1[C])</f>
        <v>1</v>
      </c>
      <c r="I38" s="195">
        <f>INDEX(Table1[Unit Price],Table5[[#This Row],[//NOTA]])</f>
        <v>18000</v>
      </c>
      <c r="J38" s="86">
        <f>IF(Table5[[#This Row],[a2]]="","",Table5[[#This Row],[QTY]]*12)</f>
        <v>1728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261</v>
      </c>
      <c r="B39" s="88"/>
      <c r="C39" s="194">
        <f>MATCH(A39,Table1[H_A1],0)</f>
        <v>59</v>
      </c>
      <c r="D39" s="194" t="e">
        <f>MATCH(Table5[[#This Row],[NAMA]],[1]!db[NB PAJAK],0)</f>
        <v>#N/A</v>
      </c>
      <c r="E39" t="str">
        <f>INDEX(Table1[Item Description],Table5[[#This Row],[//NOTA]])</f>
        <v>GEL PEN TIZO TG30802-E FANCY</v>
      </c>
      <c r="F39">
        <f>SUMIF(Table1[H_A1],Sheet5!A39,Table1[Qty])</f>
        <v>144</v>
      </c>
      <c r="G39" t="str">
        <f>INDEX(Table1[Unit],Table5[[#This Row],[//NOTA]])</f>
        <v>LSN</v>
      </c>
      <c r="H39" s="195">
        <f>SUMIF(Table1[H_A1],Sheet5!A39,Table1[C])</f>
        <v>1</v>
      </c>
      <c r="I39" s="195">
        <f>INDEX(Table1[Unit Price],Table5[[#This Row],[//NOTA]])</f>
        <v>18000</v>
      </c>
      <c r="J39" s="86">
        <f>IF(Table5[[#This Row],[a2]]="","",Table5[[#This Row],[QTY]]*12)</f>
        <v>1728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262</v>
      </c>
      <c r="B40" s="88"/>
      <c r="C40" s="194">
        <f>MATCH(A40,Table1[H_A1],0)</f>
        <v>58</v>
      </c>
      <c r="D40" s="194" t="e">
        <f>MATCH(Table5[[#This Row],[NAMA]],[1]!db[NB PAJAK],0)</f>
        <v>#N/A</v>
      </c>
      <c r="E40" t="str">
        <f>INDEX(Table1[Item Description],Table5[[#This Row],[//NOTA]])</f>
        <v>GEL PEN TIZO TG31035-E FANCY</v>
      </c>
      <c r="F40">
        <f>SUMIF(Table1[H_A1],Sheet5!A40,Table1[Qty])</f>
        <v>144</v>
      </c>
      <c r="G40" t="str">
        <f>INDEX(Table1[Unit],Table5[[#This Row],[//NOTA]])</f>
        <v>LSN</v>
      </c>
      <c r="H40" s="195">
        <f>SUMIF(Table1[H_A1],Sheet5!A40,Table1[C])</f>
        <v>1</v>
      </c>
      <c r="I40" s="195">
        <f>INDEX(Table1[Unit Price],Table5[[#This Row],[//NOTA]])</f>
        <v>18000</v>
      </c>
      <c r="J40" s="86">
        <f>IF(Table5[[#This Row],[a2]]="","",Table5[[#This Row],[QTY]]*12)</f>
        <v>1728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263</v>
      </c>
      <c r="B41" s="88"/>
      <c r="C41" s="194">
        <f>MATCH(A41,Table1[H_A1],0)</f>
        <v>61</v>
      </c>
      <c r="D41" s="194" t="e">
        <f>MATCH(Table5[[#This Row],[NAMA]],[1]!db[NB PAJAK],0)</f>
        <v>#N/A</v>
      </c>
      <c r="E41" t="str">
        <f>INDEX(Table1[Item Description],Table5[[#This Row],[//NOTA]])</f>
        <v>GEL PEN TIZO TG31590-E FANCY</v>
      </c>
      <c r="F41">
        <f>SUMIF(Table1[H_A1],Sheet5!A41,Table1[Qty])</f>
        <v>144</v>
      </c>
      <c r="G41" t="str">
        <f>INDEX(Table1[Unit],Table5[[#This Row],[//NOTA]])</f>
        <v>LSN</v>
      </c>
      <c r="H41" s="195">
        <f>SUMIF(Table1[H_A1],Sheet5!A41,Table1[C])</f>
        <v>1</v>
      </c>
      <c r="I41" s="195">
        <f>INDEX(Table1[Unit Price],Table5[[#This Row],[//NOTA]])</f>
        <v>18000</v>
      </c>
      <c r="J41" s="86">
        <f>IF(Table5[[#This Row],[a2]]="","",Table5[[#This Row],[QTY]]*12)</f>
        <v>1728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264</v>
      </c>
      <c r="B42" s="88"/>
      <c r="C42" s="194">
        <f>MATCH(A42,Table1[H_A1],0)</f>
        <v>62</v>
      </c>
      <c r="D42" s="194" t="e">
        <f>MATCH(Table5[[#This Row],[NAMA]],[1]!db[NB PAJAK],0)</f>
        <v>#N/A</v>
      </c>
      <c r="E42" t="str">
        <f>INDEX(Table1[Item Description],Table5[[#This Row],[//NOTA]])</f>
        <v>GEL PEN TIZO TG31762-E FANCY</v>
      </c>
      <c r="F42">
        <f>SUMIF(Table1[H_A1],Sheet5!A42,Table1[Qty])</f>
        <v>144</v>
      </c>
      <c r="G42" t="str">
        <f>INDEX(Table1[Unit],Table5[[#This Row],[//NOTA]])</f>
        <v>LSN</v>
      </c>
      <c r="H42" s="195">
        <f>SUMIF(Table1[H_A1],Sheet5!A42,Table1[C])</f>
        <v>1</v>
      </c>
      <c r="I42" s="195">
        <f>INDEX(Table1[Unit Price],Table5[[#This Row],[//NOTA]])</f>
        <v>18000</v>
      </c>
      <c r="J42" s="86">
        <f>IF(Table5[[#This Row],[a2]]="","",Table5[[#This Row],[QTY]]*12)</f>
        <v>1728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266</v>
      </c>
      <c r="B43" s="88"/>
      <c r="C43" s="194">
        <f>MATCH(A43,Table1[H_A1],0)</f>
        <v>57</v>
      </c>
      <c r="D43" s="194" t="e">
        <f>MATCH(Table5[[#This Row],[NAMA]],[1]!db[NB PAJAK],0)</f>
        <v>#N/A</v>
      </c>
      <c r="E43" t="str">
        <f>INDEX(Table1[Item Description],Table5[[#This Row],[//NOTA]])</f>
        <v>GEL PEN TIZO TG31763-EL FANCY</v>
      </c>
      <c r="F43">
        <f>SUMIF(Table1[H_A1],Sheet5!A43,Table1[Qty])</f>
        <v>144</v>
      </c>
      <c r="G43" t="str">
        <f>INDEX(Table1[Unit],Table5[[#This Row],[//NOTA]])</f>
        <v>LSN</v>
      </c>
      <c r="H43" s="195">
        <f>SUMIF(Table1[H_A1],Sheet5!A43,Table1[C])</f>
        <v>1</v>
      </c>
      <c r="I43" s="195">
        <f>INDEX(Table1[Unit Price],Table5[[#This Row],[//NOTA]])</f>
        <v>18000</v>
      </c>
      <c r="J43" s="86">
        <f>IF(Table5[[#This Row],[a2]]="","",Table5[[#This Row],[QTY]]*12)</f>
        <v>1728</v>
      </c>
      <c r="K43" s="86" t="str">
        <f>IF(Table5[[#This Row],[UNIT]]="grs","LSN",IF(Table5[[#This Row],[UNIT]]="LSN","PCS",""))</f>
        <v>PCS</v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407</v>
      </c>
      <c r="B44" s="88"/>
      <c r="C44" s="194">
        <f>MATCH(A44,Table1[H_A1],0)</f>
        <v>120</v>
      </c>
      <c r="D44" s="194" t="e">
        <f>MATCH(Table5[[#This Row],[NAMA]],[1]!db[NB PAJAK],0)</f>
        <v>#N/A</v>
      </c>
      <c r="E44" t="str">
        <f>INDEX(Table1[Item Description],Table5[[#This Row],[//NOTA]])</f>
        <v>GEL PEN VANCO GP-559 HI-TOUCH HITAM</v>
      </c>
      <c r="F44">
        <f>SUMIF(Table1[H_A1],Sheet5!A44,Table1[Qty])</f>
        <v>3</v>
      </c>
      <c r="G44" t="str">
        <f>INDEX(Table1[Unit],Table5[[#This Row],[//NOTA]])</f>
        <v>LSN</v>
      </c>
      <c r="H44" s="195">
        <f>SUMIF(Table1[H_A1],Sheet5!A44,Table1[C])</f>
        <v>0</v>
      </c>
      <c r="I44" s="195">
        <f>INDEX(Table1[Unit Price],Table5[[#This Row],[//NOTA]])</f>
        <v>26000</v>
      </c>
      <c r="J44" s="86">
        <f>IF(Table5[[#This Row],[a2]]="","",Table5[[#This Row],[QTY]]*12)</f>
        <v>36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368</v>
      </c>
      <c r="B45" s="88"/>
      <c r="C45" s="194">
        <f>MATCH(A45,Table1[H_A1],0)</f>
        <v>112</v>
      </c>
      <c r="D45" s="194" t="e">
        <f>MATCH(Table5[[#This Row],[NAMA]],[1]!db[NB PAJAK],0)</f>
        <v>#N/A</v>
      </c>
      <c r="E45" t="str">
        <f>INDEX(Table1[Item Description],Table5[[#This Row],[//NOTA]])</f>
        <v>GEL PEN ZHIXIN G-3132 + REFILL</v>
      </c>
      <c r="F45">
        <f>SUMIF(Table1[H_A1],Sheet5!A45,Table1[Qty])</f>
        <v>120</v>
      </c>
      <c r="G45" t="str">
        <f>INDEX(Table1[Unit],Table5[[#This Row],[//NOTA]])</f>
        <v>LSN</v>
      </c>
      <c r="H45" s="195">
        <f>SUMIF(Table1[H_A1],Sheet5!A45,Table1[C])</f>
        <v>1</v>
      </c>
      <c r="I45" s="195">
        <f>INDEX(Table1[Unit Price],Table5[[#This Row],[//NOTA]])</f>
        <v>18000</v>
      </c>
      <c r="J45" s="86">
        <f>IF(Table5[[#This Row],[a2]]="","",Table5[[#This Row],[QTY]]*12)</f>
        <v>1440</v>
      </c>
      <c r="K45" s="86" t="str">
        <f>IF(Table5[[#This Row],[UNIT]]="grs","LSN",IF(Table5[[#This Row],[UNIT]]="LSN","PCS",""))</f>
        <v>PCS</v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369</v>
      </c>
      <c r="B46" s="88"/>
      <c r="C46" s="194">
        <f>MATCH(A46,Table1[H_A1],0)</f>
        <v>113</v>
      </c>
      <c r="D46" s="194" t="e">
        <f>MATCH(Table5[[#This Row],[NAMA]],[1]!db[NB PAJAK],0)</f>
        <v>#N/A</v>
      </c>
      <c r="E46" t="str">
        <f>INDEX(Table1[Item Description],Table5[[#This Row],[//NOTA]])</f>
        <v>GEL PEN ZHIXIN G-3136 + REFILL</v>
      </c>
      <c r="F46">
        <f>SUMIF(Table1[H_A1],Sheet5!A46,Table1[Qty])</f>
        <v>120</v>
      </c>
      <c r="G46" t="str">
        <f>INDEX(Table1[Unit],Table5[[#This Row],[//NOTA]])</f>
        <v>LSN</v>
      </c>
      <c r="H46" s="195">
        <f>SUMIF(Table1[H_A1],Sheet5!A46,Table1[C])</f>
        <v>1</v>
      </c>
      <c r="I46" s="195">
        <f>INDEX(Table1[Unit Price],Table5[[#This Row],[//NOTA]])</f>
        <v>18000</v>
      </c>
      <c r="J46" s="86">
        <f>IF(Table5[[#This Row],[a2]]="","",Table5[[#This Row],[QTY]]*12)</f>
        <v>1440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370</v>
      </c>
      <c r="B47" s="88"/>
      <c r="C47" s="194">
        <f>MATCH(A47,Table1[H_A1],0)</f>
        <v>111</v>
      </c>
      <c r="D47" s="194" t="e">
        <f>MATCH(Table5[[#This Row],[NAMA]],[1]!db[NB PAJAK],0)</f>
        <v>#N/A</v>
      </c>
      <c r="E47" t="str">
        <f>INDEX(Table1[Item Description],Table5[[#This Row],[//NOTA]])</f>
        <v>GEL PEN ZHIXIN G-5001 + REFILL</v>
      </c>
      <c r="F47">
        <f>SUMIF(Table1[H_A1],Sheet5!A47,Table1[Qty])</f>
        <v>120</v>
      </c>
      <c r="G47" t="str">
        <f>INDEX(Table1[Unit],Table5[[#This Row],[//NOTA]])</f>
        <v>LSN</v>
      </c>
      <c r="H47" s="195">
        <f>SUMIF(Table1[H_A1],Sheet5!A47,Table1[C])</f>
        <v>1</v>
      </c>
      <c r="I47" s="195">
        <f>INDEX(Table1[Unit Price],Table5[[#This Row],[//NOTA]])</f>
        <v>18000</v>
      </c>
      <c r="J47" s="86">
        <f>IF(Table5[[#This Row],[a2]]="","",Table5[[#This Row],[QTY]]*12)</f>
        <v>1440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371</v>
      </c>
      <c r="B48" s="88"/>
      <c r="C48" s="194">
        <f>MATCH(A48,Table1[H_A1],0)</f>
        <v>114</v>
      </c>
      <c r="D48" s="194" t="e">
        <f>MATCH(Table5[[#This Row],[NAMA]],[1]!db[NB PAJAK],0)</f>
        <v>#N/A</v>
      </c>
      <c r="E48" t="str">
        <f>INDEX(Table1[Item Description],Table5[[#This Row],[//NOTA]])</f>
        <v>GEL PEN ZHIXIN G-5004 + REFILL</v>
      </c>
      <c r="F48">
        <f>SUMIF(Table1[H_A1],Sheet5!A48,Table1[Qty])</f>
        <v>120</v>
      </c>
      <c r="G48" t="str">
        <f>INDEX(Table1[Unit],Table5[[#This Row],[//NOTA]])</f>
        <v>LSN</v>
      </c>
      <c r="H48" s="195">
        <f>SUMIF(Table1[H_A1],Sheet5!A48,Table1[C])</f>
        <v>1</v>
      </c>
      <c r="I48" s="195">
        <f>INDEX(Table1[Unit Price],Table5[[#This Row],[//NOTA]])</f>
        <v>18000</v>
      </c>
      <c r="J48" s="86">
        <f>IF(Table5[[#This Row],[a2]]="","",Table5[[#This Row],[QTY]]*12)</f>
        <v>1440</v>
      </c>
      <c r="K48" s="86" t="str">
        <f>IF(Table5[[#This Row],[UNIT]]="grs","LSN",IF(Table5[[#This Row],[UNIT]]="LSN","PCS",""))</f>
        <v>PCS</v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232</v>
      </c>
      <c r="B49" s="88"/>
      <c r="C49" s="194">
        <f>MATCH(A49,Table1[H_A1],0)</f>
        <v>46</v>
      </c>
      <c r="D49" s="194">
        <f>MATCH(Table5[[#This Row],[NAMA]],[1]!db[NB PAJAK],0)</f>
        <v>2042</v>
      </c>
      <c r="E49" t="str">
        <f>INDEX(Table1[Item Description],Table5[[#This Row],[//NOTA]])</f>
        <v>GUNTING JOYKO SC-828</v>
      </c>
      <c r="F49">
        <f>SUMIF(Table1[H_A1],Sheet5!A49,Table1[Qty])</f>
        <v>288</v>
      </c>
      <c r="G49" t="str">
        <f>INDEX(Table1[Unit],Table5[[#This Row],[//NOTA]])</f>
        <v>PCS</v>
      </c>
      <c r="H49" s="195">
        <f>SUMIF(Table1[H_A1],Sheet5!A49,Table1[C])</f>
        <v>2</v>
      </c>
      <c r="I49" s="195">
        <f>INDEX(Table1[Unit Price],Table5[[#This Row],[//NOTA]])</f>
        <v>4350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233</v>
      </c>
      <c r="B50" s="88"/>
      <c r="C50" s="194">
        <f>MATCH(A50,Table1[H_A1],0)</f>
        <v>47</v>
      </c>
      <c r="D50" s="194">
        <f>MATCH(Table5[[#This Row],[NAMA]],[1]!db[NB PAJAK],0)</f>
        <v>2044</v>
      </c>
      <c r="E50" t="str">
        <f>INDEX(Table1[Item Description],Table5[[#This Row],[//NOTA]])</f>
        <v>GUNTING JOYKO SC-838</v>
      </c>
      <c r="F50">
        <f>SUMIF(Table1[H_A1],Sheet5!A50,Table1[Qty])</f>
        <v>288</v>
      </c>
      <c r="G50" t="str">
        <f>INDEX(Table1[Unit],Table5[[#This Row],[//NOTA]])</f>
        <v>PCS</v>
      </c>
      <c r="H50" s="195">
        <f>SUMIF(Table1[H_A1],Sheet5!A50,Table1[C])</f>
        <v>2</v>
      </c>
      <c r="I50" s="195">
        <f>INDEX(Table1[Unit Price],Table5[[#This Row],[//NOTA]])</f>
        <v>6500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234</v>
      </c>
      <c r="B51" s="88"/>
      <c r="C51" s="194">
        <f>MATCH(A51,Table1[H_A1],0)</f>
        <v>48</v>
      </c>
      <c r="D51" s="194">
        <f>MATCH(Table5[[#This Row],[NAMA]],[1]!db[NB PAJAK],0)</f>
        <v>2046</v>
      </c>
      <c r="E51" t="str">
        <f>INDEX(Table1[Item Description],Table5[[#This Row],[//NOTA]])</f>
        <v>GUNTING JOYKO SC-848</v>
      </c>
      <c r="F51">
        <f>SUMIF(Table1[H_A1],Sheet5!A51,Table1[Qty])</f>
        <v>288</v>
      </c>
      <c r="G51" t="str">
        <f>INDEX(Table1[Unit],Table5[[#This Row],[//NOTA]])</f>
        <v>PCS</v>
      </c>
      <c r="H51" s="195">
        <f>SUMIF(Table1[H_A1],Sheet5!A51,Table1[C])</f>
        <v>2</v>
      </c>
      <c r="I51" s="195">
        <f>INDEX(Table1[Unit Price],Table5[[#This Row],[//NOTA]])</f>
        <v>9750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211</v>
      </c>
      <c r="B52" s="88"/>
      <c r="C52" s="194">
        <f>MATCH(A52,Table1[H_A1],0)</f>
        <v>40</v>
      </c>
      <c r="D52" s="194">
        <f>MATCH(Table5[[#This Row],[NAMA]],[1]!db[NB PAJAK],0)</f>
        <v>1026</v>
      </c>
      <c r="E52" t="str">
        <f>INDEX(Table1[Item Description],Table5[[#This Row],[//NOTA]])</f>
        <v>HIGHLIGHTER / STABILLO TIZO TF-616 (isi 24 pc)</v>
      </c>
      <c r="F52">
        <f>SUMIF(Table1[H_A1],Sheet5!A52,Table1[Qty])</f>
        <v>32</v>
      </c>
      <c r="G52" t="str">
        <f>INDEX(Table1[Unit],Table5[[#This Row],[//NOTA]])</f>
        <v>BOX</v>
      </c>
      <c r="H52" s="195">
        <f>SUMIF(Table1[H_A1],Sheet5!A52,Table1[C])</f>
        <v>1</v>
      </c>
      <c r="I52" s="195">
        <f>INDEX(Table1[Unit Price],Table5[[#This Row],[//NOTA]])</f>
        <v>53500</v>
      </c>
      <c r="J52" s="86" t="str">
        <f>IF(Table5[[#This Row],[a2]]="","",Table5[[#This Row],[QTY]]*12)</f>
        <v/>
      </c>
      <c r="K52" s="86" t="str">
        <f>IF(Table5[[#This Row],[UNIT]]="grs","LSN",IF(Table5[[#This Row],[UNIT]]="LSN","PCS",""))</f>
        <v/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399</v>
      </c>
      <c r="B53" s="88"/>
      <c r="C53" s="194">
        <f>MATCH(A53,Table1[H_A1],0)</f>
        <v>117</v>
      </c>
      <c r="D53" s="194">
        <f>MATCH(Table5[[#This Row],[NAMA]],[1]!db[NB PAJAK],0)</f>
        <v>2028</v>
      </c>
      <c r="E53" t="str">
        <f>INDEX(Table1[Item Description],Table5[[#This Row],[//NOTA]])</f>
        <v>ISI BENSIA LANTU LT 11-32 (40 SET)</v>
      </c>
      <c r="F53">
        <f>SUMIF(Table1[H_A1],Sheet5!A53,Table1[Qty])</f>
        <v>40</v>
      </c>
      <c r="G53" t="str">
        <f>INDEX(Table1[Unit],Table5[[#This Row],[//NOTA]])</f>
        <v>PCS</v>
      </c>
      <c r="H53" s="195">
        <f>SUMIF(Table1[H_A1],Sheet5!A53,Table1[C])</f>
        <v>0</v>
      </c>
      <c r="I53" s="195">
        <f>INDEX(Table1[Unit Price],Table5[[#This Row],[//NOTA]])</f>
        <v>2750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135</v>
      </c>
      <c r="B54" s="88"/>
      <c r="C54" s="194">
        <f>MATCH(A54,Table1[H_A1],0)</f>
        <v>7</v>
      </c>
      <c r="D54" s="194">
        <f>MATCH(Table5[[#This Row],[NAMA]],[1]!db[NB PAJAK],0)</f>
        <v>1197</v>
      </c>
      <c r="E54" t="str">
        <f>INDEX(Table1[Item Description],Table5[[#This Row],[//NOTA]])</f>
        <v>ISI CUTTER 18 MM KENKO L-150 (BESAR)</v>
      </c>
      <c r="F54">
        <f>SUMIF(Table1[H_A1],Sheet5!A54,Table1[Qty])</f>
        <v>302</v>
      </c>
      <c r="G54" t="str">
        <f>INDEX(Table1[Unit],Table5[[#This Row],[//NOTA]])</f>
        <v>LSN</v>
      </c>
      <c r="H54" s="195">
        <f>SUMIF(Table1[H_A1],Sheet5!A54,Table1[C])</f>
        <v>5</v>
      </c>
      <c r="I54" s="195">
        <f>INDEX(Table1[Unit Price],Table5[[#This Row],[//NOTA]])</f>
        <v>64800</v>
      </c>
      <c r="J54" s="86">
        <f>IF(Table5[[#This Row],[a2]]="","",Table5[[#This Row],[QTY]]*12)</f>
        <v>3624</v>
      </c>
      <c r="K54" s="86" t="str">
        <f>IF(Table5[[#This Row],[UNIT]]="grs","LSN",IF(Table5[[#This Row],[UNIT]]="LSN","PCS",""))</f>
        <v>PCS</v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400</v>
      </c>
      <c r="B55" s="88"/>
      <c r="C55" s="194">
        <f>MATCH(A55,Table1[H_A1],0)</f>
        <v>124</v>
      </c>
      <c r="D55" s="194">
        <f>MATCH(Table5[[#This Row],[NAMA]],[1]!db[NB PAJAK],0)</f>
        <v>1196</v>
      </c>
      <c r="E55" t="str">
        <f>INDEX(Table1[Item Description],Table5[[#This Row],[//NOTA]])</f>
        <v>ISI CUTTER 9 MM KENKO A-100 (KECIL)</v>
      </c>
      <c r="F55">
        <f>SUMIF(Table1[H_A1],Sheet5!A55,Table1[Qty])</f>
        <v>362</v>
      </c>
      <c r="G55" t="str">
        <f>INDEX(Table1[Unit],Table5[[#This Row],[//NOTA]])</f>
        <v>LSN</v>
      </c>
      <c r="H55" s="195">
        <f>SUMIF(Table1[H_A1],Sheet5!A55,Table1[C])</f>
        <v>3</v>
      </c>
      <c r="I55" s="195">
        <f>INDEX(Table1[Unit Price],Table5[[#This Row],[//NOTA]])</f>
        <v>32400</v>
      </c>
      <c r="J55" s="86">
        <f>IF(Table5[[#This Row],[a2]]="","",Table5[[#This Row],[QTY]]*12)</f>
        <v>4344</v>
      </c>
      <c r="K55" s="86" t="str">
        <f>IF(Table5[[#This Row],[UNIT]]="grs","LSN",IF(Table5[[#This Row],[UNIT]]="LSN","PCS",""))</f>
        <v>PCS</v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163</v>
      </c>
      <c r="B56" s="88"/>
      <c r="C56" s="194">
        <f>MATCH(A56,Table1[H_A1],0)</f>
        <v>18</v>
      </c>
      <c r="D56" s="194">
        <f>MATCH(Table5[[#This Row],[NAMA]],[1]!db[NB PAJAK],0)</f>
        <v>1051</v>
      </c>
      <c r="E56" t="str">
        <f>INDEX(Table1[Item Description],Table5[[#This Row],[//NOTA]])</f>
        <v>ISI STAPLER (STAPLES) GREATWALL GW-NO. 10 (KECIL)</v>
      </c>
      <c r="F56">
        <f>SUMIF(Table1[H_A1],Sheet5!A56,Table1[Qty])</f>
        <v>600</v>
      </c>
      <c r="G56" t="str">
        <f>INDEX(Table1[Unit],Table5[[#This Row],[//NOTA]])</f>
        <v>PAK</v>
      </c>
      <c r="H56" s="195">
        <f>SUMIF(Table1[H_A1],Sheet5!A56,Table1[C])</f>
        <v>6</v>
      </c>
      <c r="I56" s="195">
        <f>INDEX(Table1[Unit Price],Table5[[#This Row],[//NOTA]])</f>
        <v>13250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418</v>
      </c>
      <c r="B57" s="88"/>
      <c r="C57" s="194">
        <f>MATCH(A57,Table1[H_A1],0)</f>
        <v>137</v>
      </c>
      <c r="D57" s="194">
        <f>MATCH(Table5[[#This Row],[NAMA]],[1]!db[NB PAJAK],0)</f>
        <v>1370</v>
      </c>
      <c r="E57" t="str">
        <f>INDEX(Table1[Item Description],Table5[[#This Row],[//NOTA]])</f>
        <v>ISI STAPLER (STAPLES) KENKO 1210 PREMIUM (23/10)</v>
      </c>
      <c r="F57">
        <f>SUMIF(Table1[H_A1],Sheet5!A57,Table1[Qty])</f>
        <v>200</v>
      </c>
      <c r="G57" t="str">
        <f>INDEX(Table1[Unit],Table5[[#This Row],[//NOTA]])</f>
        <v xml:space="preserve">BOX </v>
      </c>
      <c r="H57" s="195">
        <f>SUMIF(Table1[H_A1],Sheet5!A57,Table1[C])</f>
        <v>1</v>
      </c>
      <c r="I57" s="195">
        <f>INDEX(Table1[Unit Price],Table5[[#This Row],[//NOTA]])</f>
        <v>4200</v>
      </c>
      <c r="J57" s="86" t="str">
        <f>IF(Table5[[#This Row],[a2]]="","",Table5[[#This Row],[QTY]]*12)</f>
        <v/>
      </c>
      <c r="K57" s="86" t="str">
        <f>IF(Table5[[#This Row],[UNIT]]="grs","LSN",IF(Table5[[#This Row],[UNIT]]="LSN","PCS",""))</f>
        <v/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469</v>
      </c>
      <c r="B58" s="88"/>
      <c r="C58" s="194">
        <f>MATCH(A58,Table1[H_A1],0)</f>
        <v>164</v>
      </c>
      <c r="D58" s="194">
        <f>MATCH(Table5[[#This Row],[NAMA]],[1]!db[NB PAJAK],0)</f>
        <v>1567</v>
      </c>
      <c r="E58" t="str">
        <f>INDEX(Table1[Item Description],Table5[[#This Row],[//NOTA]])</f>
        <v>JANGKA (MATH SET) JOYKO MS-25</v>
      </c>
      <c r="F58">
        <f>SUMIF(Table1[H_A1],Sheet5!A58,Table1[Qty])</f>
        <v>24</v>
      </c>
      <c r="G58" t="str">
        <f>INDEX(Table1[Unit],Table5[[#This Row],[//NOTA]])</f>
        <v>LSN</v>
      </c>
      <c r="H58" s="195">
        <f>SUMIF(Table1[H_A1],Sheet5!A58,Table1[C])</f>
        <v>1</v>
      </c>
      <c r="I58" s="195">
        <f>INDEX(Table1[Unit Price],Table5[[#This Row],[//NOTA]])</f>
        <v>89400</v>
      </c>
      <c r="J58" s="86">
        <f>IF(Table5[[#This Row],[a2]]="","",Table5[[#This Row],[QTY]]*12)</f>
        <v>288</v>
      </c>
      <c r="K58" s="86" t="str">
        <f>IF(Table5[[#This Row],[UNIT]]="grs","LSN",IF(Table5[[#This Row],[UNIT]]="LSN","PCS",""))</f>
        <v>PCS</v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326</v>
      </c>
      <c r="B59" s="88"/>
      <c r="C59" s="194">
        <f>MATCH(A59,Table1[H_A1],0)</f>
        <v>91</v>
      </c>
      <c r="D59" s="194">
        <f>MATCH(Table5[[#This Row],[NAMA]],[1]!db[NB PAJAK],0)</f>
        <v>1569</v>
      </c>
      <c r="E59" t="str">
        <f>INDEX(Table1[Item Description],Table5[[#This Row],[//NOTA]])</f>
        <v>JANGKA (MATH SET) JOYKO MS-402</v>
      </c>
      <c r="F59">
        <f>SUMIF(Table1[H_A1],Sheet5!A59,Table1[Qty])</f>
        <v>288</v>
      </c>
      <c r="G59" t="str">
        <f>INDEX(Table1[Unit],Table5[[#This Row],[//NOTA]])</f>
        <v>SET</v>
      </c>
      <c r="H59" s="195">
        <f>SUMIF(Table1[H_A1],Sheet5!A59,Table1[C])</f>
        <v>1</v>
      </c>
      <c r="I59" s="195">
        <f>INDEX(Table1[Unit Price],Table5[[#This Row],[//NOTA]])</f>
        <v>12000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470</v>
      </c>
      <c r="B60" s="88"/>
      <c r="C60" s="194">
        <f>MATCH(A60,Table1[H_A1],0)</f>
        <v>165</v>
      </c>
      <c r="D60" s="194">
        <f>MATCH(Table5[[#This Row],[NAMA]],[1]!db[NB PAJAK],0)</f>
        <v>1571</v>
      </c>
      <c r="E60" t="str">
        <f>INDEX(Table1[Item Description],Table5[[#This Row],[//NOTA]])</f>
        <v>JANGKA (MATH SET) JOYKO MS-55</v>
      </c>
      <c r="F60">
        <f>SUMIF(Table1[H_A1],Sheet5!A60,Table1[Qty])</f>
        <v>24</v>
      </c>
      <c r="G60" t="str">
        <f>INDEX(Table1[Unit],Table5[[#This Row],[//NOTA]])</f>
        <v>LSN</v>
      </c>
      <c r="H60" s="195">
        <f>SUMIF(Table1[H_A1],Sheet5!A60,Table1[C])</f>
        <v>1</v>
      </c>
      <c r="I60" s="195">
        <f>INDEX(Table1[Unit Price],Table5[[#This Row],[//NOTA]])</f>
        <v>89400</v>
      </c>
      <c r="J60" s="86">
        <f>IF(Table5[[#This Row],[a2]]="","",Table5[[#This Row],[QTY]]*12)</f>
        <v>288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471</v>
      </c>
      <c r="B61" s="88"/>
      <c r="C61" s="194">
        <f>MATCH(A61,Table1[H_A1],0)</f>
        <v>163</v>
      </c>
      <c r="D61" s="194">
        <f>MATCH(Table5[[#This Row],[NAMA]],[1]!db[NB PAJAK],0)</f>
        <v>1572</v>
      </c>
      <c r="E61" t="str">
        <f>INDEX(Table1[Item Description],Table5[[#This Row],[//NOTA]])</f>
        <v>JANGKA (MATH SET) JOYKO MS-75</v>
      </c>
      <c r="F61">
        <f>SUMIF(Table1[H_A1],Sheet5!A61,Table1[Qty])</f>
        <v>24</v>
      </c>
      <c r="G61" t="str">
        <f>INDEX(Table1[Unit],Table5[[#This Row],[//NOTA]])</f>
        <v>LSN</v>
      </c>
      <c r="H61" s="195">
        <f>SUMIF(Table1[H_A1],Sheet5!A61,Table1[C])</f>
        <v>1</v>
      </c>
      <c r="I61" s="195">
        <f>INDEX(Table1[Unit Price],Table5[[#This Row],[//NOTA]])</f>
        <v>90600</v>
      </c>
      <c r="J61" s="86">
        <f>IF(Table5[[#This Row],[a2]]="","",Table5[[#This Row],[QTY]]*12)</f>
        <v>288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401</v>
      </c>
      <c r="B62" s="88"/>
      <c r="C62" s="194">
        <f>MATCH(A62,Table1[H_A1],0)</f>
        <v>107</v>
      </c>
      <c r="D62" s="194" t="e">
        <f>MATCH(Table5[[#This Row],[NAMA]],[1]!db[NB PAJAK],0)</f>
        <v>#N/A</v>
      </c>
      <c r="E62" t="str">
        <f>INDEX(Table1[Item Description],Table5[[#This Row],[//NOTA]])</f>
        <v>KENKO HIGHLIGHTER HL-100 HIJAU</v>
      </c>
      <c r="F62">
        <f>SUMIF(Table1[H_A1],Sheet5!A62,Table1[Qty])</f>
        <v>80</v>
      </c>
      <c r="G62" t="str">
        <f>INDEX(Table1[Unit],Table5[[#This Row],[//NOTA]])</f>
        <v>PCS</v>
      </c>
      <c r="H62" s="195">
        <f>SUMIF(Table1[H_A1],Sheet5!A62,Table1[C])</f>
        <v>0</v>
      </c>
      <c r="I62" s="195">
        <f>INDEX(Table1[Unit Price],Table5[[#This Row],[//NOTA]])</f>
        <v>3050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402</v>
      </c>
      <c r="B63" s="88"/>
      <c r="C63" s="194">
        <f>MATCH(A63,Table1[H_A1],0)</f>
        <v>108</v>
      </c>
      <c r="D63" s="194" t="e">
        <f>MATCH(Table5[[#This Row],[NAMA]],[1]!db[NB PAJAK],0)</f>
        <v>#N/A</v>
      </c>
      <c r="E63" t="str">
        <f>INDEX(Table1[Item Description],Table5[[#This Row],[//NOTA]])</f>
        <v>KENKO HIGHLIGHTER HL-100 PINK</v>
      </c>
      <c r="F63">
        <f>SUMIF(Table1[H_A1],Sheet5!A63,Table1[Qty])</f>
        <v>120</v>
      </c>
      <c r="G63" t="str">
        <f>INDEX(Table1[Unit],Table5[[#This Row],[//NOTA]])</f>
        <v>PCS</v>
      </c>
      <c r="H63" s="195">
        <f>SUMIF(Table1[H_A1],Sheet5!A63,Table1[C])</f>
        <v>0</v>
      </c>
      <c r="I63" s="195">
        <f>INDEX(Table1[Unit Price],Table5[[#This Row],[//NOTA]])</f>
        <v>3050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327</v>
      </c>
      <c r="B64" s="88"/>
      <c r="C64" s="194">
        <f>MATCH(A64,Table1[H_A1],0)</f>
        <v>96</v>
      </c>
      <c r="D64" s="194">
        <f>MATCH(Table5[[#This Row],[NAMA]],[1]!db[NB PAJAK],0)</f>
        <v>326</v>
      </c>
      <c r="E64" t="str">
        <f>INDEX(Table1[Item Description],Table5[[#This Row],[//NOTA]])</f>
        <v>KUAS SET JOYKO BR-1</v>
      </c>
      <c r="F64">
        <f>SUMIF(Table1[H_A1],Sheet5!A64,Table1[Qty])</f>
        <v>480</v>
      </c>
      <c r="G64" t="str">
        <f>INDEX(Table1[Unit],Table5[[#This Row],[//NOTA]])</f>
        <v>SET</v>
      </c>
      <c r="H64" s="195">
        <f>SUMIF(Table1[H_A1],Sheet5!A64,Table1[C])</f>
        <v>2</v>
      </c>
      <c r="I64" s="195">
        <f>INDEX(Table1[Unit Price],Table5[[#This Row],[//NOTA]])</f>
        <v>8800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192</v>
      </c>
      <c r="B65" s="88"/>
      <c r="C65" s="194">
        <f>MATCH(A65,Table1[H_A1],0)</f>
        <v>30</v>
      </c>
      <c r="D65" s="194" t="e">
        <f>MATCH(Table5[[#This Row],[NAMA]],[1]!db[NB PAJAK],0)</f>
        <v>#N/A</v>
      </c>
      <c r="E65" t="str">
        <f>INDEX(Table1[Item Description],Table5[[#This Row],[//NOTA]])</f>
        <v>LABEL HARGA JOYKO LB-P2CC (2 LINE, CAH-CAH)</v>
      </c>
      <c r="F65">
        <f>SUMIF(Table1[H_A1],Sheet5!A65,Table1[Qty])</f>
        <v>500</v>
      </c>
      <c r="G65" t="str">
        <f>INDEX(Table1[Unit],Table5[[#This Row],[//NOTA]])</f>
        <v>PCS</v>
      </c>
      <c r="H65" s="195">
        <f>SUMIF(Table1[H_A1],Sheet5!A65,Table1[C])</f>
        <v>1</v>
      </c>
      <c r="I65" s="195">
        <f>INDEX(Table1[Unit Price],Table5[[#This Row],[//NOTA]])</f>
        <v>3300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328</v>
      </c>
      <c r="B66" s="88"/>
      <c r="C66" s="194">
        <f>MATCH(A66,Table1[H_A1],0)</f>
        <v>88</v>
      </c>
      <c r="D66" s="194">
        <f>MATCH(Table5[[#This Row],[NAMA]],[1]!db[NB PAJAK],0)</f>
        <v>980</v>
      </c>
      <c r="E66" t="str">
        <f>INDEX(Table1[Item Description],Table5[[#This Row],[//NOTA]])</f>
        <v>LEM STICK JOYKO 15 GR GS-104 TG (ANIMAL KINGDOM) isi 24 pc</v>
      </c>
      <c r="F66">
        <f>SUMIF(Table1[H_A1],Sheet5!A66,Table1[Qty])</f>
        <v>360</v>
      </c>
      <c r="G66" t="str">
        <f>INDEX(Table1[Unit],Table5[[#This Row],[//NOTA]])</f>
        <v>BOX</v>
      </c>
      <c r="H66" s="195">
        <f>SUMIF(Table1[H_A1],Sheet5!A66,Table1[C])</f>
        <v>10</v>
      </c>
      <c r="I66" s="195">
        <f>INDEX(Table1[Unit Price],Table5[[#This Row],[//NOTA]])</f>
        <v>58800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329</v>
      </c>
      <c r="B67" s="88"/>
      <c r="C67" s="194">
        <f>MATCH(A67,Table1[H_A1],0)</f>
        <v>87</v>
      </c>
      <c r="D67" s="194">
        <f>MATCH(Table5[[#This Row],[NAMA]],[1]!db[NB PAJAK],0)</f>
        <v>976</v>
      </c>
      <c r="E67" t="str">
        <f>INDEX(Table1[Item Description],Table5[[#This Row],[//NOTA]])</f>
        <v>LEM STICK JOYKO 8 GR GS-09 isi 12 pc</v>
      </c>
      <c r="F67">
        <f>SUMIF(Table1[H_A1],Sheet5!A67,Table1[Qty])</f>
        <v>320</v>
      </c>
      <c r="G67" t="str">
        <f>INDEX(Table1[Unit],Table5[[#This Row],[//NOTA]])</f>
        <v>BOX</v>
      </c>
      <c r="H67" s="195">
        <f>SUMIF(Table1[H_A1],Sheet5!A67,Table1[C])</f>
        <v>5</v>
      </c>
      <c r="I67" s="195">
        <f>INDEX(Table1[Unit Price],Table5[[#This Row],[//NOTA]])</f>
        <v>25200</v>
      </c>
      <c r="J67" s="86" t="str">
        <f>IF(Table5[[#This Row],[a2]]="","",Table5[[#This Row],[QTY]]*12)</f>
        <v/>
      </c>
      <c r="K67" s="86" t="str">
        <f>IF(Table5[[#This Row],[UNIT]]="grs","LSN",IF(Table5[[#This Row],[UNIT]]="LSN","PCS",""))</f>
        <v/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151</v>
      </c>
      <c r="B68" s="88"/>
      <c r="C68" s="194">
        <f>MATCH(A68,Table1[H_A1],0)</f>
        <v>13</v>
      </c>
      <c r="D68" s="194">
        <f>MATCH(Table5[[#This Row],[NAMA]],[1]!db[NB PAJAK],0)</f>
        <v>1254</v>
      </c>
      <c r="E68" t="str">
        <f>INDEX(Table1[Item Description],Table5[[#This Row],[//NOTA]])</f>
        <v>LEM STICK KENKO 15 GR (TANGGUNG) isi 20 pc</v>
      </c>
      <c r="F68">
        <f>SUMIF(Table1[H_A1],Sheet5!A68,Table1[Qty])</f>
        <v>72</v>
      </c>
      <c r="G68" t="str">
        <f>INDEX(Table1[Unit],Table5[[#This Row],[//NOTA]])</f>
        <v>BOX</v>
      </c>
      <c r="H68" s="195">
        <f>SUMIF(Table1[H_A1],Sheet5!A68,Table1[C])</f>
        <v>2</v>
      </c>
      <c r="I68" s="195">
        <f>INDEX(Table1[Unit Price],Table5[[#This Row],[//NOTA]])</f>
        <v>72000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152</v>
      </c>
      <c r="B69" s="88"/>
      <c r="C69" s="194">
        <f>MATCH(A69,Table1[H_A1],0)</f>
        <v>12</v>
      </c>
      <c r="D69" s="194">
        <f>MATCH(Table5[[#This Row],[NAMA]],[1]!db[NB PAJAK],0)</f>
        <v>1256</v>
      </c>
      <c r="E69" t="str">
        <f>INDEX(Table1[Item Description],Table5[[#This Row],[//NOTA]])</f>
        <v>LEM STICK KENKO 8 GR (KECIL) isi 30 pc</v>
      </c>
      <c r="F69">
        <f>SUMIF(Table1[H_A1],Sheet5!A69,Table1[Qty])</f>
        <v>72</v>
      </c>
      <c r="G69" t="str">
        <f>INDEX(Table1[Unit],Table5[[#This Row],[//NOTA]])</f>
        <v>BOX</v>
      </c>
      <c r="H69" s="195">
        <f>SUMIF(Table1[H_A1],Sheet5!A69,Table1[C])</f>
        <v>2</v>
      </c>
      <c r="I69" s="195">
        <f>INDEX(Table1[Unit Price],Table5[[#This Row],[//NOTA]])</f>
        <v>66000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403</v>
      </c>
      <c r="B70" s="88"/>
      <c r="C70" s="194">
        <f>MATCH(A70,Table1[H_A1],0)</f>
        <v>122</v>
      </c>
      <c r="D70" s="194">
        <f>MATCH(Table5[[#This Row],[NAMA]],[1]!db[NB PAJAK],0)</f>
        <v>1414</v>
      </c>
      <c r="E70" t="str">
        <f>INDEX(Table1[Item Description],Table5[[#This Row],[//NOTA]])</f>
        <v>LOOSE LEAF JOYKO A5-7020 (50S)</v>
      </c>
      <c r="F70">
        <f>SUMIF(Table1[H_A1],Sheet5!A70,Table1[Qty])</f>
        <v>50</v>
      </c>
      <c r="G70" t="str">
        <f>INDEX(Table1[Unit],Table5[[#This Row],[//NOTA]])</f>
        <v>PAK</v>
      </c>
      <c r="H70" s="195">
        <f>SUMIF(Table1[H_A1],Sheet5!A70,Table1[C])</f>
        <v>0</v>
      </c>
      <c r="I70" s="195">
        <f>INDEX(Table1[Unit Price],Table5[[#This Row],[//NOTA]])</f>
        <v>3600</v>
      </c>
      <c r="J70" s="86" t="str">
        <f>IF(Table5[[#This Row],[a2]]="","",Table5[[#This Row],[QTY]]*12)</f>
        <v/>
      </c>
      <c r="K70" s="86" t="str">
        <f>IF(Table5[[#This Row],[UNIT]]="grs","LSN",IF(Table5[[#This Row],[UNIT]]="LSN","PCS",""))</f>
        <v/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361</v>
      </c>
      <c r="B71" s="88"/>
      <c r="C71" s="194">
        <f>MATCH(A71,Table1[H_A1],0)</f>
        <v>109</v>
      </c>
      <c r="D71" s="194">
        <f>MATCH(Table5[[#This Row],[NAMA]],[1]!db[NB PAJAK],0)</f>
        <v>1152</v>
      </c>
      <c r="E71" t="str">
        <f>INDEX(Table1[Item Description],Table5[[#This Row],[//NOTA]])</f>
        <v>PAPER CLIP WARNA KENKO 3100</v>
      </c>
      <c r="F71">
        <f>SUMIF(Table1[H_A1],Sheet5!A71,Table1[Qty])</f>
        <v>12</v>
      </c>
      <c r="G71" t="str">
        <f>INDEX(Table1[Unit],Table5[[#This Row],[//NOTA]])</f>
        <v>LSN</v>
      </c>
      <c r="H71" s="195">
        <f>SUMIF(Table1[H_A1],Sheet5!A71,Table1[C])</f>
        <v>0</v>
      </c>
      <c r="I71" s="195">
        <f>INDEX(Table1[Unit Price],Table5[[#This Row],[//NOTA]])</f>
        <v>41400</v>
      </c>
      <c r="J71" s="86">
        <f>IF(Table5[[#This Row],[a2]]="","",Table5[[#This Row],[QTY]]*12)</f>
        <v>144</v>
      </c>
      <c r="K71" s="86" t="str">
        <f>IF(Table5[[#This Row],[UNIT]]="grs","LSN",IF(Table5[[#This Row],[UNIT]]="LSN","PCS",""))</f>
        <v>PCS</v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349</v>
      </c>
      <c r="B72" s="88"/>
      <c r="C72" s="194">
        <f>MATCH(A72,Table1[H_A1],0)</f>
        <v>98</v>
      </c>
      <c r="D72" s="194">
        <f>MATCH(Table5[[#This Row],[NAMA]],[1]!db[NB PAJAK],0)</f>
        <v>1290</v>
      </c>
      <c r="E72" t="str">
        <f>INDEX(Table1[Item Description],Table5[[#This Row],[//NOTA]])</f>
        <v>PAPER FASTENER (ACCO) KENKO PF-508 ISI 50 PC WARNA</v>
      </c>
      <c r="F72">
        <f>SUMIF(Table1[H_A1],Sheet5!A72,Table1[Qty])</f>
        <v>100</v>
      </c>
      <c r="G72" t="str">
        <f>INDEX(Table1[Unit],Table5[[#This Row],[//NOTA]])</f>
        <v>PAK</v>
      </c>
      <c r="H72" s="195">
        <f>SUMIF(Table1[H_A1],Sheet5!A72,Table1[C])</f>
        <v>1</v>
      </c>
      <c r="I72" s="195">
        <f>INDEX(Table1[Unit Price],Table5[[#This Row],[//NOTA]])</f>
        <v>9800</v>
      </c>
      <c r="J72" s="86" t="str">
        <f>IF(Table5[[#This Row],[a2]]="","",Table5[[#This Row],[QTY]]*12)</f>
        <v/>
      </c>
      <c r="K72" s="86" t="str">
        <f>IF(Table5[[#This Row],[UNIT]]="grs","LSN",IF(Table5[[#This Row],[UNIT]]="LSN","PCS",""))</f>
        <v/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350</v>
      </c>
      <c r="B73" s="88"/>
      <c r="C73" s="194">
        <f>MATCH(A73,Table1[H_A1],0)</f>
        <v>100</v>
      </c>
      <c r="D73" s="194">
        <f>MATCH(Table5[[#This Row],[NAMA]],[1]!db[NB PAJAK],0)</f>
        <v>1276</v>
      </c>
      <c r="E73" t="str">
        <f>INDEX(Table1[Item Description],Table5[[#This Row],[//NOTA]])</f>
        <v>PAPER JUMBO CLIP KENKO NO. 5</v>
      </c>
      <c r="F73">
        <f>SUMIF(Table1[H_A1],Sheet5!A73,Table1[Qty])</f>
        <v>200</v>
      </c>
      <c r="G73" t="str">
        <f>INDEX(Table1[Unit],Table5[[#This Row],[//NOTA]])</f>
        <v>PAK</v>
      </c>
      <c r="H73" s="195">
        <f>SUMIF(Table1[H_A1],Sheet5!A73,Table1[C])</f>
        <v>1</v>
      </c>
      <c r="I73" s="195">
        <f>INDEX(Table1[Unit Price],Table5[[#This Row],[//NOTA]])</f>
        <v>4300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203</v>
      </c>
      <c r="B74" s="88"/>
      <c r="C74" s="194">
        <f>MATCH(A74,Table1[H_A1],0)</f>
        <v>34</v>
      </c>
      <c r="D74" s="194">
        <f>MATCH(Table5[[#This Row],[NAMA]],[1]!db[NB PAJAK],0)</f>
        <v>1381</v>
      </c>
      <c r="E74" t="str">
        <f>INDEX(Table1[Item Description],Table5[[#This Row],[//NOTA]])</f>
        <v>PAPER TRIGONAL CLIP KENKO NO. 1</v>
      </c>
      <c r="F74">
        <f>SUMIF(Table1[H_A1],Sheet5!A74,Table1[Qty])</f>
        <v>500</v>
      </c>
      <c r="G74" t="str">
        <f>INDEX(Table1[Unit],Table5[[#This Row],[//NOTA]])</f>
        <v>PCS</v>
      </c>
      <c r="H74" s="195">
        <f>SUMIF(Table1[H_A1],Sheet5!A74,Table1[C])</f>
        <v>0</v>
      </c>
      <c r="I74" s="195">
        <f>INDEX(Table1[Unit Price],Table5[[#This Row],[//NOTA]])</f>
        <v>1700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351</v>
      </c>
      <c r="B75" s="88"/>
      <c r="C75" s="194">
        <f>MATCH(A75,Table1[H_A1],0)</f>
        <v>99</v>
      </c>
      <c r="D75" s="194">
        <f>MATCH(Table5[[#This Row],[NAMA]],[1]!db[NB PAJAK],0)</f>
        <v>1380</v>
      </c>
      <c r="E75" t="str">
        <f>INDEX(Table1[Item Description],Table5[[#This Row],[//NOTA]])</f>
        <v>PAPER TRIGONAL CLIP KENKO NO. 3</v>
      </c>
      <c r="F75">
        <f>SUMIF(Table1[H_A1],Sheet5!A75,Table1[Qty])</f>
        <v>500</v>
      </c>
      <c r="G75" t="str">
        <f>INDEX(Table1[Unit],Table5[[#This Row],[//NOTA]])</f>
        <v>PAK</v>
      </c>
      <c r="H75" s="195">
        <f>SUMIF(Table1[H_A1],Sheet5!A75,Table1[C])</f>
        <v>1</v>
      </c>
      <c r="I75" s="195">
        <f>INDEX(Table1[Unit Price],Table5[[#This Row],[//NOTA]])</f>
        <v>1600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335</v>
      </c>
      <c r="B76" s="88"/>
      <c r="C76" s="194">
        <f>MATCH(A76,Table1[H_A1],0)</f>
        <v>94</v>
      </c>
      <c r="D76" s="194" t="e">
        <f>MATCH(Table5[[#This Row],[NAMA]],[1]!db[NB PAJAK],0)</f>
        <v>#N/A</v>
      </c>
      <c r="E76" t="str">
        <f>INDEX(Table1[Item Description],Table5[[#This Row],[//NOTA]])</f>
        <v>PENCIL CASE KENKO PC-0719 FANCY</v>
      </c>
      <c r="F76">
        <f>SUMIF(Table1[H_A1],Sheet5!A76,Table1[Qty])</f>
        <v>72</v>
      </c>
      <c r="G76" t="str">
        <f>INDEX(Table1[Unit],Table5[[#This Row],[//NOTA]])</f>
        <v>LSN</v>
      </c>
      <c r="H76" s="195">
        <f>SUMIF(Table1[H_A1],Sheet5!A76,Table1[C])</f>
        <v>3</v>
      </c>
      <c r="I76" s="195">
        <f>INDEX(Table1[Unit Price],Table5[[#This Row],[//NOTA]])</f>
        <v>57600</v>
      </c>
      <c r="J76" s="86">
        <f>IF(Table5[[#This Row],[a2]]="","",Table5[[#This Row],[QTY]]*12)</f>
        <v>864</v>
      </c>
      <c r="K76" s="86" t="str">
        <f>IF(Table5[[#This Row],[UNIT]]="grs","LSN",IF(Table5[[#This Row],[UNIT]]="LSN","PCS",""))</f>
        <v>PCS</v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330</v>
      </c>
      <c r="B77" s="88"/>
      <c r="C77" s="194">
        <f>MATCH(A77,Table1[H_A1],0)</f>
        <v>93</v>
      </c>
      <c r="D77" s="194" t="e">
        <f>MATCH(Table5[[#This Row],[NAMA]],[1]!db[NB PAJAK],0)</f>
        <v>#N/A</v>
      </c>
      <c r="E77" t="str">
        <f>INDEX(Table1[Item Description],Table5[[#This Row],[//NOTA]])</f>
        <v>PENCIL CASE KENKO PC-0719 POLOS</v>
      </c>
      <c r="F77">
        <f>SUMIF(Table1[H_A1],Sheet5!A77,Table1[Qty])</f>
        <v>72</v>
      </c>
      <c r="G77" t="str">
        <f>INDEX(Table1[Unit],Table5[[#This Row],[//NOTA]])</f>
        <v>LSN</v>
      </c>
      <c r="H77" s="195">
        <f>SUMIF(Table1[H_A1],Sheet5!A77,Table1[C])</f>
        <v>3</v>
      </c>
      <c r="I77" s="195">
        <f>INDEX(Table1[Unit Price],Table5[[#This Row],[//NOTA]])</f>
        <v>57600</v>
      </c>
      <c r="J77" s="86">
        <f>IF(Table5[[#This Row],[a2]]="","",Table5[[#This Row],[QTY]]*12)</f>
        <v>864</v>
      </c>
      <c r="K77" s="86" t="str">
        <f>IF(Table5[[#This Row],[UNIT]]="grs","LSN",IF(Table5[[#This Row],[UNIT]]="LSN","PCS",""))</f>
        <v>PCS</v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283</v>
      </c>
      <c r="B78" s="88"/>
      <c r="C78" s="194">
        <f>MATCH(A78,Table1[H_A1],0)</f>
        <v>69</v>
      </c>
      <c r="D78" s="194">
        <f>MATCH(Table5[[#This Row],[NAMA]],[1]!db[NB PAJAK],0)</f>
        <v>1308</v>
      </c>
      <c r="E78" t="str">
        <f>INDEX(Table1[Item Description],Table5[[#This Row],[//NOTA]])</f>
        <v>PENSIL KENKO 2B-6800 PLATINUM</v>
      </c>
      <c r="F78">
        <f>SUMIF(Table1[H_A1],Sheet5!A78,Table1[Qty])</f>
        <v>5</v>
      </c>
      <c r="G78" t="str">
        <f>INDEX(Table1[Unit],Table5[[#This Row],[//NOTA]])</f>
        <v>LSN</v>
      </c>
      <c r="H78" s="195">
        <f>SUMIF(Table1[H_A1],Sheet5!A78,Table1[C])</f>
        <v>0</v>
      </c>
      <c r="I78" s="195">
        <f>INDEX(Table1[Unit Price],Table5[[#This Row],[//NOTA]])</f>
        <v>8800</v>
      </c>
      <c r="J78" s="86">
        <f>IF(Table5[[#This Row],[a2]]="","",Table5[[#This Row],[QTY]]*12)</f>
        <v>60</v>
      </c>
      <c r="K78" s="86" t="str">
        <f>IF(Table5[[#This Row],[UNIT]]="grs","LSN",IF(Table5[[#This Row],[UNIT]]="LSN","PCS",""))</f>
        <v>PCS</v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409</v>
      </c>
      <c r="B79" s="88"/>
      <c r="C79" s="194">
        <f>MATCH(A79,Table1[H_A1],0)</f>
        <v>130</v>
      </c>
      <c r="D79" s="194">
        <f>MATCH(Table5[[#This Row],[NAMA]],[1]!db[NB PAJAK],0)</f>
        <v>515</v>
      </c>
      <c r="E79" t="str">
        <f>INDEX(Table1[Item Description],Table5[[#This Row],[//NOTA]])</f>
        <v>PENSIL WARNA JOYKO CP-12PB (PANJANG)</v>
      </c>
      <c r="F79">
        <f>SUMIF(Table1[H_A1],Sheet5!A79,Table1[Qty])</f>
        <v>36</v>
      </c>
      <c r="G79" t="str">
        <f>INDEX(Table1[Unit],Table5[[#This Row],[//NOTA]])</f>
        <v>LSN</v>
      </c>
      <c r="H79" s="195">
        <f>SUMIF(Table1[H_A1],Sheet5!A79,Table1[C])</f>
        <v>3</v>
      </c>
      <c r="I79" s="195">
        <f>INDEX(Table1[Unit Price],Table5[[#This Row],[//NOTA]])</f>
        <v>127200</v>
      </c>
      <c r="J79" s="86">
        <f>IF(Table5[[#This Row],[a2]]="","",Table5[[#This Row],[QTY]]*12)</f>
        <v>432</v>
      </c>
      <c r="K79" s="86" t="str">
        <f>IF(Table5[[#This Row],[UNIT]]="grs","LSN",IF(Table5[[#This Row],[UNIT]]="LSN","PCS",""))</f>
        <v>PCS</v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235</v>
      </c>
      <c r="B80" s="88"/>
      <c r="C80" s="194">
        <f>MATCH(A80,Table1[H_A1],0)</f>
        <v>49</v>
      </c>
      <c r="D80" s="194">
        <f>MATCH(Table5[[#This Row],[NAMA]],[1]!db[NB PAJAK],0)</f>
        <v>515</v>
      </c>
      <c r="E80" t="str">
        <f>INDEX(Table1[Item Description],Table5[[#This Row],[//NOTA]])</f>
        <v>PENSIL WARNA JOYKO CP-12PB (PANJANG)</v>
      </c>
      <c r="F80">
        <f>SUMIF(Table1[H_A1],Sheet5!A80,Table1[Qty])</f>
        <v>288</v>
      </c>
      <c r="G80" t="str">
        <f>INDEX(Table1[Unit],Table5[[#This Row],[//NOTA]])</f>
        <v>PCS</v>
      </c>
      <c r="H80" s="195">
        <f>SUMIF(Table1[H_A1],Sheet5!A80,Table1[C])</f>
        <v>2</v>
      </c>
      <c r="I80" s="195">
        <f>INDEX(Table1[Unit Price],Table5[[#This Row],[//NOTA]])</f>
        <v>10600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168</v>
      </c>
      <c r="B81" s="88"/>
      <c r="C81" s="194">
        <f>MATCH(A81,Table1[H_A1],0)</f>
        <v>20</v>
      </c>
      <c r="D81" s="194">
        <f>MATCH(Table5[[#This Row],[NAMA]],[1]!db[NB PAJAK],0)</f>
        <v>515</v>
      </c>
      <c r="E81" t="str">
        <f>INDEX(Table1[Item Description],Table5[[#This Row],[//NOTA]])</f>
        <v>PENSIL WARNA JOYKO CP-12PB (PANJANG)</v>
      </c>
      <c r="F81">
        <f>SUMIF(Table1[H_A1],Sheet5!A81,Table1[Qty])</f>
        <v>288</v>
      </c>
      <c r="G81" t="str">
        <f>INDEX(Table1[Unit],Table5[[#This Row],[//NOTA]])</f>
        <v>SET</v>
      </c>
      <c r="H81" s="195">
        <f>SUMIF(Table1[H_A1],Sheet5!A81,Table1[C])</f>
        <v>2</v>
      </c>
      <c r="I81" s="195">
        <f>INDEX(Table1[Unit Price],Table5[[#This Row],[//NOTA]])</f>
        <v>10600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236</v>
      </c>
      <c r="B82" s="88"/>
      <c r="C82" s="194">
        <f>MATCH(A82,Table1[H_A1],0)</f>
        <v>51</v>
      </c>
      <c r="D82" s="194">
        <f>MATCH(Table5[[#This Row],[NAMA]],[1]!db[NB PAJAK],0)</f>
        <v>517</v>
      </c>
      <c r="E82" t="str">
        <f>INDEX(Table1[Item Description],Table5[[#This Row],[//NOTA]])</f>
        <v>PENSIL WARNA JOYKO CP-24PB (PANJANG)</v>
      </c>
      <c r="F82">
        <f>SUMIF(Table1[H_A1],Sheet5!A82,Table1[Qty])</f>
        <v>72</v>
      </c>
      <c r="G82" t="str">
        <f>INDEX(Table1[Unit],Table5[[#This Row],[//NOTA]])</f>
        <v>PCS</v>
      </c>
      <c r="H82" s="195">
        <f>SUMIF(Table1[H_A1],Sheet5!A82,Table1[C])</f>
        <v>1</v>
      </c>
      <c r="I82" s="195">
        <f>INDEX(Table1[Unit Price],Table5[[#This Row],[//NOTA]])</f>
        <v>21200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353</v>
      </c>
      <c r="B83" s="88"/>
      <c r="C83" s="194">
        <f>MATCH(A83,Table1[H_A1],0)</f>
        <v>102</v>
      </c>
      <c r="D83" s="194">
        <f>MATCH(Table5[[#This Row],[NAMA]],[1]!db[NB PAJAK],0)</f>
        <v>520</v>
      </c>
      <c r="E83" t="str">
        <f>INDEX(Table1[Item Description],Table5[[#This Row],[//NOTA]])</f>
        <v>PENSIL WARNA JOYKO CP-S12 MINI (PENDEK)</v>
      </c>
      <c r="F83">
        <f>SUMIF(Table1[H_A1],Sheet5!A83,Table1[Qty])</f>
        <v>48</v>
      </c>
      <c r="G83" t="str">
        <f>INDEX(Table1[Unit],Table5[[#This Row],[//NOTA]])</f>
        <v>LSN</v>
      </c>
      <c r="H83" s="195">
        <f>SUMIF(Table1[H_A1],Sheet5!A83,Table1[C])</f>
        <v>2</v>
      </c>
      <c r="I83" s="195">
        <f>INDEX(Table1[Unit Price],Table5[[#This Row],[//NOTA]])</f>
        <v>80400</v>
      </c>
      <c r="J83" s="86">
        <f>IF(Table5[[#This Row],[a2]]="","",Table5[[#This Row],[QTY]]*12)</f>
        <v>576</v>
      </c>
      <c r="K83" s="86" t="str">
        <f>IF(Table5[[#This Row],[UNIT]]="grs","LSN",IF(Table5[[#This Row],[UNIT]]="LSN","PCS",""))</f>
        <v>PCS</v>
      </c>
      <c r="L83" s="86" t="str">
        <f>IF(Table5[[#This Row],[a2]]="LSN",Table5[[#This Row],[a1]]*12,"")</f>
        <v/>
      </c>
      <c r="M83" s="86" t="str">
        <f>IF(Table5[[#This Row],[b1]]="","","PCS")</f>
        <v/>
      </c>
      <c r="N83" s="86"/>
      <c r="O83" s="86"/>
    </row>
    <row r="84" spans="1:15" x14ac:dyDescent="0.25">
      <c r="A84" s="88" t="s">
        <v>237</v>
      </c>
      <c r="B84" s="88"/>
      <c r="C84" s="194">
        <f>MATCH(A84,Table1[H_A1],0)</f>
        <v>50</v>
      </c>
      <c r="D84" s="194">
        <f>MATCH(Table5[[#This Row],[NAMA]],[1]!db[NB PAJAK],0)</f>
        <v>520</v>
      </c>
      <c r="E84" t="str">
        <f>INDEX(Table1[Item Description],Table5[[#This Row],[//NOTA]])</f>
        <v>PENSIL WARNA JOYKO CP-S12 MINI (PENDEK)</v>
      </c>
      <c r="F84">
        <f>SUMIF(Table1[H_A1],Sheet5!A84,Table1[Qty])</f>
        <v>288</v>
      </c>
      <c r="G84" t="str">
        <f>INDEX(Table1[Unit],Table5[[#This Row],[//NOTA]])</f>
        <v>PCS</v>
      </c>
      <c r="H84" s="195">
        <f>SUMIF(Table1[H_A1],Sheet5!A84,Table1[C])</f>
        <v>1</v>
      </c>
      <c r="I84" s="195">
        <f>INDEX(Table1[Unit Price],Table5[[#This Row],[//NOTA]])</f>
        <v>6700</v>
      </c>
      <c r="J84" s="86" t="str">
        <f>IF(Table5[[#This Row],[a2]]="","",Table5[[#This Row],[QTY]]*12)</f>
        <v/>
      </c>
      <c r="K84" s="86" t="str">
        <f>IF(Table5[[#This Row],[UNIT]]="grs","LSN",IF(Table5[[#This Row],[UNIT]]="LSN","PCS",""))</f>
        <v/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144</v>
      </c>
      <c r="B85" s="88"/>
      <c r="C85" s="194">
        <f>MATCH(A85,Table1[H_A1],0)</f>
        <v>10</v>
      </c>
      <c r="D85" s="194">
        <f>MATCH(Table5[[#This Row],[NAMA]],[1]!db[NB PAJAK],0)</f>
        <v>1095</v>
      </c>
      <c r="E85" t="str">
        <f>INDEX(Table1[Item Description],Table5[[#This Row],[//NOTA]])</f>
        <v>PENSIL WARNA KENKO CP-12F CLASSIC (PANJANG)</v>
      </c>
      <c r="F85">
        <f>SUMIF(Table1[H_A1],Sheet5!A85,Table1[Qty])</f>
        <v>51</v>
      </c>
      <c r="G85" t="str">
        <f>INDEX(Table1[Unit],Table5[[#This Row],[//NOTA]])</f>
        <v>LSN</v>
      </c>
      <c r="H85" s="195">
        <f>SUMIF(Table1[H_A1],Sheet5!A85,Table1[C])</f>
        <v>2</v>
      </c>
      <c r="I85" s="195">
        <f>INDEX(Table1[Unit Price],Table5[[#This Row],[//NOTA]])</f>
        <v>124200</v>
      </c>
      <c r="J85" s="86">
        <f>IF(Table5[[#This Row],[a2]]="","",Table5[[#This Row],[QTY]]*12)</f>
        <v>612</v>
      </c>
      <c r="K85" s="86" t="str">
        <f>IF(Table5[[#This Row],[UNIT]]="grs","LSN",IF(Table5[[#This Row],[UNIT]]="LSN","PCS",""))</f>
        <v>PCS</v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472</v>
      </c>
      <c r="B86" s="88"/>
      <c r="C86" s="194">
        <f>MATCH(A86,Table1[H_A1],0)</f>
        <v>118</v>
      </c>
      <c r="D86" s="194">
        <f>MATCH(Table5[[#This Row],[NAMA]],[1]!db[NB PAJAK],0)</f>
        <v>1154</v>
      </c>
      <c r="E86" t="str">
        <f>INDEX(Table1[Item Description],Table5[[#This Row],[//NOTA]])</f>
        <v>PENSIL WARNA KENKO CP-12HALF CLASSIC (PENDEK)</v>
      </c>
      <c r="F86">
        <f>SUMIF(Table1[H_A1],Sheet5!A86,Table1[Qty])</f>
        <v>24</v>
      </c>
      <c r="G86" t="str">
        <f>INDEX(Table1[Unit],Table5[[#This Row],[//NOTA]])</f>
        <v>SET</v>
      </c>
      <c r="H86" s="195">
        <f>SUMIF(Table1[H_A1],Sheet5!A86,Table1[C])</f>
        <v>0</v>
      </c>
      <c r="I86" s="195">
        <f>INDEX(Table1[Unit Price],Table5[[#This Row],[//NOTA]])</f>
        <v>6600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404</v>
      </c>
      <c r="B87" s="88"/>
      <c r="C87" s="194">
        <f>MATCH(A87,Table1[H_A1],0)</f>
        <v>119</v>
      </c>
      <c r="D87" s="194">
        <f>MATCH(Table5[[#This Row],[NAMA]],[1]!db[NB PAJAK],0)</f>
        <v>1103</v>
      </c>
      <c r="E87" t="str">
        <f>INDEX(Table1[Item Description],Table5[[#This Row],[//NOTA]])</f>
        <v>PENSIL WARNA KENKO CP-24F CLASSIC (PANJANG)</v>
      </c>
      <c r="F87">
        <f>SUMIF(Table1[H_A1],Sheet5!A87,Table1[Qty])</f>
        <v>24</v>
      </c>
      <c r="G87" t="str">
        <f>INDEX(Table1[Unit],Table5[[#This Row],[//NOTA]])</f>
        <v>SET</v>
      </c>
      <c r="H87" s="195">
        <f>SUMIF(Table1[H_A1],Sheet5!A87,Table1[C])</f>
        <v>0</v>
      </c>
      <c r="I87" s="195">
        <f>INDEX(Table1[Unit Price],Table5[[#This Row],[//NOTA]])</f>
        <v>20700</v>
      </c>
      <c r="J87" s="86" t="str">
        <f>IF(Table5[[#This Row],[a2]]="","",Table5[[#This Row],[QTY]]*12)</f>
        <v/>
      </c>
      <c r="K87" s="86" t="str">
        <f>IF(Table5[[#This Row],[UNIT]]="grs","LSN",IF(Table5[[#This Row],[UNIT]]="LSN","PCS",""))</f>
        <v/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136</v>
      </c>
      <c r="B88" s="88"/>
      <c r="C88" s="194">
        <f>MATCH(A88,Table1[H_A1],0)</f>
        <v>5</v>
      </c>
      <c r="D88" s="194">
        <f>MATCH(Table5[[#This Row],[NAMA]],[1]!db[NB PAJAK],0)</f>
        <v>1147</v>
      </c>
      <c r="E88" t="str">
        <f>INDEX(Table1[Item Description],Table5[[#This Row],[//NOTA]])</f>
        <v>PLAKBAND KAIN HITAM KENKO 48 MM (2") BLUE CORE</v>
      </c>
      <c r="F88">
        <f>SUMIF(Table1[H_A1],Sheet5!A88,Table1[Qty])</f>
        <v>120</v>
      </c>
      <c r="G88" t="str">
        <f>INDEX(Table1[Unit],Table5[[#This Row],[//NOTA]])</f>
        <v>PCS</v>
      </c>
      <c r="H88" s="195">
        <f>SUMIF(Table1[H_A1],Sheet5!A88,Table1[C])</f>
        <v>1</v>
      </c>
      <c r="I88" s="195">
        <f>INDEX(Table1[Unit Price],Table5[[#This Row],[//NOTA]])</f>
        <v>12200</v>
      </c>
      <c r="J88" s="86" t="str">
        <f>IF(Table5[[#This Row],[a2]]="","",Table5[[#This Row],[QTY]]*12)</f>
        <v/>
      </c>
      <c r="K88" s="86" t="str">
        <f>IF(Table5[[#This Row],[UNIT]]="grs","LSN",IF(Table5[[#This Row],[UNIT]]="LSN","PCS",""))</f>
        <v/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175</v>
      </c>
      <c r="B89" s="88"/>
      <c r="C89" s="194">
        <f>MATCH(A89,Table1[H_A1],0)</f>
        <v>23</v>
      </c>
      <c r="D89" s="194">
        <f>MATCH(Table5[[#This Row],[NAMA]],[1]!db[NB PAJAK],0)</f>
        <v>2005</v>
      </c>
      <c r="E89" t="str">
        <f>INDEX(Table1[Item Description],Table5[[#This Row],[//NOTA]])</f>
        <v>PUNCH JOYKO 30XL</v>
      </c>
      <c r="F89">
        <f>SUMIF(Table1[H_A1],Sheet5!A89,Table1[Qty])</f>
        <v>10</v>
      </c>
      <c r="G89" t="str">
        <f>INDEX(Table1[Unit],Table5[[#This Row],[//NOTA]])</f>
        <v>LSN</v>
      </c>
      <c r="H89" s="195">
        <f>SUMIF(Table1[H_A1],Sheet5!A89,Table1[C])</f>
        <v>1</v>
      </c>
      <c r="I89" s="195">
        <f>INDEX(Table1[Unit Price],Table5[[#This Row],[//NOTA]])</f>
        <v>155400</v>
      </c>
      <c r="J89" s="86">
        <f>IF(Table5[[#This Row],[a2]]="","",Table5[[#This Row],[QTY]]*12)</f>
        <v>120</v>
      </c>
      <c r="K89" s="86" t="str">
        <f>IF(Table5[[#This Row],[UNIT]]="grs","LSN",IF(Table5[[#This Row],[UNIT]]="LSN","PCS",""))</f>
        <v>PCS</v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362</v>
      </c>
      <c r="B90" s="88"/>
      <c r="C90" s="194">
        <f>MATCH(A90,Table1[H_A1],0)</f>
        <v>106</v>
      </c>
      <c r="D90" s="194">
        <f>MATCH(Table5[[#This Row],[NAMA]],[1]!db[NB PAJAK],0)</f>
        <v>1327</v>
      </c>
      <c r="E90" t="str">
        <f>INDEX(Table1[Item Description],Table5[[#This Row],[//NOTA]])</f>
        <v>PUNCH KENKO NO. 30</v>
      </c>
      <c r="F90">
        <f>SUMIF(Table1[H_A1],Sheet5!A90,Table1[Qty])</f>
        <v>120</v>
      </c>
      <c r="G90" t="str">
        <f>INDEX(Table1[Unit],Table5[[#This Row],[//NOTA]])</f>
        <v>PCS</v>
      </c>
      <c r="H90" s="195">
        <f>SUMIF(Table1[H_A1],Sheet5!A90,Table1[C])</f>
        <v>1</v>
      </c>
      <c r="I90" s="195">
        <f>INDEX(Table1[Unit Price],Table5[[#This Row],[//NOTA]])</f>
        <v>13000</v>
      </c>
      <c r="J90" s="86" t="str">
        <f>IF(Table5[[#This Row],[a2]]="","",Table5[[#This Row],[QTY]]*12)</f>
        <v/>
      </c>
      <c r="K90" s="86" t="str">
        <f>IF(Table5[[#This Row],[UNIT]]="grs","LSN",IF(Table5[[#This Row],[UNIT]]="LSN","PCS",""))</f>
        <v/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290</v>
      </c>
      <c r="B91" s="88"/>
      <c r="C91" s="194">
        <f>MATCH(A91,Table1[H_A1],0)</f>
        <v>74</v>
      </c>
      <c r="D91" s="194">
        <f>MATCH(Table5[[#This Row],[NAMA]],[1]!db[NB PAJAK],0)</f>
        <v>1328</v>
      </c>
      <c r="E91" t="str">
        <f>INDEX(Table1[Item Description],Table5[[#This Row],[//NOTA]])</f>
        <v>PUNCH KENKO NO. 30XL</v>
      </c>
      <c r="F91">
        <f>SUMIF(Table1[H_A1],Sheet5!A91,Table1[Qty])</f>
        <v>96</v>
      </c>
      <c r="G91" t="str">
        <f>INDEX(Table1[Unit],Table5[[#This Row],[//NOTA]])</f>
        <v>PCS</v>
      </c>
      <c r="H91" s="195">
        <f>SUMIF(Table1[H_A1],Sheet5!A91,Table1[C])</f>
        <v>1</v>
      </c>
      <c r="I91" s="195">
        <f>INDEX(Table1[Unit Price],Table5[[#This Row],[//NOTA]])</f>
        <v>15000</v>
      </c>
      <c r="J91" s="86" t="str">
        <f>IF(Table5[[#This Row],[a2]]="","",Table5[[#This Row],[QTY]]*12)</f>
        <v/>
      </c>
      <c r="K91" s="86" t="str">
        <f>IF(Table5[[#This Row],[UNIT]]="grs","LSN",IF(Table5[[#This Row],[UNIT]]="LSN","PCS",""))</f>
        <v/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456</v>
      </c>
      <c r="B92" s="88"/>
      <c r="C92" s="194">
        <f>MATCH(A92,Table1[H_A1],0)</f>
        <v>159</v>
      </c>
      <c r="D92" s="194">
        <f>MATCH(Table5[[#This Row],[NAMA]],[1]!db[NB PAJAK],0)</f>
        <v>1333</v>
      </c>
      <c r="E92" t="str">
        <f>INDEX(Table1[Item Description],Table5[[#This Row],[//NOTA]])</f>
        <v>PUNCH KENKO NO. 85N</v>
      </c>
      <c r="F92">
        <f>SUMIF(Table1[H_A1],Sheet5!A92,Table1[Qty])</f>
        <v>72</v>
      </c>
      <c r="G92" t="str">
        <f>INDEX(Table1[Unit],Table5[[#This Row],[//NOTA]])</f>
        <v>PCS</v>
      </c>
      <c r="H92" s="195">
        <f>SUMIF(Table1[H_A1],Sheet5!A92,Table1[C])</f>
        <v>3</v>
      </c>
      <c r="I92" s="195">
        <f>INDEX(Table1[Unit Price],Table5[[#This Row],[//NOTA]])</f>
        <v>42500</v>
      </c>
      <c r="J92" s="86" t="str">
        <f>IF(Table5[[#This Row],[a2]]="","",Table5[[#This Row],[QTY]]*12)</f>
        <v/>
      </c>
      <c r="K92" s="86" t="str">
        <f>IF(Table5[[#This Row],[UNIT]]="grs","LSN",IF(Table5[[#This Row],[UNIT]]="LSN","PCS",""))</f>
        <v/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419</v>
      </c>
      <c r="B93" s="88"/>
      <c r="C93" s="194">
        <f>MATCH(A93,Table1[H_A1],0)</f>
        <v>136</v>
      </c>
      <c r="D93" s="194">
        <f>MATCH(Table5[[#This Row],[NAMA]],[1]!db[NB PAJAK],0)</f>
        <v>1332</v>
      </c>
      <c r="E93" t="str">
        <f>INDEX(Table1[Item Description],Table5[[#This Row],[//NOTA]])</f>
        <v>PUNCH KENKO NO. 85XL</v>
      </c>
      <c r="F93">
        <f>SUMIF(Table1[H_A1],Sheet5!A93,Table1[Qty])</f>
        <v>24</v>
      </c>
      <c r="G93" t="str">
        <f>INDEX(Table1[Unit],Table5[[#This Row],[//NOTA]])</f>
        <v>PCS</v>
      </c>
      <c r="H93" s="195">
        <f>SUMIF(Table1[H_A1],Sheet5!A93,Table1[C])</f>
        <v>1</v>
      </c>
      <c r="I93" s="195">
        <f>INDEX(Table1[Unit Price],Table5[[#This Row],[//NOTA]])</f>
        <v>59000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284</v>
      </c>
      <c r="B94" s="88"/>
      <c r="C94" s="194">
        <f>MATCH(A94,Table1[H_A1],0)</f>
        <v>70</v>
      </c>
      <c r="D94" s="194">
        <f>MATCH(Table5[[#This Row],[NAMA]],[1]!db[NB PAJAK],0)</f>
        <v>1334</v>
      </c>
      <c r="E94" t="str">
        <f>INDEX(Table1[Item Description],Table5[[#This Row],[//NOTA]])</f>
        <v>PUSH PIN KENKO PN-30 WARNA</v>
      </c>
      <c r="F94">
        <f>SUMIF(Table1[H_A1],Sheet5!A94,Table1[Qty])</f>
        <v>5</v>
      </c>
      <c r="G94" t="str">
        <f>INDEX(Table1[Unit],Table5[[#This Row],[//NOTA]])</f>
        <v>LSN</v>
      </c>
      <c r="H94" s="195">
        <f>SUMIF(Table1[H_A1],Sheet5!A94,Table1[C])</f>
        <v>0</v>
      </c>
      <c r="I94" s="195">
        <f>INDEX(Table1[Unit Price],Table5[[#This Row],[//NOTA]])</f>
        <v>33000</v>
      </c>
      <c r="J94" s="86">
        <f>IF(Table5[[#This Row],[a2]]="","",Table5[[#This Row],[QTY]]*12)</f>
        <v>60</v>
      </c>
      <c r="K94" s="86" t="str">
        <f>IF(Table5[[#This Row],[UNIT]]="grs","LSN",IF(Table5[[#This Row],[UNIT]]="LSN","PCS",""))</f>
        <v>PCS</v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204</v>
      </c>
      <c r="B95" s="88"/>
      <c r="C95" s="194">
        <f>MATCH(A95,Table1[H_A1],0)</f>
        <v>35</v>
      </c>
      <c r="D95" s="194" t="e">
        <f>MATCH(Table5[[#This Row],[NAMA]],[1]!db[NB PAJAK],0)</f>
        <v>#N/A</v>
      </c>
      <c r="E95" t="str">
        <f>INDEX(Table1[Item Description],Table5[[#This Row],[//NOTA]])</f>
        <v>PUSH PIN KENKO PN-30</v>
      </c>
      <c r="F95">
        <f>SUMIF(Table1[H_A1],Sheet5!A95,Table1[Qty])</f>
        <v>12</v>
      </c>
      <c r="G95" t="str">
        <f>INDEX(Table1[Unit],Table5[[#This Row],[//NOTA]])</f>
        <v>LSN</v>
      </c>
      <c r="H95" s="195">
        <f>SUMIF(Table1[H_A1],Sheet5!A95,Table1[C])</f>
        <v>0</v>
      </c>
      <c r="I95" s="195">
        <f>INDEX(Table1[Unit Price],Table5[[#This Row],[//NOTA]])</f>
        <v>33000</v>
      </c>
      <c r="J95" s="86">
        <f>IF(Table5[[#This Row],[a2]]="","",Table5[[#This Row],[QTY]]*12)</f>
        <v>144</v>
      </c>
      <c r="K95" s="86" t="str">
        <f>IF(Table5[[#This Row],[UNIT]]="grs","LSN",IF(Table5[[#This Row],[UNIT]]="LSN","PCS",""))</f>
        <v>PCS</v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425</v>
      </c>
      <c r="B96" s="88"/>
      <c r="C96" s="194">
        <f>MATCH(A96,Table1[H_A1],0)</f>
        <v>147</v>
      </c>
      <c r="D96" s="194">
        <f>MATCH(Table5[[#This Row],[NAMA]],[1]!db[NB PAJAK],0)</f>
        <v>1356</v>
      </c>
      <c r="E96" t="str">
        <f>INDEX(Table1[Item Description],Table5[[#This Row],[//NOTA]])</f>
        <v>STAMP PLATE DATER KENKO S-68 (Cap Lunas)</v>
      </c>
      <c r="F96">
        <f>SUMIF(Table1[H_A1],Sheet5!A96,Table1[Qty])</f>
        <v>6</v>
      </c>
      <c r="G96" t="str">
        <f>INDEX(Table1[Unit],Table5[[#This Row],[//NOTA]])</f>
        <v>LSN</v>
      </c>
      <c r="H96" s="195">
        <f>SUMIF(Table1[H_A1],Sheet5!A96,Table1[C])</f>
        <v>0</v>
      </c>
      <c r="I96" s="195">
        <f>INDEX(Table1[Unit Price],Table5[[#This Row],[//NOTA]])</f>
        <v>99600</v>
      </c>
      <c r="J96" s="86">
        <f>IF(Table5[[#This Row],[a2]]="","",Table5[[#This Row],[QTY]]*12)</f>
        <v>72</v>
      </c>
      <c r="K96" s="86" t="str">
        <f>IF(Table5[[#This Row],[UNIT]]="grs","LSN",IF(Table5[[#This Row],[UNIT]]="LSN","PCS",""))</f>
        <v>PCS</v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285</v>
      </c>
      <c r="B97" s="88"/>
      <c r="C97" s="194">
        <f>MATCH(A97,Table1[H_A1],0)</f>
        <v>66</v>
      </c>
      <c r="D97" s="194">
        <f>MATCH(Table5[[#This Row],[NAMA]],[1]!db[NB PAJAK],0)</f>
        <v>1358</v>
      </c>
      <c r="E97" s="86" t="str">
        <f>INDEX(Table1[Item Description],Table5[[#This Row],[//NOTA]])</f>
        <v>STAND PEN SPIRAL KENKO STP-300SG</v>
      </c>
      <c r="F97">
        <f>SUMIF(Table1[H_A1],Sheet5!A97,Table1[Qty])</f>
        <v>5</v>
      </c>
      <c r="G97" t="str">
        <f>INDEX(Table1[Unit],Table5[[#This Row],[//NOTA]])</f>
        <v>LSN</v>
      </c>
      <c r="H97" s="195">
        <f>SUMIF(Table1[H_A1],Sheet5!A97,Table1[C])</f>
        <v>0</v>
      </c>
      <c r="I97" s="195">
        <f>INDEX(Table1[Unit Price],Table5[[#This Row],[//NOTA]])</f>
        <v>49200</v>
      </c>
      <c r="J97" s="86">
        <f>IF(Table5[[#This Row],[a2]]="","",Table5[[#This Row],[QTY]]*12)</f>
        <v>60</v>
      </c>
      <c r="K97" s="86" t="str">
        <f>IF(Table5[[#This Row],[UNIT]]="grs","LSN",IF(Table5[[#This Row],[UNIT]]="LSN","PCS",""))</f>
        <v>PCS</v>
      </c>
      <c r="L97" s="86" t="str">
        <f>IF(Table5[[#This Row],[a2]]="LSN",Table5[[#This Row],[a1]]*12,"")</f>
        <v/>
      </c>
      <c r="M97" s="86" t="str">
        <f>IF(Table5[[#This Row],[b1]]="","","PCS")</f>
        <v/>
      </c>
      <c r="N97" s="86"/>
      <c r="O97" s="86"/>
    </row>
    <row r="98" spans="1:15" x14ac:dyDescent="0.25">
      <c r="A98" s="88" t="s">
        <v>238</v>
      </c>
      <c r="C98" s="194">
        <f>MATCH(A98,Table1[H_A1],0)</f>
        <v>42</v>
      </c>
      <c r="D98" s="194">
        <f>MATCH(Table5[[#This Row],[NAMA]],[1]!db[NB PAJAK],0)</f>
        <v>2111</v>
      </c>
      <c r="E98" s="86" t="str">
        <f>INDEX(Table1[Item Description],Table5[[#This Row],[//NOTA]])</f>
        <v>STAPLER JOYKO HD-10CL</v>
      </c>
      <c r="F98">
        <f>SUMIF(Table1[H_A1],Sheet5!A98,Table1[Qty])</f>
        <v>100</v>
      </c>
      <c r="G98" t="str">
        <f>INDEX(Table1[Unit],Table5[[#This Row],[//NOTA]])</f>
        <v>LSN</v>
      </c>
      <c r="H98" s="195">
        <f>SUMIF(Table1[H_A1],Sheet5!A98,Table1[C])</f>
        <v>5</v>
      </c>
      <c r="I98" s="195">
        <f>INDEX(Table1[Unit Price],Table5[[#This Row],[//NOTA]])</f>
        <v>84000</v>
      </c>
      <c r="J98" s="86">
        <f>IF(Table5[[#This Row],[a2]]="","",Table5[[#This Row],[QTY]]*12)</f>
        <v>1200</v>
      </c>
      <c r="K98" s="86" t="str">
        <f>IF(Table5[[#This Row],[UNIT]]="grs","LSN",IF(Table5[[#This Row],[UNIT]]="LSN","PCS",""))</f>
        <v>PCS</v>
      </c>
      <c r="L98" s="86" t="str">
        <f>IF(Table5[[#This Row],[a2]]="LSN",Table5[[#This Row],[a1]]*12,"")</f>
        <v/>
      </c>
      <c r="M98" s="86" t="str">
        <f>IF(Table5[[#This Row],[b1]]="","","PCS")</f>
        <v/>
      </c>
      <c r="N98" s="86"/>
      <c r="O98" s="86"/>
    </row>
    <row r="99" spans="1:15" x14ac:dyDescent="0.25">
      <c r="A99" s="88" t="s">
        <v>336</v>
      </c>
      <c r="C99" s="194">
        <f>MATCH(A99,Table1[H_A1],0)</f>
        <v>90</v>
      </c>
      <c r="D99" s="194">
        <f>MATCH(Table5[[#This Row],[NAMA]],[1]!db[NB PAJAK],0)</f>
        <v>2110</v>
      </c>
      <c r="E99" s="86" t="str">
        <f>INDEX(Table1[Item Description],Table5[[#This Row],[//NOTA]])</f>
        <v>STAPLER JOYKO HD-10</v>
      </c>
      <c r="F99">
        <f>SUMIF(Table1[H_A1],Sheet5!A99,Table1[Qty])</f>
        <v>100</v>
      </c>
      <c r="G99" t="str">
        <f>INDEX(Table1[Unit],Table5[[#This Row],[//NOTA]])</f>
        <v>LSN</v>
      </c>
      <c r="H99" s="195">
        <f>SUMIF(Table1[H_A1],Sheet5!A99,Table1[C])</f>
        <v>5</v>
      </c>
      <c r="I99" s="195">
        <f>INDEX(Table1[Unit Price],Table5[[#This Row],[//NOTA]])</f>
        <v>85200</v>
      </c>
      <c r="J99" s="86">
        <f>IF(Table5[[#This Row],[a2]]="","",Table5[[#This Row],[QTY]]*12)</f>
        <v>1200</v>
      </c>
      <c r="K99" s="86" t="str">
        <f>IF(Table5[[#This Row],[UNIT]]="grs","LSN",IF(Table5[[#This Row],[UNIT]]="LSN","PCS",""))</f>
        <v>PCS</v>
      </c>
      <c r="L99" s="86" t="str">
        <f>IF(Table5[[#This Row],[a2]]="LSN",Table5[[#This Row],[a1]]*12,"")</f>
        <v/>
      </c>
      <c r="M99" s="86" t="str">
        <f>IF(Table5[[#This Row],[b1]]="","","PCS")</f>
        <v/>
      </c>
      <c r="N99" s="86"/>
      <c r="O99" s="86"/>
    </row>
    <row r="100" spans="1:15" x14ac:dyDescent="0.25">
      <c r="A100" s="88" t="s">
        <v>137</v>
      </c>
      <c r="C100" s="194">
        <f>MATCH(A100,Table1[H_A1],0)</f>
        <v>1</v>
      </c>
      <c r="D100" s="194">
        <f>MATCH(Table5[[#This Row],[NAMA]],[1]!db[NB PAJAK],0)</f>
        <v>1360</v>
      </c>
      <c r="E100" s="86" t="str">
        <f>INDEX(Table1[Item Description],Table5[[#This Row],[//NOTA]])</f>
        <v>STAPLER KENKO HD-10</v>
      </c>
      <c r="F100">
        <f>SUMIF(Table1[H_A1],Sheet5!A100,Table1[Qty])</f>
        <v>101</v>
      </c>
      <c r="G100" t="str">
        <f>INDEX(Table1[Unit],Table5[[#This Row],[//NOTA]])</f>
        <v>LSN</v>
      </c>
      <c r="H100" s="195">
        <f>SUMIF(Table1[H_A1],Sheet5!A100,Table1[C])</f>
        <v>5</v>
      </c>
      <c r="I100" s="195">
        <f>INDEX(Table1[Unit Price],Table5[[#This Row],[//NOTA]])</f>
        <v>93000</v>
      </c>
      <c r="J100" s="86">
        <f>IF(Table5[[#This Row],[a2]]="","",Table5[[#This Row],[QTY]]*12)</f>
        <v>1212</v>
      </c>
      <c r="K100" s="86" t="str">
        <f>IF(Table5[[#This Row],[UNIT]]="grs","LSN",IF(Table5[[#This Row],[UNIT]]="LSN","PCS",""))</f>
        <v>PCS</v>
      </c>
      <c r="L100" s="86" t="str">
        <f>IF(Table5[[#This Row],[a2]]="LSN",Table5[[#This Row],[a1]]*12,"")</f>
        <v/>
      </c>
      <c r="M100" s="86" t="str">
        <f>IF(Table5[[#This Row],[b1]]="","","PCS")</f>
        <v/>
      </c>
      <c r="N100" s="86"/>
      <c r="O100" s="86"/>
    </row>
    <row r="101" spans="1:15" x14ac:dyDescent="0.25">
      <c r="A101" s="88" t="s">
        <v>193</v>
      </c>
      <c r="C101" s="194">
        <f>MATCH(A101,Table1[H_A1],0)</f>
        <v>29</v>
      </c>
      <c r="D101" s="194">
        <f>MATCH(Table5[[#This Row],[NAMA]],[1]!db[NB PAJAK],0)</f>
        <v>1366</v>
      </c>
      <c r="E101" s="86" t="str">
        <f>INDEX(Table1[Item Description],Table5[[#This Row],[//NOTA]])</f>
        <v>STAPLER KENKO HD-50</v>
      </c>
      <c r="F101">
        <f>SUMIF(Table1[H_A1],Sheet5!A101,Table1[Qty])</f>
        <v>20</v>
      </c>
      <c r="G101" t="str">
        <f>INDEX(Table1[Unit],Table5[[#This Row],[//NOTA]])</f>
        <v>LSN</v>
      </c>
      <c r="H101" s="195">
        <f>SUMIF(Table1[H_A1],Sheet5!A101,Table1[C])</f>
        <v>2</v>
      </c>
      <c r="I101" s="195">
        <f>INDEX(Table1[Unit Price],Table5[[#This Row],[//NOTA]])</f>
        <v>228000</v>
      </c>
      <c r="J101" s="86">
        <f>IF(Table5[[#This Row],[a2]]="","",Table5[[#This Row],[QTY]]*12)</f>
        <v>240</v>
      </c>
      <c r="K101" s="86" t="str">
        <f>IF(Table5[[#This Row],[UNIT]]="grs","LSN",IF(Table5[[#This Row],[UNIT]]="LSN","PCS",""))</f>
        <v>PCS</v>
      </c>
      <c r="L101" s="86" t="str">
        <f>IF(Table5[[#This Row],[a2]]="LSN",Table5[[#This Row],[a1]]*12,"")</f>
        <v/>
      </c>
      <c r="M101" s="86" t="str">
        <f>IF(Table5[[#This Row],[b1]]="","","PCS")</f>
        <v/>
      </c>
      <c r="N101" s="86"/>
      <c r="O101" s="86"/>
    </row>
    <row r="102" spans="1:15" x14ac:dyDescent="0.25">
      <c r="A102" s="88" t="s">
        <v>239</v>
      </c>
      <c r="C102" s="194">
        <f>MATCH(A102,Table1[H_A1],0)</f>
        <v>44</v>
      </c>
      <c r="D102" s="194">
        <f>MATCH(Table5[[#This Row],[NAMA]],[1]!db[NB PAJAK],0)</f>
        <v>718</v>
      </c>
      <c r="E102" s="86" t="str">
        <f>INDEX(Table1[Item Description],Table5[[#This Row],[//NOTA]])</f>
        <v>STIP / PENGHAPUS JOYKO 526-B20 PUTIH</v>
      </c>
      <c r="F102" s="86">
        <f>SUMIF(Table1[H_A1],Sheet5!A102,Table1[Qty])</f>
        <v>100</v>
      </c>
      <c r="G102" s="86" t="str">
        <f>INDEX(Table1[Unit],Table5[[#This Row],[//NOTA]])</f>
        <v>BOX</v>
      </c>
      <c r="H102" s="195">
        <f>SUMIF(Table1[H_A1],Sheet5!A102,Table1[C])</f>
        <v>2</v>
      </c>
      <c r="I102" s="195">
        <f>INDEX(Table1[Unit Price],Table5[[#This Row],[//NOTA]])</f>
        <v>34100</v>
      </c>
      <c r="J102" s="86" t="str">
        <f>IF(Table5[[#This Row],[a2]]="","",Table5[[#This Row],[QTY]]*12)</f>
        <v/>
      </c>
      <c r="K102" s="86" t="str">
        <f>IF(Table5[[#This Row],[UNIT]]="grs","LSN",IF(Table5[[#This Row],[UNIT]]="LSN","PCS",""))</f>
        <v/>
      </c>
      <c r="L102" s="86" t="str">
        <f>IF(Table5[[#This Row],[a2]]="LSN",Table5[[#This Row],[a1]]*12,"")</f>
        <v/>
      </c>
      <c r="M102" s="86" t="str">
        <f>IF(Table5[[#This Row],[b1]]="","","PCS")</f>
        <v/>
      </c>
      <c r="N102" s="86"/>
      <c r="O102" s="86"/>
    </row>
    <row r="103" spans="1:15" x14ac:dyDescent="0.25">
      <c r="A103" s="88" t="s">
        <v>240</v>
      </c>
      <c r="C103" s="194">
        <f>MATCH(A103,Table1[H_A1],0)</f>
        <v>43</v>
      </c>
      <c r="D103" s="194">
        <f>MATCH(Table5[[#This Row],[NAMA]],[1]!db[NB PAJAK],0)</f>
        <v>721</v>
      </c>
      <c r="E103" s="86" t="str">
        <f>INDEX(Table1[Item Description],Table5[[#This Row],[//NOTA]])</f>
        <v>STIP / PENGHAPUS JOYKO 526-B40P PUTIH</v>
      </c>
      <c r="F103" s="86">
        <f>SUMIF(Table1[H_A1],Sheet5!A103,Table1[Qty])</f>
        <v>200</v>
      </c>
      <c r="G103" s="86" t="str">
        <f>INDEX(Table1[Unit],Table5[[#This Row],[//NOTA]])</f>
        <v>BOX</v>
      </c>
      <c r="H103" s="195">
        <f>SUMIF(Table1[H_A1],Sheet5!A103,Table1[C])</f>
        <v>4</v>
      </c>
      <c r="I103" s="195">
        <f>INDEX(Table1[Unit Price],Table5[[#This Row],[//NOTA]])</f>
        <v>28300</v>
      </c>
      <c r="J103" s="86" t="str">
        <f>IF(Table5[[#This Row],[a2]]="","",Table5[[#This Row],[QTY]]*12)</f>
        <v/>
      </c>
      <c r="K103" s="86" t="str">
        <f>IF(Table5[[#This Row],[UNIT]]="grs","LSN",IF(Table5[[#This Row],[UNIT]]="LSN","PCS",""))</f>
        <v/>
      </c>
      <c r="L103" s="86" t="str">
        <f>IF(Table5[[#This Row],[a2]]="LSN",Table5[[#This Row],[a1]]*12,"")</f>
        <v/>
      </c>
      <c r="M103" s="86" t="str">
        <f>IF(Table5[[#This Row],[b1]]="","","PCS")</f>
        <v/>
      </c>
      <c r="N103" s="86"/>
      <c r="O103" s="86"/>
    </row>
    <row r="104" spans="1:15" x14ac:dyDescent="0.25">
      <c r="A104" s="88" t="s">
        <v>331</v>
      </c>
      <c r="C104" s="194">
        <f>MATCH(A104,Table1[H_A1],0)</f>
        <v>89</v>
      </c>
      <c r="D104" s="194">
        <f>MATCH(Table5[[#This Row],[NAMA]],[1]!db[NB PAJAK],0)</f>
        <v>728</v>
      </c>
      <c r="E104" s="86" t="str">
        <f>INDEX(Table1[Item Description],Table5[[#This Row],[//NOTA]])</f>
        <v>STIP / PENGHAPUS JOYKO ER-B20BL HITAM</v>
      </c>
      <c r="F104" s="86">
        <f>SUMIF(Table1[H_A1],Sheet5!A104,Table1[Qty])</f>
        <v>250</v>
      </c>
      <c r="G104" s="86" t="str">
        <f>INDEX(Table1[Unit],Table5[[#This Row],[//NOTA]])</f>
        <v>BOX</v>
      </c>
      <c r="H104" s="195">
        <f>SUMIF(Table1[H_A1],Sheet5!A104,Table1[C])</f>
        <v>5</v>
      </c>
      <c r="I104" s="195">
        <f>INDEX(Table1[Unit Price],Table5[[#This Row],[//NOTA]])</f>
        <v>34100</v>
      </c>
      <c r="J104" s="86" t="str">
        <f>IF(Table5[[#This Row],[a2]]="","",Table5[[#This Row],[QTY]]*12)</f>
        <v/>
      </c>
      <c r="K104" s="86" t="str">
        <f>IF(Table5[[#This Row],[UNIT]]="grs","LSN",IF(Table5[[#This Row],[UNIT]]="LSN","PCS",""))</f>
        <v/>
      </c>
      <c r="L104" s="86" t="str">
        <f>IF(Table5[[#This Row],[a2]]="LSN",Table5[[#This Row],[a1]]*12,"")</f>
        <v/>
      </c>
      <c r="M104" s="86" t="str">
        <f>IF(Table5[[#This Row],[b1]]="","","PCS")</f>
        <v/>
      </c>
      <c r="N104" s="86"/>
      <c r="O104" s="86"/>
    </row>
    <row r="105" spans="1:15" x14ac:dyDescent="0.25">
      <c r="A105" s="88" t="s">
        <v>405</v>
      </c>
      <c r="C105" s="194">
        <f>MATCH(A105,Table1[H_A1],0)</f>
        <v>123</v>
      </c>
      <c r="D105" s="194">
        <f>MATCH(Table5[[#This Row],[NAMA]],[1]!db[NB PAJAK],0)</f>
        <v>1210</v>
      </c>
      <c r="E105" s="86" t="str">
        <f>INDEX(Table1[Item Description],Table5[[#This Row],[//NOTA]])</f>
        <v>STIP / PENGHAPUS KENKO ERB-40SQ HITAM</v>
      </c>
      <c r="F105" s="86">
        <f>SUMIF(Table1[H_A1],Sheet5!A105,Table1[Qty])</f>
        <v>3</v>
      </c>
      <c r="G105" s="86" t="str">
        <f>INDEX(Table1[Unit],Table5[[#This Row],[//NOTA]])</f>
        <v>PAK</v>
      </c>
      <c r="H105" s="195">
        <f>SUMIF(Table1[H_A1],Sheet5!A105,Table1[C])</f>
        <v>0</v>
      </c>
      <c r="I105" s="195">
        <f>INDEX(Table1[Unit Price],Table5[[#This Row],[//NOTA]])</f>
        <v>27500</v>
      </c>
      <c r="J105" s="86" t="str">
        <f>IF(Table5[[#This Row],[a2]]="","",Table5[[#This Row],[QTY]]*12)</f>
        <v/>
      </c>
      <c r="K105" s="86" t="str">
        <f>IF(Table5[[#This Row],[UNIT]]="grs","LSN",IF(Table5[[#This Row],[UNIT]]="LSN","PCS",""))</f>
        <v/>
      </c>
      <c r="L105" s="86" t="str">
        <f>IF(Table5[[#This Row],[a2]]="LSN",Table5[[#This Row],[a1]]*12,"")</f>
        <v/>
      </c>
      <c r="M105" s="86" t="str">
        <f>IF(Table5[[#This Row],[b1]]="","","PCS")</f>
        <v/>
      </c>
      <c r="N105" s="86"/>
      <c r="O105" s="86"/>
    </row>
    <row r="106" spans="1:15" x14ac:dyDescent="0.25">
      <c r="A106" s="88" t="s">
        <v>55</v>
      </c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1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1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250</v>
      </c>
      <c r="B16" t="s">
        <v>250</v>
      </c>
      <c r="C16" t="s">
        <v>251</v>
      </c>
      <c r="D16" t="s">
        <v>252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2023-04-03T02:33:32Z</dcterms:modified>
</cp:coreProperties>
</file>